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olivermorrison/Library/CloudStorage/Dropbox-FilterAgency/Filter Business/Company docs/JD Wetherspoon/Fixed Team/Reporting/2026/"/>
    </mc:Choice>
  </mc:AlternateContent>
  <xr:revisionPtr revIDLastSave="0" documentId="13_ncr:1_{2115402D-96D9-B44E-961C-9E56DD1CEEE8}" xr6:coauthVersionLast="47" xr6:coauthVersionMax="47" xr10:uidLastSave="{00000000-0000-0000-0000-000000000000}"/>
  <bookViews>
    <workbookView xWindow="1560" yWindow="2100" windowWidth="20700" windowHeight="15940" xr2:uid="{C65833F8-4D69-5846-8C9B-616B8EF69865}"/>
  </bookViews>
  <sheets>
    <sheet name="IT Summary" sheetId="20" r:id="rId1"/>
    <sheet name="Summary" sheetId="1" r:id="rId2"/>
    <sheet name="Feb 24" sheetId="2" r:id="rId3"/>
    <sheet name="Mar 24" sheetId="3" r:id="rId4"/>
    <sheet name="Apr 24" sheetId="4" r:id="rId5"/>
    <sheet name="May 24" sheetId="5" r:id="rId6"/>
    <sheet name="Jun 24" sheetId="6" r:id="rId7"/>
    <sheet name="Jul 24" sheetId="7" r:id="rId8"/>
    <sheet name="Aug 24" sheetId="8" r:id="rId9"/>
    <sheet name="Sep 24" sheetId="9" r:id="rId10"/>
    <sheet name="Oct 24" sheetId="10" r:id="rId11"/>
    <sheet name="Nov 24" sheetId="11" r:id="rId12"/>
    <sheet name="Dec 24" sheetId="12" r:id="rId13"/>
    <sheet name="Jan 25" sheetId="13" r:id="rId14"/>
    <sheet name="Feb 25" sheetId="15" r:id="rId15"/>
    <sheet name="Mar 25" sheetId="16" r:id="rId16"/>
    <sheet name="April 25" sheetId="17" r:id="rId17"/>
    <sheet name="May 25" sheetId="21" r:id="rId18"/>
    <sheet name="June 25" sheetId="22" r:id="rId19"/>
    <sheet name="July 25" sheetId="24" r:id="rId20"/>
    <sheet name="Aug 25" sheetId="25" r:id="rId21"/>
    <sheet name="Sep 25" sheetId="26" r:id="rId22"/>
    <sheet name="Oct 25" sheetId="27" r:id="rId23"/>
    <sheet name="Nov 25" sheetId="28" r:id="rId24"/>
    <sheet name="Dec 25" sheetId="29" r:id="rId25"/>
    <sheet name="Jan - 26" sheetId="30" r:id="rId26"/>
    <sheet name="Feb - 26" sheetId="31" r:id="rId27"/>
    <sheet name="Mar - 26" sheetId="32" r:id="rId28"/>
  </sheets>
  <definedNames>
    <definedName name="_xlnm.Print_Area" localSheetId="4">'Apr 24'!$A$1:$U$104</definedName>
    <definedName name="_xlnm.Print_Area" localSheetId="16">'April 25'!$A$1:$U$107</definedName>
    <definedName name="_xlnm.Print_Area" localSheetId="8">'Aug 24'!$A$1:$U$103</definedName>
    <definedName name="_xlnm.Print_Area" localSheetId="20">'Aug 25'!$A$1:$U$109</definedName>
    <definedName name="_xlnm.Print_Area" localSheetId="12">'Dec 24'!$A$1:$U$104</definedName>
    <definedName name="_xlnm.Print_Area" localSheetId="24">'Dec 25'!$A$1:$U$113</definedName>
    <definedName name="_xlnm.Print_Area" localSheetId="26">'Feb - 26'!$A$1:$U$113</definedName>
    <definedName name="_xlnm.Print_Area" localSheetId="2">'Feb 24'!$A$1:$T$102</definedName>
    <definedName name="_xlnm.Print_Area" localSheetId="14">'Feb 25'!$A$1:$U$107</definedName>
    <definedName name="_xlnm.Print_Area" localSheetId="0">'IT Summary'!$A$1:$H$57</definedName>
    <definedName name="_xlnm.Print_Area" localSheetId="25">'Jan - 26'!$A$1:$U$113</definedName>
    <definedName name="_xlnm.Print_Area" localSheetId="13">'Jan 25'!$A$1:$U$105</definedName>
    <definedName name="_xlnm.Print_Area" localSheetId="7">'Jul 24'!$A$1:$U$103</definedName>
    <definedName name="_xlnm.Print_Area" localSheetId="19">'July 25'!$A$1:$U$109</definedName>
    <definedName name="_xlnm.Print_Area" localSheetId="6">'Jun 24'!$A$1:$U$103</definedName>
    <definedName name="_xlnm.Print_Area" localSheetId="18">'June 25'!$A$1:$U$109</definedName>
    <definedName name="_xlnm.Print_Area" localSheetId="27">'Mar - 26'!$A$1:$U$113</definedName>
    <definedName name="_xlnm.Print_Area" localSheetId="3">'Mar 24'!$A$1:$U$104</definedName>
    <definedName name="_xlnm.Print_Area" localSheetId="15">'Mar 25'!$A$1:$U$107</definedName>
    <definedName name="_xlnm.Print_Area" localSheetId="5">'May 24'!$A$1:$U$104</definedName>
    <definedName name="_xlnm.Print_Area" localSheetId="17">'May 25'!$A$1:$U$107</definedName>
    <definedName name="_xlnm.Print_Area" localSheetId="11">'Nov 24'!$A$1:$U$104</definedName>
    <definedName name="_xlnm.Print_Area" localSheetId="23">'Nov 25'!$A$1:$U$110</definedName>
    <definedName name="_xlnm.Print_Area" localSheetId="10">'Oct 24'!$A$1:$U$103</definedName>
    <definedName name="_xlnm.Print_Area" localSheetId="22">'Oct 25'!$A$1:$U$110</definedName>
    <definedName name="_xlnm.Print_Area" localSheetId="9">'Sep 24'!$A$1:$U$103</definedName>
    <definedName name="_xlnm.Print_Area" localSheetId="21">'Sep 25'!$A$1:$U$109</definedName>
    <definedName name="_xlnm.Print_Area" localSheetId="1">Summary!$A$1:$J$150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20" l="1"/>
  <c r="E44" i="20"/>
  <c r="E45" i="20" s="1"/>
  <c r="E43" i="20"/>
  <c r="E33" i="20"/>
  <c r="E37" i="20"/>
  <c r="E36" i="20"/>
  <c r="E35" i="20"/>
  <c r="E29" i="20"/>
  <c r="E28" i="20"/>
  <c r="D28" i="20" s="1"/>
  <c r="E27" i="20"/>
  <c r="E26" i="20"/>
  <c r="E21" i="20"/>
  <c r="AM165" i="1"/>
  <c r="AM164" i="1"/>
  <c r="AM161" i="1"/>
  <c r="Z175" i="1"/>
  <c r="AA175" i="1"/>
  <c r="AM158" i="1"/>
  <c r="X213" i="1"/>
  <c r="X212" i="1"/>
  <c r="X211" i="1"/>
  <c r="O138" i="1"/>
  <c r="O139" i="1"/>
  <c r="O140" i="1"/>
  <c r="O141" i="1"/>
  <c r="O142" i="1"/>
  <c r="O143" i="1"/>
  <c r="O144" i="1"/>
  <c r="O145" i="1"/>
  <c r="O137"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93" i="1"/>
  <c r="P87" i="1"/>
  <c r="P84" i="1"/>
  <c r="P82" i="1"/>
  <c r="O66" i="1"/>
  <c r="O67" i="1"/>
  <c r="O68" i="1"/>
  <c r="O69" i="1"/>
  <c r="O70" i="1"/>
  <c r="O71" i="1"/>
  <c r="O72" i="1"/>
  <c r="O73" i="1"/>
  <c r="O65" i="1"/>
  <c r="P22" i="1"/>
  <c r="P23" i="1"/>
  <c r="P24" i="1"/>
  <c r="P25" i="1"/>
  <c r="P26" i="1"/>
  <c r="P27" i="1"/>
  <c r="P28" i="1"/>
  <c r="P29" i="1"/>
  <c r="P30" i="1"/>
  <c r="P31" i="1"/>
  <c r="P32" i="1"/>
  <c r="P33" i="1"/>
  <c r="P34" i="1"/>
  <c r="P35" i="1"/>
  <c r="P36" i="1"/>
  <c r="P37" i="1"/>
  <c r="P38" i="1"/>
  <c r="P39" i="1"/>
  <c r="P40" i="1"/>
  <c r="V40" i="1" s="1"/>
  <c r="P41" i="1"/>
  <c r="V41" i="1" s="1"/>
  <c r="P42" i="1"/>
  <c r="P43" i="1"/>
  <c r="P44" i="1"/>
  <c r="P45" i="1"/>
  <c r="P46" i="1"/>
  <c r="P47" i="1"/>
  <c r="P48" i="1"/>
  <c r="P49" i="1"/>
  <c r="P50" i="1"/>
  <c r="P51" i="1"/>
  <c r="P52" i="1"/>
  <c r="P53" i="1"/>
  <c r="P54" i="1"/>
  <c r="P55" i="1"/>
  <c r="P56" i="1"/>
  <c r="P57" i="1"/>
  <c r="P58" i="1"/>
  <c r="P59" i="1"/>
  <c r="P60" i="1"/>
  <c r="P21" i="1"/>
  <c r="P10" i="1"/>
  <c r="T13" i="32"/>
  <c r="P15" i="1"/>
  <c r="P12" i="1"/>
  <c r="AI4" i="1"/>
  <c r="AI3" i="1"/>
  <c r="AH4" i="1"/>
  <c r="AH3" i="1"/>
  <c r="G111" i="32"/>
  <c r="F111" i="32"/>
  <c r="F72" i="32"/>
  <c r="E72" i="32"/>
  <c r="D72" i="32"/>
  <c r="C72" i="32"/>
  <c r="G71" i="32"/>
  <c r="G70" i="32"/>
  <c r="G69" i="32"/>
  <c r="G68" i="32"/>
  <c r="G67" i="32"/>
  <c r="G66" i="32"/>
  <c r="G65" i="32"/>
  <c r="G64" i="32"/>
  <c r="G63" i="32"/>
  <c r="J56" i="32"/>
  <c r="J55" i="32"/>
  <c r="J54" i="32"/>
  <c r="J53" i="32"/>
  <c r="J52" i="32"/>
  <c r="J51" i="32"/>
  <c r="J50" i="32"/>
  <c r="J49" i="32"/>
  <c r="J48" i="32"/>
  <c r="J47" i="32"/>
  <c r="J46" i="32"/>
  <c r="J45" i="32"/>
  <c r="J44" i="32"/>
  <c r="J43" i="32"/>
  <c r="J42" i="32"/>
  <c r="J41" i="32"/>
  <c r="J40" i="32"/>
  <c r="J39" i="32"/>
  <c r="J38" i="32"/>
  <c r="J37" i="32"/>
  <c r="J36" i="32"/>
  <c r="J35" i="32"/>
  <c r="J34" i="32"/>
  <c r="J33" i="32"/>
  <c r="J32" i="32"/>
  <c r="J31" i="32"/>
  <c r="J30" i="32"/>
  <c r="J29" i="32"/>
  <c r="J28" i="32"/>
  <c r="J27" i="32"/>
  <c r="J26" i="32"/>
  <c r="J25" i="32"/>
  <c r="J24" i="32"/>
  <c r="J23" i="32"/>
  <c r="J22" i="32"/>
  <c r="J21" i="32"/>
  <c r="J20" i="32"/>
  <c r="J19" i="32"/>
  <c r="J18" i="32"/>
  <c r="J17" i="32"/>
  <c r="B3" i="32"/>
  <c r="AQ175"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J36" i="30"/>
  <c r="J36" i="31"/>
  <c r="G64" i="2"/>
  <c r="G65" i="2"/>
  <c r="G66" i="2"/>
  <c r="G67" i="2"/>
  <c r="G68" i="2"/>
  <c r="G69" i="2"/>
  <c r="G70" i="2"/>
  <c r="G71" i="2"/>
  <c r="G64" i="3"/>
  <c r="G65" i="3"/>
  <c r="G66" i="3"/>
  <c r="G67" i="3"/>
  <c r="G68" i="3"/>
  <c r="G69" i="3"/>
  <c r="G70" i="3"/>
  <c r="G71" i="3"/>
  <c r="G64" i="4"/>
  <c r="G65" i="4"/>
  <c r="G66" i="4"/>
  <c r="G67" i="4"/>
  <c r="G68" i="4"/>
  <c r="G69" i="4"/>
  <c r="G70" i="4"/>
  <c r="G71" i="4"/>
  <c r="G64" i="5"/>
  <c r="G65" i="5"/>
  <c r="G66" i="5"/>
  <c r="G67" i="5"/>
  <c r="G68" i="5"/>
  <c r="G69" i="5"/>
  <c r="G70" i="5"/>
  <c r="G71" i="5"/>
  <c r="G64" i="6"/>
  <c r="G65" i="6"/>
  <c r="G66" i="6"/>
  <c r="G67" i="6"/>
  <c r="G68" i="6"/>
  <c r="G69" i="6"/>
  <c r="G70" i="6"/>
  <c r="G71" i="6"/>
  <c r="G64" i="7"/>
  <c r="G65" i="7"/>
  <c r="G66" i="7"/>
  <c r="G67" i="7"/>
  <c r="G68" i="7"/>
  <c r="G69" i="7"/>
  <c r="G70" i="7"/>
  <c r="G64" i="8"/>
  <c r="G65" i="8"/>
  <c r="G66" i="8"/>
  <c r="G67" i="8"/>
  <c r="G68" i="8"/>
  <c r="G69" i="8"/>
  <c r="G70" i="8"/>
  <c r="G64" i="9"/>
  <c r="G65" i="9"/>
  <c r="G66" i="9"/>
  <c r="G67" i="9"/>
  <c r="G68" i="9"/>
  <c r="G69" i="9"/>
  <c r="G70" i="9"/>
  <c r="G71" i="9"/>
  <c r="G64" i="10"/>
  <c r="G65" i="10"/>
  <c r="G66" i="10"/>
  <c r="G67" i="10"/>
  <c r="G68" i="10"/>
  <c r="G69" i="10"/>
  <c r="G70" i="10"/>
  <c r="G71" i="10"/>
  <c r="G64" i="11"/>
  <c r="G65" i="11"/>
  <c r="G66" i="11"/>
  <c r="G67" i="11"/>
  <c r="G68" i="11"/>
  <c r="G69" i="11"/>
  <c r="G70" i="11"/>
  <c r="G71" i="11"/>
  <c r="G64" i="12"/>
  <c r="G65" i="12"/>
  <c r="G66" i="12"/>
  <c r="G67" i="12"/>
  <c r="G68" i="12"/>
  <c r="G69" i="12"/>
  <c r="G70" i="12"/>
  <c r="G71" i="12"/>
  <c r="G64" i="13"/>
  <c r="G65" i="13"/>
  <c r="G66" i="13"/>
  <c r="G67" i="13"/>
  <c r="G68" i="13"/>
  <c r="G69" i="13"/>
  <c r="G70" i="13"/>
  <c r="G71" i="13"/>
  <c r="G64" i="15"/>
  <c r="G65" i="15"/>
  <c r="G66" i="15"/>
  <c r="G67" i="15"/>
  <c r="G68" i="15"/>
  <c r="G69" i="15"/>
  <c r="G70" i="15"/>
  <c r="G71" i="15"/>
  <c r="G64" i="16"/>
  <c r="G65" i="16"/>
  <c r="G66" i="16"/>
  <c r="G67" i="16"/>
  <c r="G68" i="16"/>
  <c r="G69" i="16"/>
  <c r="G70" i="16"/>
  <c r="G71" i="16"/>
  <c r="G64" i="17"/>
  <c r="G65" i="17"/>
  <c r="G66" i="17"/>
  <c r="G67" i="17"/>
  <c r="G68" i="17"/>
  <c r="G69" i="17"/>
  <c r="G70" i="17"/>
  <c r="G71" i="17"/>
  <c r="G64" i="21"/>
  <c r="G65" i="21"/>
  <c r="G66" i="21"/>
  <c r="G67" i="21"/>
  <c r="G68" i="21"/>
  <c r="G69" i="21"/>
  <c r="G70" i="21"/>
  <c r="G71" i="21"/>
  <c r="G64" i="22"/>
  <c r="G65" i="22"/>
  <c r="G66" i="22"/>
  <c r="G67" i="22"/>
  <c r="G68" i="22"/>
  <c r="G69" i="22"/>
  <c r="G70" i="22"/>
  <c r="G71" i="22"/>
  <c r="G64" i="24"/>
  <c r="G65" i="24"/>
  <c r="G66" i="24"/>
  <c r="G67" i="24"/>
  <c r="G68" i="24"/>
  <c r="G69" i="24"/>
  <c r="G70" i="24"/>
  <c r="G71" i="24"/>
  <c r="G64" i="25"/>
  <c r="G65" i="25"/>
  <c r="G66" i="25"/>
  <c r="G67" i="25"/>
  <c r="G68" i="25"/>
  <c r="G69" i="25"/>
  <c r="G70" i="25"/>
  <c r="G71" i="25"/>
  <c r="G64" i="26"/>
  <c r="G65" i="26"/>
  <c r="G66" i="26"/>
  <c r="G67" i="26"/>
  <c r="G68" i="26"/>
  <c r="G69" i="26"/>
  <c r="G70" i="26"/>
  <c r="G71" i="26"/>
  <c r="G64" i="27"/>
  <c r="G65" i="27"/>
  <c r="G66" i="27"/>
  <c r="G67" i="27"/>
  <c r="G68" i="27"/>
  <c r="G69" i="27"/>
  <c r="G70" i="27"/>
  <c r="G71" i="27"/>
  <c r="G64" i="28"/>
  <c r="G65" i="28"/>
  <c r="G66" i="28"/>
  <c r="G67" i="28"/>
  <c r="G68" i="28"/>
  <c r="G69" i="28"/>
  <c r="G70" i="28"/>
  <c r="G71" i="28"/>
  <c r="G64" i="29"/>
  <c r="G65" i="29"/>
  <c r="G66" i="29"/>
  <c r="G67" i="29"/>
  <c r="G68" i="29"/>
  <c r="G69" i="29"/>
  <c r="G70" i="29"/>
  <c r="G71" i="29"/>
  <c r="G64" i="30"/>
  <c r="G65" i="30"/>
  <c r="G66" i="30"/>
  <c r="G67" i="30"/>
  <c r="G68" i="30"/>
  <c r="G69" i="30"/>
  <c r="G70" i="30"/>
  <c r="G71" i="30"/>
  <c r="G64" i="31"/>
  <c r="G65" i="31"/>
  <c r="G66" i="31"/>
  <c r="G67" i="31"/>
  <c r="G68" i="31"/>
  <c r="G69" i="31"/>
  <c r="G70" i="31"/>
  <c r="G71" i="31"/>
  <c r="C72" i="31"/>
  <c r="G72" i="31" s="1"/>
  <c r="J32" i="30"/>
  <c r="J33" i="30"/>
  <c r="J18" i="30"/>
  <c r="J19" i="30"/>
  <c r="J20" i="30"/>
  <c r="J21" i="30"/>
  <c r="J22" i="30"/>
  <c r="J23" i="30"/>
  <c r="J24" i="30"/>
  <c r="J25" i="30"/>
  <c r="J26" i="30"/>
  <c r="J27" i="30"/>
  <c r="J28" i="30"/>
  <c r="J29" i="30"/>
  <c r="J30" i="30"/>
  <c r="J31" i="30"/>
  <c r="J35" i="30"/>
  <c r="J37" i="30"/>
  <c r="J38" i="30"/>
  <c r="J39" i="30"/>
  <c r="J40" i="30"/>
  <c r="J41" i="30"/>
  <c r="J42" i="30"/>
  <c r="J43" i="30"/>
  <c r="J45" i="30"/>
  <c r="J46" i="30"/>
  <c r="J47" i="30"/>
  <c r="J48" i="30"/>
  <c r="J49" i="30"/>
  <c r="J50" i="30"/>
  <c r="J51" i="30"/>
  <c r="J52" i="30"/>
  <c r="J53" i="30"/>
  <c r="J54" i="30"/>
  <c r="J55" i="30"/>
  <c r="J27" i="1"/>
  <c r="J28" i="1"/>
  <c r="J12" i="1"/>
  <c r="AG4" i="1"/>
  <c r="J41" i="31"/>
  <c r="J42" i="31"/>
  <c r="J43" i="31"/>
  <c r="J44" i="31"/>
  <c r="J45" i="31"/>
  <c r="J46" i="31"/>
  <c r="J47" i="31"/>
  <c r="J48" i="31"/>
  <c r="J49" i="31"/>
  <c r="J50" i="31"/>
  <c r="J51" i="31"/>
  <c r="J52" i="31"/>
  <c r="J53" i="31"/>
  <c r="J54" i="31"/>
  <c r="J55" i="31"/>
  <c r="J23" i="31"/>
  <c r="J24" i="31"/>
  <c r="J25" i="31"/>
  <c r="J26" i="31"/>
  <c r="J27" i="31"/>
  <c r="B3" i="31"/>
  <c r="AG3" i="1" s="1"/>
  <c r="G111" i="31"/>
  <c r="AA78" i="1" s="1"/>
  <c r="F111" i="31"/>
  <c r="F72" i="31"/>
  <c r="E72" i="31"/>
  <c r="D72" i="31"/>
  <c r="G63" i="31"/>
  <c r="J56" i="31"/>
  <c r="J40" i="31"/>
  <c r="J39" i="31"/>
  <c r="J38" i="31"/>
  <c r="J37" i="31"/>
  <c r="J35" i="31"/>
  <c r="J34" i="31"/>
  <c r="J33" i="31"/>
  <c r="J32" i="31"/>
  <c r="J31" i="31"/>
  <c r="J30" i="31"/>
  <c r="J29" i="31"/>
  <c r="J28" i="31"/>
  <c r="J22" i="31"/>
  <c r="J21" i="31"/>
  <c r="J20" i="31"/>
  <c r="J19" i="31"/>
  <c r="J18" i="31"/>
  <c r="J17" i="31"/>
  <c r="T13" i="31"/>
  <c r="E38" i="20"/>
  <c r="E25" i="20"/>
  <c r="AF4" i="1"/>
  <c r="D56" i="30"/>
  <c r="J56" i="30" s="1"/>
  <c r="D44" i="30"/>
  <c r="J44" i="30" s="1"/>
  <c r="D34" i="30"/>
  <c r="J34" i="30" s="1"/>
  <c r="G111" i="30"/>
  <c r="F111" i="30"/>
  <c r="Z78" i="1" s="1"/>
  <c r="B3" i="30"/>
  <c r="AF3" i="1" s="1"/>
  <c r="F72" i="30"/>
  <c r="E72" i="30"/>
  <c r="D72" i="30"/>
  <c r="C72" i="30"/>
  <c r="G63" i="30"/>
  <c r="J17" i="30"/>
  <c r="T13" i="30"/>
  <c r="V112" i="1" l="1"/>
  <c r="V113" i="1"/>
  <c r="J57" i="32"/>
  <c r="B5" i="32" s="1"/>
  <c r="G72" i="32"/>
  <c r="AB78" i="1"/>
  <c r="V45" i="1"/>
  <c r="V50" i="1"/>
  <c r="Z205" i="1"/>
  <c r="Z206" i="1"/>
  <c r="Z207" i="1"/>
  <c r="Z200" i="1"/>
  <c r="Z203" i="1"/>
  <c r="Z201" i="1"/>
  <c r="Z202" i="1"/>
  <c r="Z204" i="1"/>
  <c r="I67" i="1"/>
  <c r="I70" i="1"/>
  <c r="I71" i="1"/>
  <c r="I73" i="1"/>
  <c r="I68" i="1"/>
  <c r="I69" i="1"/>
  <c r="I72" i="1"/>
  <c r="I66" i="1"/>
  <c r="I138" i="1"/>
  <c r="I143" i="1"/>
  <c r="N205" i="1" s="1"/>
  <c r="I139" i="1"/>
  <c r="I142" i="1"/>
  <c r="I140" i="1"/>
  <c r="I141" i="1"/>
  <c r="I144" i="1"/>
  <c r="N206" i="1" s="1"/>
  <c r="C138" i="1"/>
  <c r="C66" i="1"/>
  <c r="C67" i="1"/>
  <c r="C139" i="1"/>
  <c r="C201" i="1" s="1"/>
  <c r="C140" i="1"/>
  <c r="C202" i="1" s="1"/>
  <c r="C68" i="1"/>
  <c r="C141" i="1"/>
  <c r="C203" i="1" s="1"/>
  <c r="C69" i="1"/>
  <c r="C142" i="1"/>
  <c r="C204" i="1" s="1"/>
  <c r="C70" i="1"/>
  <c r="C143" i="1"/>
  <c r="C205" i="1" s="1"/>
  <c r="C71" i="1"/>
  <c r="C144" i="1"/>
  <c r="C72" i="1"/>
  <c r="C200" i="1"/>
  <c r="V27" i="1"/>
  <c r="V28" i="1"/>
  <c r="V31" i="1"/>
  <c r="V59" i="1"/>
  <c r="J57" i="31"/>
  <c r="G72" i="30"/>
  <c r="J57" i="30"/>
  <c r="D35" i="20"/>
  <c r="E34" i="20"/>
  <c r="E30" i="20"/>
  <c r="D30" i="20" s="1"/>
  <c r="J15" i="1"/>
  <c r="B3" i="29"/>
  <c r="AB3" i="1" s="1"/>
  <c r="B4" i="29"/>
  <c r="AB4" i="1" s="1"/>
  <c r="G111" i="29"/>
  <c r="Y78" i="1" s="1"/>
  <c r="F111" i="29"/>
  <c r="F72" i="29"/>
  <c r="E72" i="29"/>
  <c r="D72" i="29"/>
  <c r="C72" i="29"/>
  <c r="G63" i="29"/>
  <c r="J56" i="29"/>
  <c r="J54" i="29"/>
  <c r="J53" i="29"/>
  <c r="J52" i="29"/>
  <c r="J51" i="29"/>
  <c r="J50" i="29"/>
  <c r="J49" i="29"/>
  <c r="J48" i="29"/>
  <c r="J47" i="29"/>
  <c r="J45" i="29"/>
  <c r="J44" i="29"/>
  <c r="J43" i="29"/>
  <c r="J42" i="29"/>
  <c r="J40" i="29"/>
  <c r="J39" i="29"/>
  <c r="J38" i="29"/>
  <c r="J37" i="29"/>
  <c r="J35" i="29"/>
  <c r="J34" i="29"/>
  <c r="J33" i="29"/>
  <c r="J32" i="29"/>
  <c r="J31" i="29"/>
  <c r="J30" i="29"/>
  <c r="J29" i="29"/>
  <c r="J28" i="29"/>
  <c r="J26" i="29"/>
  <c r="J25" i="29"/>
  <c r="J22" i="29"/>
  <c r="J21" i="29"/>
  <c r="J20" i="29"/>
  <c r="J19" i="29"/>
  <c r="J18" i="29"/>
  <c r="J17" i="29"/>
  <c r="T13" i="29"/>
  <c r="E22" i="20"/>
  <c r="B6" i="32" l="1"/>
  <c r="AH6" i="1" s="1"/>
  <c r="AI6" i="1" s="1"/>
  <c r="AH5" i="1"/>
  <c r="AI5" i="1" s="1"/>
  <c r="U66" i="1"/>
  <c r="U67" i="1"/>
  <c r="U68" i="1"/>
  <c r="U69" i="1"/>
  <c r="U70" i="1"/>
  <c r="U71" i="1"/>
  <c r="U72" i="1"/>
  <c r="N200" i="1"/>
  <c r="U138" i="1"/>
  <c r="N201" i="1"/>
  <c r="U139" i="1"/>
  <c r="N204" i="1"/>
  <c r="U142" i="1"/>
  <c r="N202" i="1"/>
  <c r="U140" i="1"/>
  <c r="N203" i="1"/>
  <c r="U141" i="1"/>
  <c r="U143" i="1"/>
  <c r="C206" i="1"/>
  <c r="AQ206" i="1" s="1"/>
  <c r="U144" i="1"/>
  <c r="V117" i="1"/>
  <c r="Z180" i="1"/>
  <c r="AQ180" i="1" s="1"/>
  <c r="V122" i="1"/>
  <c r="Z185" i="1"/>
  <c r="AQ185" i="1" s="1"/>
  <c r="Z162" i="1"/>
  <c r="AQ162" i="1" s="1"/>
  <c r="V99" i="1"/>
  <c r="Z163" i="1"/>
  <c r="AQ163" i="1" s="1"/>
  <c r="V100" i="1"/>
  <c r="Z166" i="1"/>
  <c r="AQ166" i="1" s="1"/>
  <c r="V103" i="1"/>
  <c r="V131" i="1"/>
  <c r="Z194" i="1"/>
  <c r="AQ194" i="1" s="1"/>
  <c r="B5" i="31"/>
  <c r="B5" i="30"/>
  <c r="G72" i="29"/>
  <c r="J57" i="29"/>
  <c r="B5" i="29" s="1"/>
  <c r="AA4" i="1"/>
  <c r="D56" i="28"/>
  <c r="J56" i="28" s="1"/>
  <c r="D44" i="28"/>
  <c r="J44" i="28" s="1"/>
  <c r="B3" i="28"/>
  <c r="AA3" i="1" s="1"/>
  <c r="G108" i="28"/>
  <c r="X78" i="1" s="1"/>
  <c r="F108" i="28"/>
  <c r="F72" i="28"/>
  <c r="E72" i="28"/>
  <c r="D72" i="28"/>
  <c r="C72" i="28"/>
  <c r="G63" i="28"/>
  <c r="J54" i="28"/>
  <c r="J53" i="28"/>
  <c r="J52" i="28"/>
  <c r="J51" i="28"/>
  <c r="J50" i="28"/>
  <c r="J49" i="28"/>
  <c r="J48" i="28"/>
  <c r="J47" i="28"/>
  <c r="J45" i="28"/>
  <c r="J43" i="28"/>
  <c r="J42" i="28"/>
  <c r="J40" i="28"/>
  <c r="J39" i="28"/>
  <c r="J38" i="28"/>
  <c r="J37" i="28"/>
  <c r="J35" i="28"/>
  <c r="J34" i="28"/>
  <c r="J33" i="28"/>
  <c r="J32" i="28"/>
  <c r="J31" i="28"/>
  <c r="J30" i="28"/>
  <c r="J29" i="28"/>
  <c r="J28" i="28"/>
  <c r="J26" i="28"/>
  <c r="J25" i="28"/>
  <c r="J22" i="28"/>
  <c r="J21" i="28"/>
  <c r="J20" i="28"/>
  <c r="J19" i="28"/>
  <c r="J18" i="28"/>
  <c r="J17" i="28"/>
  <c r="T13" i="28"/>
  <c r="E24" i="20"/>
  <c r="E23" i="20"/>
  <c r="B6" i="31" l="1"/>
  <c r="AG6" i="1" s="1"/>
  <c r="AG5" i="1"/>
  <c r="E39" i="20"/>
  <c r="AF5" i="1"/>
  <c r="B6" i="30"/>
  <c r="AF6" i="1" s="1"/>
  <c r="B6" i="29"/>
  <c r="AB6" i="1" s="1"/>
  <c r="AB5" i="1"/>
  <c r="G72" i="28"/>
  <c r="J57" i="28"/>
  <c r="Z4" i="1"/>
  <c r="B3" i="27"/>
  <c r="Z3" i="1" s="1"/>
  <c r="G108" i="27"/>
  <c r="W78" i="1" s="1"/>
  <c r="F108" i="27"/>
  <c r="F72" i="27"/>
  <c r="E72" i="27"/>
  <c r="D72" i="27"/>
  <c r="C72" i="27"/>
  <c r="G63" i="27"/>
  <c r="J56" i="27"/>
  <c r="J54" i="27"/>
  <c r="J53" i="27"/>
  <c r="J52" i="27"/>
  <c r="J51" i="27"/>
  <c r="J50" i="27"/>
  <c r="J49" i="27"/>
  <c r="J48" i="27"/>
  <c r="J47" i="27"/>
  <c r="J45" i="27"/>
  <c r="J44" i="27"/>
  <c r="J43" i="27"/>
  <c r="J42" i="27"/>
  <c r="J40" i="27"/>
  <c r="J39" i="27"/>
  <c r="J38" i="27"/>
  <c r="J37" i="27"/>
  <c r="J35" i="27"/>
  <c r="J34" i="27"/>
  <c r="J33" i="27"/>
  <c r="J32" i="27"/>
  <c r="J31" i="27"/>
  <c r="J30" i="27"/>
  <c r="J29" i="27"/>
  <c r="J28" i="27"/>
  <c r="J26" i="27"/>
  <c r="J25" i="27"/>
  <c r="J22" i="27"/>
  <c r="J21" i="27"/>
  <c r="J20" i="27"/>
  <c r="J19" i="27"/>
  <c r="J18" i="27"/>
  <c r="J17" i="27"/>
  <c r="T13" i="27"/>
  <c r="D36" i="20"/>
  <c r="D37" i="20"/>
  <c r="D25" i="20"/>
  <c r="D23" i="20"/>
  <c r="D24" i="20"/>
  <c r="G44" i="20"/>
  <c r="F44" i="20"/>
  <c r="D44" i="20" s="1"/>
  <c r="G43" i="20"/>
  <c r="F43" i="20"/>
  <c r="D43" i="20"/>
  <c r="B5" i="28" l="1"/>
  <c r="G72" i="27"/>
  <c r="J57" i="27"/>
  <c r="B5" i="27" s="1"/>
  <c r="D42" i="20"/>
  <c r="B6" i="27" l="1"/>
  <c r="Z6" i="1" s="1"/>
  <c r="Z5" i="1"/>
  <c r="B6" i="28"/>
  <c r="AA6" i="1" s="1"/>
  <c r="AA5" i="1"/>
  <c r="Y4" i="1"/>
  <c r="T13" i="26"/>
  <c r="G107" i="26"/>
  <c r="V78" i="1" s="1"/>
  <c r="F107" i="26"/>
  <c r="F72" i="26"/>
  <c r="E72" i="26"/>
  <c r="D72" i="26"/>
  <c r="C72" i="26"/>
  <c r="G63" i="26"/>
  <c r="J56" i="26"/>
  <c r="J54" i="26"/>
  <c r="J53" i="26"/>
  <c r="J52" i="26"/>
  <c r="J51" i="26"/>
  <c r="J50" i="26"/>
  <c r="J49" i="26"/>
  <c r="J48" i="26"/>
  <c r="J47" i="26"/>
  <c r="J45" i="26"/>
  <c r="J44" i="26"/>
  <c r="J43" i="26"/>
  <c r="J42" i="26"/>
  <c r="J40" i="26"/>
  <c r="J39" i="26"/>
  <c r="J38" i="26"/>
  <c r="J37" i="26"/>
  <c r="J35" i="26"/>
  <c r="J34" i="26"/>
  <c r="J33" i="26"/>
  <c r="J32" i="26"/>
  <c r="J31" i="26"/>
  <c r="J30" i="26"/>
  <c r="J29" i="26"/>
  <c r="J28" i="26"/>
  <c r="J26" i="26"/>
  <c r="J25" i="26"/>
  <c r="J22" i="26"/>
  <c r="J21" i="26"/>
  <c r="J20" i="26"/>
  <c r="J19" i="26"/>
  <c r="J18" i="26"/>
  <c r="J17" i="26"/>
  <c r="B3" i="26"/>
  <c r="Y3" i="1" s="1"/>
  <c r="G72" i="26" l="1"/>
  <c r="J57" i="26"/>
  <c r="G39" i="20"/>
  <c r="D22" i="20"/>
  <c r="D26" i="20"/>
  <c r="D27" i="20"/>
  <c r="D31" i="20"/>
  <c r="D32" i="20"/>
  <c r="D33" i="20"/>
  <c r="D34" i="20"/>
  <c r="D38" i="20"/>
  <c r="D20" i="20"/>
  <c r="B5" i="26" l="1"/>
  <c r="B6" i="26" l="1"/>
  <c r="Y6" i="1" s="1"/>
  <c r="Y5" i="1"/>
  <c r="X4" i="1" l="1"/>
  <c r="G107" i="25"/>
  <c r="U78" i="1" s="1"/>
  <c r="F107" i="25"/>
  <c r="F72" i="25"/>
  <c r="E72" i="25"/>
  <c r="D72" i="25"/>
  <c r="C72" i="25"/>
  <c r="G63" i="25"/>
  <c r="J56" i="25"/>
  <c r="Z195" i="1" s="1"/>
  <c r="J54" i="25"/>
  <c r="Z193" i="1" s="1"/>
  <c r="J53" i="25"/>
  <c r="Z192" i="1" s="1"/>
  <c r="J52" i="25"/>
  <c r="Z191" i="1" s="1"/>
  <c r="J51" i="25"/>
  <c r="Z190" i="1" s="1"/>
  <c r="J50" i="25"/>
  <c r="Z189" i="1" s="1"/>
  <c r="J49" i="25"/>
  <c r="Z188" i="1" s="1"/>
  <c r="J48" i="25"/>
  <c r="Z187" i="1" s="1"/>
  <c r="J47" i="25"/>
  <c r="Z186" i="1" s="1"/>
  <c r="J45" i="25"/>
  <c r="Z184" i="1" s="1"/>
  <c r="J44" i="25"/>
  <c r="Z183" i="1" s="1"/>
  <c r="J43" i="25"/>
  <c r="Z182" i="1" s="1"/>
  <c r="J42" i="25"/>
  <c r="Z181" i="1" s="1"/>
  <c r="J40" i="25"/>
  <c r="Z179" i="1" s="1"/>
  <c r="J39" i="25"/>
  <c r="Z178" i="1" s="1"/>
  <c r="J38" i="25"/>
  <c r="Z177" i="1" s="1"/>
  <c r="J37" i="25"/>
  <c r="Z176" i="1" s="1"/>
  <c r="J35" i="25"/>
  <c r="Z174" i="1" s="1"/>
  <c r="J34" i="25"/>
  <c r="Z173" i="1" s="1"/>
  <c r="J33" i="25"/>
  <c r="Z172" i="1" s="1"/>
  <c r="J32" i="25"/>
  <c r="Z171" i="1" s="1"/>
  <c r="J31" i="25"/>
  <c r="Z170" i="1" s="1"/>
  <c r="J30" i="25"/>
  <c r="Z169" i="1" s="1"/>
  <c r="J29" i="25"/>
  <c r="Z168" i="1" s="1"/>
  <c r="J28" i="25"/>
  <c r="Z167" i="1" s="1"/>
  <c r="J26" i="25"/>
  <c r="Z165" i="1" s="1"/>
  <c r="J25" i="25"/>
  <c r="Z164" i="1" s="1"/>
  <c r="J22" i="25"/>
  <c r="Z161" i="1" s="1"/>
  <c r="J21" i="25"/>
  <c r="Z160" i="1" s="1"/>
  <c r="J20" i="25"/>
  <c r="Z159" i="1" s="1"/>
  <c r="J19" i="25"/>
  <c r="Z158" i="1" s="1"/>
  <c r="J18" i="25"/>
  <c r="Z157" i="1" s="1"/>
  <c r="J17" i="25"/>
  <c r="T13" i="25"/>
  <c r="B3" i="25"/>
  <c r="X3" i="1" s="1"/>
  <c r="F29" i="20"/>
  <c r="D29" i="20" s="1"/>
  <c r="F21" i="20"/>
  <c r="G72" i="25" l="1"/>
  <c r="Z199" i="1"/>
  <c r="F39" i="20"/>
  <c r="D21" i="20"/>
  <c r="D39" i="20" s="1"/>
  <c r="J57" i="25"/>
  <c r="B5" i="25" l="1"/>
  <c r="B6" i="25" s="1"/>
  <c r="X6" i="1" s="1"/>
  <c r="Z208" i="1"/>
  <c r="Z156" i="1"/>
  <c r="P133" i="1"/>
  <c r="X5" i="1"/>
  <c r="H39" i="20"/>
  <c r="J87" i="1"/>
  <c r="J84" i="1"/>
  <c r="AA201" i="1" l="1"/>
  <c r="AA202" i="1"/>
  <c r="AA203" i="1"/>
  <c r="AA204" i="1"/>
  <c r="AA205" i="1"/>
  <c r="AA206" i="1"/>
  <c r="AA200" i="1"/>
  <c r="AA176" i="1"/>
  <c r="AA185" i="1"/>
  <c r="AA186" i="1"/>
  <c r="AA180" i="1"/>
  <c r="AA192" i="1"/>
  <c r="AA194" i="1"/>
  <c r="AA161" i="1"/>
  <c r="AA187" i="1"/>
  <c r="AA158" i="1"/>
  <c r="AA159" i="1"/>
  <c r="AA157" i="1"/>
  <c r="AA173" i="1"/>
  <c r="AA179" i="1"/>
  <c r="AA190" i="1"/>
  <c r="AA195" i="1"/>
  <c r="AA177" i="1"/>
  <c r="AA178" i="1"/>
  <c r="AA181" i="1"/>
  <c r="AA182" i="1"/>
  <c r="AA183" i="1"/>
  <c r="AA188" i="1"/>
  <c r="AA189" i="1"/>
  <c r="AA193" i="1"/>
  <c r="AA160" i="1"/>
  <c r="AA162" i="1"/>
  <c r="AA163" i="1"/>
  <c r="AA164" i="1"/>
  <c r="AA165" i="1"/>
  <c r="AA174" i="1"/>
  <c r="AA184" i="1"/>
  <c r="AA191" i="1"/>
  <c r="AA166" i="1"/>
  <c r="AA167" i="1"/>
  <c r="AA168" i="1"/>
  <c r="AA169" i="1"/>
  <c r="AA170" i="1"/>
  <c r="AA171" i="1"/>
  <c r="AA172" i="1"/>
  <c r="J48" i="22"/>
  <c r="J19" i="22"/>
  <c r="J48" i="21"/>
  <c r="J19" i="21"/>
  <c r="J48" i="17"/>
  <c r="J19" i="17"/>
  <c r="J48" i="16"/>
  <c r="J19" i="16"/>
  <c r="J48" i="15"/>
  <c r="J19" i="15"/>
  <c r="J48" i="13"/>
  <c r="J19" i="13"/>
  <c r="J48" i="12"/>
  <c r="J19" i="12"/>
  <c r="J48" i="11"/>
  <c r="J19" i="11"/>
  <c r="J48" i="10"/>
  <c r="J19" i="10"/>
  <c r="J48" i="9"/>
  <c r="J19" i="9"/>
  <c r="J48" i="8"/>
  <c r="J19" i="8"/>
  <c r="J48" i="7"/>
  <c r="J19" i="7"/>
  <c r="J48" i="6"/>
  <c r="J19" i="6"/>
  <c r="J48" i="5"/>
  <c r="J19" i="5"/>
  <c r="J48" i="4"/>
  <c r="J19" i="4"/>
  <c r="J48" i="3"/>
  <c r="J19" i="3"/>
  <c r="J48" i="2"/>
  <c r="J19" i="2"/>
  <c r="J48" i="24"/>
  <c r="J19" i="24"/>
  <c r="B4" i="24"/>
  <c r="W4" i="1" s="1"/>
  <c r="G107" i="24"/>
  <c r="F107" i="24"/>
  <c r="T78" i="1" s="1"/>
  <c r="F72" i="24"/>
  <c r="E72" i="24"/>
  <c r="D72" i="24"/>
  <c r="C72" i="24"/>
  <c r="G63" i="24"/>
  <c r="J56" i="24"/>
  <c r="J54" i="24"/>
  <c r="J53" i="24"/>
  <c r="J52" i="24"/>
  <c r="J51" i="24"/>
  <c r="J50" i="24"/>
  <c r="J49" i="24"/>
  <c r="J47" i="24"/>
  <c r="J45" i="24"/>
  <c r="J44" i="24"/>
  <c r="J43" i="24"/>
  <c r="J42" i="24"/>
  <c r="J40" i="24"/>
  <c r="J39" i="24"/>
  <c r="J38" i="24"/>
  <c r="J37" i="24"/>
  <c r="J35" i="24"/>
  <c r="J34" i="24"/>
  <c r="J33" i="24"/>
  <c r="J32" i="24"/>
  <c r="J31" i="24"/>
  <c r="J30" i="24"/>
  <c r="J29" i="24"/>
  <c r="J28" i="24"/>
  <c r="J26" i="24"/>
  <c r="J25" i="24"/>
  <c r="J22" i="24"/>
  <c r="J21" i="24"/>
  <c r="J20" i="24"/>
  <c r="J18" i="24"/>
  <c r="J17" i="24"/>
  <c r="T13" i="24"/>
  <c r="B3" i="24"/>
  <c r="W3" i="1" s="1"/>
  <c r="J23" i="1" l="1"/>
  <c r="AM160" i="1"/>
  <c r="D95" i="1"/>
  <c r="D23" i="1"/>
  <c r="J95" i="1"/>
  <c r="G72" i="24"/>
  <c r="J57" i="24"/>
  <c r="G107" i="22"/>
  <c r="V52" i="1" l="1"/>
  <c r="V23" i="1"/>
  <c r="C187" i="1"/>
  <c r="V124" i="1"/>
  <c r="C158" i="1"/>
  <c r="V95" i="1"/>
  <c r="N187" i="1"/>
  <c r="N158" i="1"/>
  <c r="B5" i="24"/>
  <c r="F72" i="22"/>
  <c r="E72" i="22"/>
  <c r="D72" i="22"/>
  <c r="C72" i="22"/>
  <c r="B4" i="22"/>
  <c r="V4" i="1" s="1"/>
  <c r="F107" i="22"/>
  <c r="S78" i="1" s="1"/>
  <c r="G63" i="22"/>
  <c r="J56" i="22"/>
  <c r="J54" i="22"/>
  <c r="J53" i="22"/>
  <c r="J52" i="22"/>
  <c r="J51" i="22"/>
  <c r="J50" i="22"/>
  <c r="J49" i="22"/>
  <c r="J47" i="22"/>
  <c r="J45" i="22"/>
  <c r="J44" i="22"/>
  <c r="J43" i="22"/>
  <c r="J42" i="22"/>
  <c r="J40" i="22"/>
  <c r="J39" i="22"/>
  <c r="J38" i="22"/>
  <c r="J37" i="22"/>
  <c r="J35" i="22"/>
  <c r="J34" i="22"/>
  <c r="J33" i="22"/>
  <c r="J32" i="22"/>
  <c r="J31" i="22"/>
  <c r="J30" i="22"/>
  <c r="J29" i="22"/>
  <c r="J28" i="22"/>
  <c r="J26" i="22"/>
  <c r="J25" i="22"/>
  <c r="J22" i="22"/>
  <c r="J21" i="22"/>
  <c r="J20" i="22"/>
  <c r="J18" i="22"/>
  <c r="J17" i="22"/>
  <c r="T13" i="22"/>
  <c r="B3" i="22"/>
  <c r="V3" i="1" s="1"/>
  <c r="G72" i="22" l="1"/>
  <c r="AQ187" i="1"/>
  <c r="AQ158" i="1"/>
  <c r="B6" i="24"/>
  <c r="W6" i="1" s="1"/>
  <c r="W5" i="1"/>
  <c r="J57" i="22"/>
  <c r="AQ202" i="1" l="1"/>
  <c r="B5" i="22"/>
  <c r="J26" i="21"/>
  <c r="J26" i="17"/>
  <c r="J26" i="16"/>
  <c r="J26" i="15"/>
  <c r="J26" i="13"/>
  <c r="J28" i="13"/>
  <c r="J29" i="13"/>
  <c r="J26" i="12"/>
  <c r="J28" i="12"/>
  <c r="J29" i="12"/>
  <c r="J26" i="11"/>
  <c r="J28" i="11"/>
  <c r="J29" i="11"/>
  <c r="J26" i="10"/>
  <c r="J28" i="10"/>
  <c r="J29" i="10"/>
  <c r="J26" i="9"/>
  <c r="J28" i="9"/>
  <c r="J29" i="9"/>
  <c r="J30" i="9"/>
  <c r="J26" i="8"/>
  <c r="J28" i="8"/>
  <c r="J29" i="8"/>
  <c r="J26" i="7"/>
  <c r="J28" i="7"/>
  <c r="J29" i="7"/>
  <c r="J26" i="6"/>
  <c r="J28" i="6"/>
  <c r="J29" i="6"/>
  <c r="J26" i="5"/>
  <c r="J28" i="5"/>
  <c r="J29" i="5"/>
  <c r="J26" i="4"/>
  <c r="J28" i="4"/>
  <c r="J29" i="4"/>
  <c r="J28" i="3"/>
  <c r="J29" i="3"/>
  <c r="J26" i="3"/>
  <c r="C57" i="2"/>
  <c r="J26" i="2"/>
  <c r="B4" i="21"/>
  <c r="U4" i="1" s="1"/>
  <c r="G105" i="21"/>
  <c r="F105" i="21"/>
  <c r="R78" i="1" s="1"/>
  <c r="F72" i="21"/>
  <c r="E72" i="21"/>
  <c r="D72" i="21"/>
  <c r="C72" i="21"/>
  <c r="G63" i="21"/>
  <c r="J56" i="21"/>
  <c r="J54" i="21"/>
  <c r="J53" i="21"/>
  <c r="J52" i="21"/>
  <c r="J51" i="21"/>
  <c r="J50" i="21"/>
  <c r="J49" i="21"/>
  <c r="J47" i="21"/>
  <c r="J45" i="21"/>
  <c r="J44" i="21"/>
  <c r="J43" i="21"/>
  <c r="J42" i="21"/>
  <c r="J40" i="21"/>
  <c r="J39" i="21"/>
  <c r="J38" i="21"/>
  <c r="J37" i="21"/>
  <c r="J35" i="21"/>
  <c r="J34" i="21"/>
  <c r="J33" i="21"/>
  <c r="J32" i="21"/>
  <c r="J31" i="21"/>
  <c r="J30" i="21"/>
  <c r="J29" i="21"/>
  <c r="J28" i="21"/>
  <c r="J25" i="21"/>
  <c r="J22" i="21"/>
  <c r="J21" i="21"/>
  <c r="J20" i="21"/>
  <c r="J18" i="21"/>
  <c r="J17" i="21"/>
  <c r="T13" i="21"/>
  <c r="B3" i="21"/>
  <c r="U3" i="1" s="1"/>
  <c r="G45" i="20"/>
  <c r="F45" i="20"/>
  <c r="D45" i="20"/>
  <c r="J30" i="1" l="1"/>
  <c r="H45" i="20"/>
  <c r="B6" i="22"/>
  <c r="V6" i="1" s="1"/>
  <c r="V5" i="1"/>
  <c r="G72" i="21"/>
  <c r="J57" i="21"/>
  <c r="B5" i="21" s="1"/>
  <c r="V30" i="1" l="1"/>
  <c r="C168" i="1"/>
  <c r="C165" i="1"/>
  <c r="V102" i="1"/>
  <c r="N165" i="1"/>
  <c r="B6" i="21"/>
  <c r="U6" i="1" s="1"/>
  <c r="U5" i="1"/>
  <c r="B4" i="17"/>
  <c r="T4" i="1" s="1"/>
  <c r="G105" i="17"/>
  <c r="F105" i="17"/>
  <c r="F72" i="17"/>
  <c r="E72" i="17"/>
  <c r="D72" i="17"/>
  <c r="C72" i="17"/>
  <c r="G63" i="17"/>
  <c r="J56" i="17"/>
  <c r="J54" i="17"/>
  <c r="J53" i="17"/>
  <c r="J52" i="17"/>
  <c r="J51" i="17"/>
  <c r="J50" i="17"/>
  <c r="J49" i="17"/>
  <c r="J47" i="17"/>
  <c r="J45" i="17"/>
  <c r="J44" i="17"/>
  <c r="J43" i="17"/>
  <c r="J42" i="17"/>
  <c r="J40" i="17"/>
  <c r="J39" i="17"/>
  <c r="J38" i="17"/>
  <c r="J37" i="17"/>
  <c r="J35" i="17"/>
  <c r="J34" i="17"/>
  <c r="J33" i="17"/>
  <c r="J32" i="17"/>
  <c r="J31" i="17"/>
  <c r="J30" i="17"/>
  <c r="J29" i="17"/>
  <c r="J28" i="17"/>
  <c r="J25" i="17"/>
  <c r="J22" i="17"/>
  <c r="J21" i="17"/>
  <c r="J20" i="17"/>
  <c r="J18" i="17"/>
  <c r="J17" i="17"/>
  <c r="T13" i="17"/>
  <c r="B3" i="17"/>
  <c r="T3" i="1" s="1"/>
  <c r="G105" i="16"/>
  <c r="F105" i="16"/>
  <c r="J47" i="15"/>
  <c r="J47" i="13"/>
  <c r="J49" i="13"/>
  <c r="J47" i="12"/>
  <c r="J49" i="12"/>
  <c r="J47" i="11"/>
  <c r="J49" i="11"/>
  <c r="J47" i="10"/>
  <c r="J49" i="10"/>
  <c r="J47" i="9"/>
  <c r="J49" i="9"/>
  <c r="J47" i="8"/>
  <c r="J49" i="8"/>
  <c r="J47" i="7"/>
  <c r="J49" i="7"/>
  <c r="J47" i="6"/>
  <c r="J49" i="6"/>
  <c r="J47" i="5"/>
  <c r="J49" i="5"/>
  <c r="J47" i="4"/>
  <c r="J49" i="4"/>
  <c r="J47" i="3"/>
  <c r="J49" i="3"/>
  <c r="J47" i="2"/>
  <c r="J47" i="16"/>
  <c r="B4" i="16"/>
  <c r="S4" i="1" s="1"/>
  <c r="F72" i="16"/>
  <c r="E72" i="16"/>
  <c r="D72" i="16"/>
  <c r="C72" i="16"/>
  <c r="G63" i="16"/>
  <c r="J56" i="16"/>
  <c r="J54" i="16"/>
  <c r="J53" i="16"/>
  <c r="J52" i="16"/>
  <c r="J51" i="16"/>
  <c r="J50" i="16"/>
  <c r="J49" i="16"/>
  <c r="J45" i="16"/>
  <c r="J44" i="16"/>
  <c r="J43" i="16"/>
  <c r="J42" i="16"/>
  <c r="J40" i="16"/>
  <c r="J39" i="16"/>
  <c r="J38" i="16"/>
  <c r="J37" i="16"/>
  <c r="J35" i="16"/>
  <c r="J34" i="16"/>
  <c r="J33" i="16"/>
  <c r="J32" i="16"/>
  <c r="J31" i="16"/>
  <c r="J30" i="16"/>
  <c r="J29" i="16"/>
  <c r="J28" i="16"/>
  <c r="J25" i="16"/>
  <c r="J22" i="16"/>
  <c r="J21" i="16"/>
  <c r="J20" i="16"/>
  <c r="J18" i="16"/>
  <c r="J17" i="16"/>
  <c r="T13" i="16"/>
  <c r="B3" i="16"/>
  <c r="S3" i="1" s="1"/>
  <c r="J29" i="15"/>
  <c r="J49" i="15"/>
  <c r="J49" i="2"/>
  <c r="J50" i="2"/>
  <c r="J51" i="2"/>
  <c r="B4" i="15"/>
  <c r="R4" i="1" s="1"/>
  <c r="G105" i="15"/>
  <c r="O78" i="1" s="1"/>
  <c r="F105" i="15"/>
  <c r="F72" i="15"/>
  <c r="E72" i="15"/>
  <c r="D72" i="15"/>
  <c r="C72" i="15"/>
  <c r="G63" i="15"/>
  <c r="I57" i="15"/>
  <c r="H57" i="15"/>
  <c r="G57" i="15"/>
  <c r="F57" i="15"/>
  <c r="E57" i="15"/>
  <c r="D57" i="15"/>
  <c r="C57" i="15"/>
  <c r="J56" i="15"/>
  <c r="J54" i="15"/>
  <c r="J53" i="15"/>
  <c r="J52" i="15"/>
  <c r="J51" i="15"/>
  <c r="J50" i="15"/>
  <c r="J45" i="15"/>
  <c r="J44" i="15"/>
  <c r="J43" i="15"/>
  <c r="J42" i="15"/>
  <c r="J40" i="15"/>
  <c r="J39" i="15"/>
  <c r="J38" i="15"/>
  <c r="J37" i="15"/>
  <c r="J35" i="15"/>
  <c r="J34" i="15"/>
  <c r="J33" i="15"/>
  <c r="J32" i="15"/>
  <c r="J31" i="15"/>
  <c r="J30" i="15"/>
  <c r="J28" i="15"/>
  <c r="J25" i="15"/>
  <c r="J22" i="15"/>
  <c r="J21" i="15"/>
  <c r="J20" i="15"/>
  <c r="J18" i="15"/>
  <c r="J17" i="15"/>
  <c r="T13" i="15"/>
  <c r="B3" i="15"/>
  <c r="R3" i="1" s="1"/>
  <c r="G103" i="13"/>
  <c r="N78" i="1" s="1"/>
  <c r="D57" i="13"/>
  <c r="E57" i="13"/>
  <c r="F57" i="13"/>
  <c r="G57" i="13"/>
  <c r="H57" i="13"/>
  <c r="I57" i="13"/>
  <c r="C57" i="13"/>
  <c r="J37" i="2"/>
  <c r="J38" i="2"/>
  <c r="J39" i="2"/>
  <c r="J40" i="2"/>
  <c r="J37" i="3"/>
  <c r="J38" i="3"/>
  <c r="J39" i="3"/>
  <c r="J40" i="3"/>
  <c r="J42" i="3"/>
  <c r="J37" i="4"/>
  <c r="J38" i="4"/>
  <c r="J39" i="4"/>
  <c r="J40" i="4"/>
  <c r="J37" i="5"/>
  <c r="J38" i="5"/>
  <c r="J39" i="5"/>
  <c r="J40" i="5"/>
  <c r="J37" i="6"/>
  <c r="J38" i="6"/>
  <c r="J39" i="6"/>
  <c r="J40" i="6"/>
  <c r="J37" i="7"/>
  <c r="J38" i="7"/>
  <c r="J39" i="7"/>
  <c r="J40" i="7"/>
  <c r="J37" i="8"/>
  <c r="J38" i="8"/>
  <c r="J39" i="8"/>
  <c r="J40" i="8"/>
  <c r="J37" i="9"/>
  <c r="J38" i="9"/>
  <c r="J39" i="9"/>
  <c r="J40" i="9"/>
  <c r="J37" i="10"/>
  <c r="J38" i="10"/>
  <c r="J39" i="10"/>
  <c r="J40" i="10"/>
  <c r="J40" i="11"/>
  <c r="J37" i="11"/>
  <c r="J37" i="12"/>
  <c r="J38" i="13"/>
  <c r="J37" i="13"/>
  <c r="B4" i="13"/>
  <c r="Q4" i="1" s="1"/>
  <c r="F103" i="13"/>
  <c r="F72" i="13"/>
  <c r="E72" i="13"/>
  <c r="D72" i="13"/>
  <c r="C72" i="13"/>
  <c r="G63" i="13"/>
  <c r="J56" i="13"/>
  <c r="J54" i="13"/>
  <c r="J53" i="13"/>
  <c r="J52" i="13"/>
  <c r="J51" i="13"/>
  <c r="J50" i="13"/>
  <c r="J45" i="13"/>
  <c r="J44" i="13"/>
  <c r="J43" i="13"/>
  <c r="J42" i="13"/>
  <c r="J40" i="13"/>
  <c r="J39" i="13"/>
  <c r="J35" i="13"/>
  <c r="J34" i="13"/>
  <c r="J33" i="13"/>
  <c r="J32" i="13"/>
  <c r="J31" i="13"/>
  <c r="J30" i="13"/>
  <c r="J25" i="13"/>
  <c r="J22" i="13"/>
  <c r="J21" i="13"/>
  <c r="J20" i="13"/>
  <c r="J18" i="13"/>
  <c r="J17" i="13"/>
  <c r="T13" i="13"/>
  <c r="B3" i="13"/>
  <c r="Q3" i="1" s="1"/>
  <c r="G63" i="12"/>
  <c r="M5" i="1"/>
  <c r="J40" i="12"/>
  <c r="B4" i="12"/>
  <c r="G102" i="12"/>
  <c r="F102" i="12"/>
  <c r="F72" i="12"/>
  <c r="E72" i="12"/>
  <c r="D72" i="12"/>
  <c r="C72" i="12"/>
  <c r="I57" i="12"/>
  <c r="H57" i="12"/>
  <c r="G57" i="12"/>
  <c r="F57" i="12"/>
  <c r="E57" i="12"/>
  <c r="D57" i="12"/>
  <c r="C57" i="12"/>
  <c r="J56" i="12"/>
  <c r="J54" i="12"/>
  <c r="J53" i="12"/>
  <c r="J52" i="12"/>
  <c r="J51" i="12"/>
  <c r="J50" i="12"/>
  <c r="J45" i="12"/>
  <c r="J44" i="12"/>
  <c r="J43" i="12"/>
  <c r="J42" i="12"/>
  <c r="J39" i="12"/>
  <c r="J38" i="12"/>
  <c r="J35" i="12"/>
  <c r="J34" i="12"/>
  <c r="J33" i="12"/>
  <c r="J32" i="12"/>
  <c r="J31" i="12"/>
  <c r="J30" i="12"/>
  <c r="J25" i="12"/>
  <c r="J22" i="12"/>
  <c r="J21" i="12"/>
  <c r="J20" i="12"/>
  <c r="J18" i="12"/>
  <c r="J17" i="12"/>
  <c r="T13" i="12"/>
  <c r="B3" i="12"/>
  <c r="M3" i="1" s="1"/>
  <c r="L5" i="1"/>
  <c r="G102" i="11"/>
  <c r="F102" i="11"/>
  <c r="B4" i="11"/>
  <c r="F72" i="11"/>
  <c r="E72" i="11"/>
  <c r="D72" i="11"/>
  <c r="C72" i="11"/>
  <c r="G63" i="11"/>
  <c r="I57" i="11"/>
  <c r="H57" i="11"/>
  <c r="G57" i="11"/>
  <c r="F57" i="11"/>
  <c r="E57" i="11"/>
  <c r="D57" i="11"/>
  <c r="C57" i="11"/>
  <c r="J56" i="11"/>
  <c r="J54" i="11"/>
  <c r="J53" i="11"/>
  <c r="J52" i="11"/>
  <c r="J51" i="11"/>
  <c r="J50" i="11"/>
  <c r="J45" i="11"/>
  <c r="J44" i="11"/>
  <c r="J43" i="11"/>
  <c r="J42" i="11"/>
  <c r="J39" i="11"/>
  <c r="J38" i="11"/>
  <c r="J35" i="11"/>
  <c r="J34" i="11"/>
  <c r="J33" i="11"/>
  <c r="J32" i="11"/>
  <c r="J31" i="11"/>
  <c r="J30" i="11"/>
  <c r="J25" i="11"/>
  <c r="J22" i="11"/>
  <c r="J21" i="11"/>
  <c r="J20" i="11"/>
  <c r="J18" i="11"/>
  <c r="J17" i="11"/>
  <c r="T13" i="11"/>
  <c r="B3" i="11"/>
  <c r="L3" i="1" s="1"/>
  <c r="K5" i="1"/>
  <c r="J28" i="2"/>
  <c r="J30" i="2"/>
  <c r="J31" i="2"/>
  <c r="J32" i="2"/>
  <c r="J33" i="2"/>
  <c r="J34" i="2"/>
  <c r="J35" i="2"/>
  <c r="J30" i="3"/>
  <c r="J31" i="3"/>
  <c r="J32" i="3"/>
  <c r="J33" i="3"/>
  <c r="J34" i="3"/>
  <c r="J35" i="3"/>
  <c r="J43" i="3"/>
  <c r="J44" i="3"/>
  <c r="J45" i="3"/>
  <c r="J50" i="3"/>
  <c r="J51" i="3"/>
  <c r="J52" i="3"/>
  <c r="J53" i="3"/>
  <c r="J54" i="3"/>
  <c r="J30" i="4"/>
  <c r="J31" i="4"/>
  <c r="J32" i="4"/>
  <c r="J33" i="4"/>
  <c r="J34" i="4"/>
  <c r="J35" i="4"/>
  <c r="J42" i="4"/>
  <c r="J43" i="4"/>
  <c r="J44" i="4"/>
  <c r="J45" i="4"/>
  <c r="J50" i="4"/>
  <c r="J51" i="4"/>
  <c r="J34" i="5"/>
  <c r="J35" i="5"/>
  <c r="J42" i="5"/>
  <c r="J43" i="5"/>
  <c r="J44" i="5"/>
  <c r="J45" i="5"/>
  <c r="J50" i="5"/>
  <c r="J51" i="5"/>
  <c r="J34" i="6"/>
  <c r="J35" i="6"/>
  <c r="J42" i="6"/>
  <c r="J43" i="6"/>
  <c r="J44" i="6"/>
  <c r="J45" i="6"/>
  <c r="J50" i="6"/>
  <c r="J51" i="6"/>
  <c r="J34" i="7"/>
  <c r="J35" i="7"/>
  <c r="J42" i="7"/>
  <c r="J43" i="7"/>
  <c r="J44" i="7"/>
  <c r="J45" i="7"/>
  <c r="J50" i="7"/>
  <c r="J51" i="7"/>
  <c r="J52" i="7"/>
  <c r="J53" i="7"/>
  <c r="J54" i="7"/>
  <c r="J56" i="7"/>
  <c r="J50" i="8"/>
  <c r="J51" i="8"/>
  <c r="J34" i="8"/>
  <c r="J35" i="8"/>
  <c r="J34" i="9"/>
  <c r="J35" i="9"/>
  <c r="J34" i="10"/>
  <c r="J35" i="10"/>
  <c r="B4" i="10"/>
  <c r="K4" i="1" s="1"/>
  <c r="G101" i="10"/>
  <c r="K78" i="1" s="1"/>
  <c r="F101" i="10"/>
  <c r="F72" i="10"/>
  <c r="E72" i="10"/>
  <c r="D72" i="10"/>
  <c r="C72" i="10"/>
  <c r="G63" i="10"/>
  <c r="I57" i="10"/>
  <c r="H57" i="10"/>
  <c r="G57" i="10"/>
  <c r="F57" i="10"/>
  <c r="E57" i="10"/>
  <c r="D57" i="10"/>
  <c r="C57" i="10"/>
  <c r="J56" i="10"/>
  <c r="J54" i="10"/>
  <c r="J53" i="10"/>
  <c r="J52" i="10"/>
  <c r="J51" i="10"/>
  <c r="J50" i="10"/>
  <c r="J45" i="10"/>
  <c r="J44" i="10"/>
  <c r="J43" i="10"/>
  <c r="J42" i="10"/>
  <c r="J33" i="10"/>
  <c r="J32" i="10"/>
  <c r="J31" i="10"/>
  <c r="J30" i="10"/>
  <c r="J25" i="10"/>
  <c r="J22" i="10"/>
  <c r="J21" i="10"/>
  <c r="J20" i="10"/>
  <c r="J18" i="10"/>
  <c r="J17" i="10"/>
  <c r="T13" i="10"/>
  <c r="B3" i="10"/>
  <c r="K3" i="1" s="1"/>
  <c r="J5" i="1"/>
  <c r="G101" i="9"/>
  <c r="J78" i="1" s="1"/>
  <c r="J50" i="9"/>
  <c r="J51" i="9"/>
  <c r="B4" i="9"/>
  <c r="J4" i="1" s="1"/>
  <c r="F101" i="9"/>
  <c r="F72" i="9"/>
  <c r="E72" i="9"/>
  <c r="D72" i="9"/>
  <c r="C72" i="9"/>
  <c r="G63" i="9"/>
  <c r="I57" i="9"/>
  <c r="H57" i="9"/>
  <c r="G57" i="9"/>
  <c r="F57" i="9"/>
  <c r="E57" i="9"/>
  <c r="D57" i="9"/>
  <c r="C57" i="9"/>
  <c r="J56" i="9"/>
  <c r="J54" i="9"/>
  <c r="J53" i="9"/>
  <c r="J52" i="9"/>
  <c r="J45" i="9"/>
  <c r="J44" i="9"/>
  <c r="J43" i="9"/>
  <c r="J42" i="9"/>
  <c r="J33" i="9"/>
  <c r="J32" i="9"/>
  <c r="J31" i="9"/>
  <c r="J25" i="9"/>
  <c r="J22" i="9"/>
  <c r="J21" i="9"/>
  <c r="J20" i="9"/>
  <c r="J18" i="9"/>
  <c r="J17" i="9"/>
  <c r="T13" i="9"/>
  <c r="B3" i="9"/>
  <c r="J3" i="1" s="1"/>
  <c r="G71" i="8"/>
  <c r="I145" i="1" s="1"/>
  <c r="N207" i="1" s="1"/>
  <c r="I5" i="1"/>
  <c r="G101" i="8"/>
  <c r="I78" i="1" s="1"/>
  <c r="F101" i="8"/>
  <c r="F72" i="8"/>
  <c r="E72" i="8"/>
  <c r="D72" i="8"/>
  <c r="C72" i="8"/>
  <c r="G63" i="8"/>
  <c r="I57" i="8"/>
  <c r="H57" i="8"/>
  <c r="G57" i="8"/>
  <c r="F57" i="8"/>
  <c r="E57" i="8"/>
  <c r="D57" i="8"/>
  <c r="C57" i="8"/>
  <c r="J56" i="8"/>
  <c r="J54" i="8"/>
  <c r="J53" i="8"/>
  <c r="J52" i="8"/>
  <c r="J45" i="8"/>
  <c r="J44" i="8"/>
  <c r="J43" i="8"/>
  <c r="J42" i="8"/>
  <c r="J33" i="8"/>
  <c r="J32" i="8"/>
  <c r="J31" i="8"/>
  <c r="J30" i="8"/>
  <c r="J25" i="8"/>
  <c r="J22" i="8"/>
  <c r="J21" i="8"/>
  <c r="J20" i="8"/>
  <c r="J18" i="8"/>
  <c r="J17" i="8"/>
  <c r="T13" i="8"/>
  <c r="B4" i="8"/>
  <c r="I4" i="1" s="1"/>
  <c r="B3" i="8"/>
  <c r="I3" i="1" s="1"/>
  <c r="G71" i="7"/>
  <c r="T13" i="7"/>
  <c r="D25" i="6"/>
  <c r="J25" i="6" s="1"/>
  <c r="D57" i="6"/>
  <c r="H25" i="3"/>
  <c r="H57" i="3"/>
  <c r="E25" i="3"/>
  <c r="E57" i="3"/>
  <c r="D25" i="3"/>
  <c r="D57" i="3" s="1"/>
  <c r="C25" i="3"/>
  <c r="F25" i="2"/>
  <c r="F57" i="2" s="1"/>
  <c r="E25" i="2"/>
  <c r="E57" i="2" s="1"/>
  <c r="D25" i="2"/>
  <c r="D57" i="2" s="1"/>
  <c r="B4" i="7"/>
  <c r="H4" i="1" s="1"/>
  <c r="F101" i="7"/>
  <c r="H78" i="1" s="1"/>
  <c r="E101" i="7"/>
  <c r="F72" i="7"/>
  <c r="E72" i="7"/>
  <c r="D72" i="7"/>
  <c r="C72" i="7"/>
  <c r="G63" i="7"/>
  <c r="I57" i="7"/>
  <c r="H57" i="7"/>
  <c r="G57" i="7"/>
  <c r="F57" i="7"/>
  <c r="E57" i="7"/>
  <c r="D57" i="7"/>
  <c r="C57" i="7"/>
  <c r="J33" i="7"/>
  <c r="J32" i="7"/>
  <c r="J31" i="7"/>
  <c r="J30" i="7"/>
  <c r="J25" i="7"/>
  <c r="J22" i="7"/>
  <c r="J21" i="7"/>
  <c r="J20" i="7"/>
  <c r="J18" i="7"/>
  <c r="J17" i="7"/>
  <c r="B3" i="7"/>
  <c r="H3" i="1" s="1"/>
  <c r="J42" i="2"/>
  <c r="B4" i="6"/>
  <c r="G4" i="1" s="1"/>
  <c r="J30" i="6"/>
  <c r="J30" i="5"/>
  <c r="B4" i="5"/>
  <c r="F4" i="1" s="1"/>
  <c r="J43" i="2"/>
  <c r="J44" i="2"/>
  <c r="J45" i="2"/>
  <c r="J52" i="2"/>
  <c r="J53" i="2"/>
  <c r="F72" i="2"/>
  <c r="E72" i="2"/>
  <c r="D72" i="2"/>
  <c r="C72" i="2"/>
  <c r="I57" i="2"/>
  <c r="H57" i="2"/>
  <c r="G57" i="2"/>
  <c r="I57" i="3"/>
  <c r="G57" i="3"/>
  <c r="F57" i="3"/>
  <c r="F72" i="3"/>
  <c r="E72" i="3"/>
  <c r="D72" i="3"/>
  <c r="C72" i="3"/>
  <c r="F72" i="4"/>
  <c r="E72" i="4"/>
  <c r="D72" i="4"/>
  <c r="C72" i="4"/>
  <c r="I57" i="4"/>
  <c r="H57" i="4"/>
  <c r="G57" i="4"/>
  <c r="F57" i="4"/>
  <c r="E57" i="4"/>
  <c r="D57" i="4"/>
  <c r="C57" i="4"/>
  <c r="F102" i="4"/>
  <c r="J52" i="6"/>
  <c r="J52" i="5"/>
  <c r="J52" i="4"/>
  <c r="J31" i="6"/>
  <c r="J31" i="5"/>
  <c r="B4" i="4"/>
  <c r="E4" i="1" s="1"/>
  <c r="F102" i="3"/>
  <c r="E102" i="3"/>
  <c r="D78" i="1" s="1"/>
  <c r="B3" i="2"/>
  <c r="C3" i="1"/>
  <c r="F101" i="6"/>
  <c r="E101" i="6"/>
  <c r="F72" i="6"/>
  <c r="E72" i="6"/>
  <c r="D72" i="6"/>
  <c r="C72" i="6"/>
  <c r="G63" i="6"/>
  <c r="I57" i="6"/>
  <c r="H57" i="6"/>
  <c r="G57" i="6"/>
  <c r="F57" i="6"/>
  <c r="E57" i="6"/>
  <c r="C57" i="6"/>
  <c r="J56" i="6"/>
  <c r="J54" i="6"/>
  <c r="J53" i="6"/>
  <c r="J33" i="6"/>
  <c r="J32" i="6"/>
  <c r="J22" i="6"/>
  <c r="J21" i="6"/>
  <c r="J20" i="6"/>
  <c r="J18" i="6"/>
  <c r="J17" i="6"/>
  <c r="E13" i="6"/>
  <c r="T13" i="6" s="1"/>
  <c r="B3" i="6"/>
  <c r="G3" i="1" s="1"/>
  <c r="F101" i="5"/>
  <c r="E101" i="5"/>
  <c r="F72" i="5"/>
  <c r="E72" i="5"/>
  <c r="D72" i="5"/>
  <c r="C72" i="5"/>
  <c r="G63" i="5"/>
  <c r="I57" i="5"/>
  <c r="H57" i="5"/>
  <c r="G57" i="5"/>
  <c r="F57" i="5"/>
  <c r="E57" i="5"/>
  <c r="D57" i="5"/>
  <c r="C57" i="5"/>
  <c r="J56" i="5"/>
  <c r="J54" i="5"/>
  <c r="J53" i="5"/>
  <c r="J33" i="5"/>
  <c r="J32" i="5"/>
  <c r="J25" i="5"/>
  <c r="J22" i="5"/>
  <c r="J21" i="5"/>
  <c r="J20" i="5"/>
  <c r="J18" i="5"/>
  <c r="J17" i="5"/>
  <c r="E13" i="5"/>
  <c r="T13" i="5" s="1"/>
  <c r="B3" i="5"/>
  <c r="F3" i="1" s="1"/>
  <c r="E102" i="4"/>
  <c r="G63" i="4"/>
  <c r="J56" i="4"/>
  <c r="J54" i="4"/>
  <c r="J53" i="4"/>
  <c r="J25" i="4"/>
  <c r="J22" i="4"/>
  <c r="J21" i="4"/>
  <c r="J20" i="4"/>
  <c r="J18" i="4"/>
  <c r="J17" i="4"/>
  <c r="R13" i="4"/>
  <c r="E13" i="4"/>
  <c r="T13" i="4" s="1"/>
  <c r="B3" i="4"/>
  <c r="E3" i="1" s="1"/>
  <c r="G63" i="3"/>
  <c r="J56" i="3"/>
  <c r="J22" i="3"/>
  <c r="J21" i="3"/>
  <c r="J20" i="3"/>
  <c r="J18" i="3"/>
  <c r="J17" i="3"/>
  <c r="E13" i="3"/>
  <c r="T13" i="3" s="1"/>
  <c r="B4" i="3"/>
  <c r="D4" i="1" s="1"/>
  <c r="B3" i="3"/>
  <c r="D3" i="1" s="1"/>
  <c r="F100" i="2"/>
  <c r="E100" i="2"/>
  <c r="C78" i="1" s="1"/>
  <c r="G63" i="2"/>
  <c r="J56" i="2"/>
  <c r="J54" i="2"/>
  <c r="J22" i="2"/>
  <c r="J21" i="2"/>
  <c r="J20" i="2"/>
  <c r="J18" i="2"/>
  <c r="J17" i="2"/>
  <c r="E13" i="2"/>
  <c r="S13" i="2" s="1"/>
  <c r="B4" i="2"/>
  <c r="C4" i="1" s="1"/>
  <c r="V33" i="1" l="1"/>
  <c r="C145" i="1"/>
  <c r="C73" i="1"/>
  <c r="U73" i="1" s="1"/>
  <c r="J29" i="1"/>
  <c r="J26" i="1"/>
  <c r="J25" i="1"/>
  <c r="J24" i="1"/>
  <c r="J22" i="1"/>
  <c r="J60" i="1"/>
  <c r="AQ165" i="1"/>
  <c r="B6" i="11"/>
  <c r="L6" i="1" s="1"/>
  <c r="L4" i="1"/>
  <c r="G78" i="1"/>
  <c r="E78" i="1"/>
  <c r="D97" i="1"/>
  <c r="D98" i="1"/>
  <c r="D132" i="1"/>
  <c r="D94" i="1"/>
  <c r="D96" i="1"/>
  <c r="M4" i="1"/>
  <c r="B6" i="12"/>
  <c r="M6" i="1" s="1"/>
  <c r="I137" i="1"/>
  <c r="I65" i="1"/>
  <c r="J132" i="1"/>
  <c r="V116" i="1"/>
  <c r="V115" i="1"/>
  <c r="V114" i="1"/>
  <c r="V105" i="1"/>
  <c r="V104" i="1"/>
  <c r="J98" i="1"/>
  <c r="J97" i="1"/>
  <c r="J96" i="1"/>
  <c r="J94" i="1"/>
  <c r="J21" i="1"/>
  <c r="J93" i="1"/>
  <c r="J10" i="1"/>
  <c r="J17" i="1" s="1"/>
  <c r="J82" i="1"/>
  <c r="J89" i="1" s="1"/>
  <c r="AC3" i="1"/>
  <c r="AC4" i="1"/>
  <c r="B212" i="1"/>
  <c r="M211" i="1"/>
  <c r="B211" i="1"/>
  <c r="N3" i="1"/>
  <c r="G72" i="15"/>
  <c r="G72" i="13"/>
  <c r="G72" i="12"/>
  <c r="G72" i="11"/>
  <c r="J57" i="11"/>
  <c r="B6" i="9"/>
  <c r="J6" i="1" s="1"/>
  <c r="G72" i="7"/>
  <c r="J57" i="5"/>
  <c r="J57" i="4"/>
  <c r="J25" i="3"/>
  <c r="G72" i="2"/>
  <c r="Q78" i="1"/>
  <c r="J57" i="16"/>
  <c r="J57" i="15"/>
  <c r="J57" i="12"/>
  <c r="G72" i="10"/>
  <c r="J57" i="10"/>
  <c r="B6" i="10"/>
  <c r="K6" i="1" s="1"/>
  <c r="G72" i="9"/>
  <c r="J57" i="9"/>
  <c r="J57" i="8"/>
  <c r="J57" i="7"/>
  <c r="J57" i="6"/>
  <c r="F78" i="1"/>
  <c r="G72" i="4"/>
  <c r="C57" i="3"/>
  <c r="J57" i="3" s="1"/>
  <c r="G72" i="16"/>
  <c r="P78" i="1"/>
  <c r="J57" i="13"/>
  <c r="M78" i="1"/>
  <c r="L78" i="1"/>
  <c r="G72" i="8"/>
  <c r="G72" i="6"/>
  <c r="G72" i="5"/>
  <c r="G72" i="3"/>
  <c r="J57" i="2"/>
  <c r="B5" i="2" s="1"/>
  <c r="G72" i="17"/>
  <c r="C65" i="1"/>
  <c r="B6" i="8"/>
  <c r="I6" i="1" s="1"/>
  <c r="C178" i="1"/>
  <c r="D93" i="1"/>
  <c r="D87" i="1"/>
  <c r="V87" i="1" s="1"/>
  <c r="D15" i="1"/>
  <c r="V15" i="1" s="1"/>
  <c r="C137" i="1"/>
  <c r="C176" i="1"/>
  <c r="D82" i="1"/>
  <c r="D10" i="1"/>
  <c r="D25" i="1"/>
  <c r="J25" i="2"/>
  <c r="D22" i="1"/>
  <c r="D21" i="1"/>
  <c r="D24" i="1"/>
  <c r="D26" i="1"/>
  <c r="D84" i="1"/>
  <c r="D12" i="1"/>
  <c r="V12" i="1" s="1"/>
  <c r="J57" i="17"/>
  <c r="V32" i="1" l="1"/>
  <c r="V42" i="1"/>
  <c r="U145" i="1"/>
  <c r="C207" i="1"/>
  <c r="AC78" i="1"/>
  <c r="V51" i="1"/>
  <c r="V47" i="1"/>
  <c r="V35" i="1"/>
  <c r="V26" i="1"/>
  <c r="V54" i="1"/>
  <c r="V25" i="1"/>
  <c r="V34" i="1"/>
  <c r="V49" i="1"/>
  <c r="V43" i="1"/>
  <c r="V38" i="1"/>
  <c r="V46" i="1"/>
  <c r="V37" i="1"/>
  <c r="V36" i="1"/>
  <c r="V48" i="1"/>
  <c r="V39" i="1"/>
  <c r="V24" i="1"/>
  <c r="V44" i="1"/>
  <c r="V22" i="1"/>
  <c r="V57" i="1"/>
  <c r="V53" i="1"/>
  <c r="V56" i="1"/>
  <c r="V60" i="1"/>
  <c r="V55" i="1"/>
  <c r="V58" i="1"/>
  <c r="B5" i="7"/>
  <c r="V121" i="1"/>
  <c r="V120" i="1"/>
  <c r="V98" i="1"/>
  <c r="V110" i="1"/>
  <c r="V125" i="1"/>
  <c r="V111" i="1"/>
  <c r="V109" i="1"/>
  <c r="V106" i="1"/>
  <c r="V130" i="1"/>
  <c r="V127" i="1"/>
  <c r="N4" i="1"/>
  <c r="AJ4" i="1" s="1"/>
  <c r="AP212" i="1" s="1"/>
  <c r="C189" i="1"/>
  <c r="V126" i="1"/>
  <c r="C182" i="1"/>
  <c r="V119" i="1"/>
  <c r="C181" i="1"/>
  <c r="V118" i="1"/>
  <c r="C186" i="1"/>
  <c r="V123" i="1"/>
  <c r="C170" i="1"/>
  <c r="V107" i="1"/>
  <c r="C160" i="1"/>
  <c r="V97" i="1"/>
  <c r="C195" i="1"/>
  <c r="V132" i="1"/>
  <c r="C171" i="1"/>
  <c r="V108" i="1"/>
  <c r="C157" i="1"/>
  <c r="V94" i="1"/>
  <c r="C192" i="1"/>
  <c r="V129" i="1"/>
  <c r="C191" i="1"/>
  <c r="V128" i="1"/>
  <c r="C159" i="1"/>
  <c r="V96" i="1"/>
  <c r="M212" i="1"/>
  <c r="V84" i="1"/>
  <c r="B5" i="4"/>
  <c r="E5" i="1"/>
  <c r="B6" i="4"/>
  <c r="E6" i="1" s="1"/>
  <c r="B5" i="16"/>
  <c r="V101" i="1"/>
  <c r="B5" i="5"/>
  <c r="B5" i="6"/>
  <c r="B5" i="13"/>
  <c r="B5" i="15"/>
  <c r="N195" i="1"/>
  <c r="N193" i="1"/>
  <c r="N192" i="1"/>
  <c r="N191" i="1"/>
  <c r="N190" i="1"/>
  <c r="N189" i="1"/>
  <c r="N188" i="1"/>
  <c r="N186" i="1"/>
  <c r="N184" i="1"/>
  <c r="N183" i="1"/>
  <c r="N182" i="1"/>
  <c r="N181" i="1"/>
  <c r="N179" i="1"/>
  <c r="N178" i="1"/>
  <c r="N177" i="1"/>
  <c r="N176" i="1"/>
  <c r="N174" i="1"/>
  <c r="N173" i="1"/>
  <c r="N172" i="1"/>
  <c r="N171" i="1"/>
  <c r="N170" i="1"/>
  <c r="N169" i="1"/>
  <c r="N168" i="1"/>
  <c r="N167" i="1"/>
  <c r="N164" i="1"/>
  <c r="N161" i="1"/>
  <c r="N160" i="1"/>
  <c r="N159" i="1"/>
  <c r="N157" i="1"/>
  <c r="U65" i="1"/>
  <c r="V82" i="1"/>
  <c r="V10" i="1"/>
  <c r="V17" i="1" s="1"/>
  <c r="V21" i="1"/>
  <c r="AJ3" i="1"/>
  <c r="AP211" i="1" s="1"/>
  <c r="C199" i="1"/>
  <c r="U137" i="1"/>
  <c r="C156" i="1"/>
  <c r="V93" i="1"/>
  <c r="AQ203" i="1"/>
  <c r="AQ205" i="1"/>
  <c r="AQ204" i="1"/>
  <c r="AQ201" i="1"/>
  <c r="B5" i="3"/>
  <c r="B5" i="17"/>
  <c r="B6" i="17" s="1"/>
  <c r="T6" i="1" s="1"/>
  <c r="C190" i="1"/>
  <c r="C177" i="1"/>
  <c r="I74" i="1"/>
  <c r="J61" i="1"/>
  <c r="N156" i="1"/>
  <c r="I146" i="1"/>
  <c r="J133" i="1"/>
  <c r="N199" i="1"/>
  <c r="N208" i="1" s="1"/>
  <c r="C184" i="1"/>
  <c r="AQ200" i="1"/>
  <c r="C172" i="1"/>
  <c r="C179" i="1"/>
  <c r="C188" i="1"/>
  <c r="AQ207" i="1"/>
  <c r="C169" i="1"/>
  <c r="C193" i="1"/>
  <c r="C146" i="1"/>
  <c r="C173" i="1"/>
  <c r="C183" i="1"/>
  <c r="C167" i="1"/>
  <c r="C174" i="1"/>
  <c r="C74" i="1"/>
  <c r="C161" i="1"/>
  <c r="D17" i="1"/>
  <c r="P17" i="1"/>
  <c r="D89" i="1"/>
  <c r="V29" i="1"/>
  <c r="C5" i="1"/>
  <c r="B6" i="2"/>
  <c r="C6" i="1" s="1"/>
  <c r="H5" i="1" l="1"/>
  <c r="B6" i="7"/>
  <c r="H6" i="1" s="1"/>
  <c r="AQ171" i="1"/>
  <c r="AQ170" i="1"/>
  <c r="AQ160" i="1"/>
  <c r="AQ169" i="1"/>
  <c r="AQ182" i="1"/>
  <c r="AQ181" i="1"/>
  <c r="AQ186" i="1"/>
  <c r="AQ189" i="1"/>
  <c r="AQ184" i="1"/>
  <c r="AQ172" i="1"/>
  <c r="AQ179" i="1"/>
  <c r="AQ188" i="1"/>
  <c r="AQ193" i="1"/>
  <c r="AQ173" i="1"/>
  <c r="AQ157" i="1"/>
  <c r="AQ190" i="1"/>
  <c r="AQ177" i="1"/>
  <c r="AQ183" i="1"/>
  <c r="AQ167" i="1"/>
  <c r="AQ174" i="1"/>
  <c r="AQ161" i="1"/>
  <c r="V89" i="1"/>
  <c r="AQ195" i="1"/>
  <c r="AQ192" i="1"/>
  <c r="AQ191" i="1"/>
  <c r="AQ159" i="1"/>
  <c r="AQ178" i="1"/>
  <c r="AQ176" i="1"/>
  <c r="AQ168" i="1"/>
  <c r="B6" i="16"/>
  <c r="S6" i="1" s="1"/>
  <c r="S5" i="1"/>
  <c r="B6" i="3"/>
  <c r="D6" i="1" s="1"/>
  <c r="D5" i="1"/>
  <c r="F5" i="1"/>
  <c r="B6" i="5"/>
  <c r="F6" i="1" s="1"/>
  <c r="B6" i="6"/>
  <c r="G6" i="1" s="1"/>
  <c r="G5" i="1"/>
  <c r="Q5" i="1"/>
  <c r="B6" i="13"/>
  <c r="Q6" i="1" s="1"/>
  <c r="R5" i="1"/>
  <c r="B6" i="15"/>
  <c r="R6" i="1" s="1"/>
  <c r="U74" i="1"/>
  <c r="U146" i="1"/>
  <c r="V133" i="1"/>
  <c r="V61" i="1"/>
  <c r="AQ199" i="1"/>
  <c r="AQ208" i="1" s="1"/>
  <c r="N196" i="1"/>
  <c r="AQ156" i="1"/>
  <c r="AQ212" i="1"/>
  <c r="T5" i="1"/>
  <c r="C208" i="1"/>
  <c r="O74" i="1"/>
  <c r="P89" i="1"/>
  <c r="P61" i="1"/>
  <c r="O146" i="1"/>
  <c r="C164" i="1"/>
  <c r="D133" i="1"/>
  <c r="D61" i="1"/>
  <c r="AQ164" i="1" l="1"/>
  <c r="AQ196" i="1" s="1"/>
  <c r="D164" i="1"/>
  <c r="AK5" i="1"/>
  <c r="AC6" i="1"/>
  <c r="N6" i="1"/>
  <c r="N5" i="1"/>
  <c r="O5" i="1" s="1"/>
  <c r="B213" i="1"/>
  <c r="AC5" i="1"/>
  <c r="X61" i="1"/>
  <c r="Z213" i="1"/>
  <c r="M213" i="1"/>
  <c r="Z212" i="1"/>
  <c r="N212" i="1"/>
  <c r="C212" i="1"/>
  <c r="C196" i="1"/>
  <c r="Z196" i="1"/>
  <c r="D173" i="1" l="1"/>
  <c r="D181" i="1"/>
  <c r="D185" i="1"/>
  <c r="D163" i="1"/>
  <c r="D166" i="1"/>
  <c r="D180" i="1"/>
  <c r="D168" i="1"/>
  <c r="D165" i="1"/>
  <c r="D178" i="1"/>
  <c r="D176" i="1"/>
  <c r="D169" i="1"/>
  <c r="D184" i="1"/>
  <c r="D170" i="1"/>
  <c r="D160" i="1"/>
  <c r="D171" i="1"/>
  <c r="D162" i="1"/>
  <c r="D175" i="1"/>
  <c r="D177" i="1"/>
  <c r="D172" i="1"/>
  <c r="D179" i="1"/>
  <c r="D183" i="1"/>
  <c r="D167" i="1"/>
  <c r="D174" i="1"/>
  <c r="D161" i="1"/>
  <c r="D182" i="1"/>
  <c r="O178" i="1"/>
  <c r="O175" i="1"/>
  <c r="O180" i="1"/>
  <c r="O177" i="1"/>
  <c r="O176" i="1"/>
  <c r="O179" i="1"/>
  <c r="O201" i="1"/>
  <c r="O204" i="1"/>
  <c r="O207" i="1"/>
  <c r="O200" i="1"/>
  <c r="O202" i="1"/>
  <c r="O203" i="1"/>
  <c r="O205" i="1"/>
  <c r="O206" i="1"/>
  <c r="D200" i="1"/>
  <c r="D201" i="1"/>
  <c r="D202" i="1"/>
  <c r="D203" i="1"/>
  <c r="D204" i="1"/>
  <c r="D205" i="1"/>
  <c r="D207" i="1"/>
  <c r="D206" i="1"/>
  <c r="U156" i="1"/>
  <c r="F9" i="20" s="1"/>
  <c r="O163" i="1"/>
  <c r="AR163" i="1" s="1"/>
  <c r="O166" i="1"/>
  <c r="AR166" i="1" s="1"/>
  <c r="AR180" i="1"/>
  <c r="O185" i="1"/>
  <c r="AR185" i="1" s="1"/>
  <c r="O194" i="1"/>
  <c r="AR194" i="1" s="1"/>
  <c r="O162" i="1"/>
  <c r="AR162" i="1" s="1"/>
  <c r="O187" i="1"/>
  <c r="O158" i="1"/>
  <c r="O165" i="1"/>
  <c r="O193" i="1"/>
  <c r="O192" i="1"/>
  <c r="O191" i="1"/>
  <c r="O190" i="1"/>
  <c r="O189" i="1"/>
  <c r="O188" i="1"/>
  <c r="O186" i="1"/>
  <c r="O184" i="1"/>
  <c r="O183" i="1"/>
  <c r="O182" i="1"/>
  <c r="O181" i="1"/>
  <c r="O174" i="1"/>
  <c r="O173" i="1"/>
  <c r="O172" i="1"/>
  <c r="O171" i="1"/>
  <c r="O170" i="1"/>
  <c r="O169" i="1"/>
  <c r="O167" i="1"/>
  <c r="O164" i="1"/>
  <c r="O161" i="1"/>
  <c r="O160" i="1"/>
  <c r="O159" i="1"/>
  <c r="O157" i="1"/>
  <c r="O168" i="1"/>
  <c r="J156" i="1"/>
  <c r="AJ6" i="1"/>
  <c r="D187" i="1"/>
  <c r="AD5" i="1"/>
  <c r="AJ5" i="1"/>
  <c r="AA156" i="1"/>
  <c r="AM159" i="1" s="1"/>
  <c r="AM156" i="1"/>
  <c r="AM157" i="1"/>
  <c r="AA207" i="1"/>
  <c r="AA199" i="1"/>
  <c r="U157" i="1"/>
  <c r="F10" i="20" s="1"/>
  <c r="O156" i="1"/>
  <c r="O195" i="1"/>
  <c r="N213" i="1"/>
  <c r="O199" i="1"/>
  <c r="D158" i="1"/>
  <c r="J157" i="1"/>
  <c r="D188" i="1"/>
  <c r="C213" i="1"/>
  <c r="D199" i="1"/>
  <c r="D159" i="1"/>
  <c r="D186" i="1"/>
  <c r="D191" i="1"/>
  <c r="D192" i="1"/>
  <c r="D195" i="1"/>
  <c r="D190" i="1"/>
  <c r="D193" i="1"/>
  <c r="D189" i="1"/>
  <c r="D157" i="1"/>
  <c r="D156" i="1"/>
  <c r="AR175" i="1" l="1"/>
  <c r="AR206" i="1"/>
  <c r="AR172" i="1"/>
  <c r="AR158" i="1"/>
  <c r="AR202" i="1"/>
  <c r="AR187" i="1"/>
  <c r="AR165" i="1"/>
  <c r="AR164" i="1"/>
  <c r="AR177" i="1"/>
  <c r="AR173" i="1"/>
  <c r="AR183" i="1"/>
  <c r="AR176" i="1"/>
  <c r="AR174" i="1"/>
  <c r="AR188" i="1"/>
  <c r="AR159" i="1"/>
  <c r="AR157" i="1"/>
  <c r="AR178" i="1"/>
  <c r="AR186" i="1"/>
  <c r="AR181" i="1"/>
  <c r="AR191" i="1"/>
  <c r="AR192" i="1"/>
  <c r="AR184" i="1"/>
  <c r="AR179" i="1"/>
  <c r="AR160" i="1"/>
  <c r="AR182" i="1"/>
  <c r="AR195" i="1"/>
  <c r="AR190" i="1"/>
  <c r="AR167" i="1"/>
  <c r="AR169" i="1"/>
  <c r="AR193" i="1"/>
  <c r="AR189" i="1"/>
  <c r="AR161" i="1"/>
  <c r="AR171" i="1"/>
  <c r="AR168" i="1"/>
  <c r="J158" i="1"/>
  <c r="AR170" i="1"/>
  <c r="E9" i="20"/>
  <c r="AX156" i="1"/>
  <c r="D9" i="20" s="1"/>
  <c r="E10" i="20"/>
  <c r="AX157" i="1"/>
  <c r="D10" i="20" s="1"/>
  <c r="AP213" i="1"/>
  <c r="AQ213" i="1" s="1"/>
  <c r="AL5" i="1"/>
  <c r="E13" i="20"/>
  <c r="E14" i="20"/>
  <c r="E12" i="20"/>
  <c r="E15" i="20"/>
  <c r="U161" i="1"/>
  <c r="F14" i="20" s="1"/>
  <c r="AR201" i="1"/>
  <c r="AR156" i="1"/>
  <c r="U160" i="1"/>
  <c r="F13" i="20" s="1"/>
  <c r="U158" i="1"/>
  <c r="U164" i="1"/>
  <c r="U159" i="1"/>
  <c r="F12" i="20" s="1"/>
  <c r="AR207" i="1"/>
  <c r="AR203" i="1"/>
  <c r="U165" i="1"/>
  <c r="AA208" i="1"/>
  <c r="AR200" i="1"/>
  <c r="AR199" i="1"/>
  <c r="AR204" i="1"/>
  <c r="AR205" i="1"/>
  <c r="G10" i="20"/>
  <c r="G9" i="20"/>
  <c r="AA196" i="1"/>
  <c r="J161" i="1"/>
  <c r="O208" i="1"/>
  <c r="J159" i="1"/>
  <c r="J164" i="1"/>
  <c r="O196" i="1"/>
  <c r="D208" i="1"/>
  <c r="D196" i="1"/>
  <c r="J165" i="1"/>
  <c r="J160" i="1"/>
  <c r="E16" i="20" l="1"/>
  <c r="AX165" i="1"/>
  <c r="D16" i="20" s="1"/>
  <c r="F11" i="20"/>
  <c r="AX158" i="1"/>
  <c r="D11" i="20" s="1"/>
  <c r="F15" i="20"/>
  <c r="AX164" i="1"/>
  <c r="D15" i="20" s="1"/>
  <c r="U167" i="1"/>
  <c r="AM167" i="1"/>
  <c r="AM3" i="1" s="1"/>
  <c r="F16" i="20"/>
  <c r="AR208" i="1"/>
  <c r="AT208" i="1" s="1"/>
  <c r="AR196" i="1"/>
  <c r="AT196" i="1" s="1"/>
  <c r="G13" i="20"/>
  <c r="AX160" i="1"/>
  <c r="D13" i="20" s="1"/>
  <c r="G16" i="20"/>
  <c r="G14" i="20"/>
  <c r="AX161" i="1"/>
  <c r="D14" i="20" s="1"/>
  <c r="G12" i="20"/>
  <c r="AX159" i="1"/>
  <c r="D12" i="20" s="1"/>
  <c r="E11" i="20"/>
  <c r="G11" i="20"/>
  <c r="G15" i="20"/>
  <c r="J167" i="1"/>
  <c r="F17" i="20" l="1"/>
  <c r="F6" i="20" s="1"/>
  <c r="E17" i="20"/>
  <c r="E6" i="20" s="1"/>
  <c r="G17" i="20"/>
  <c r="G6" i="20" s="1"/>
  <c r="AX167" i="1"/>
  <c r="D17" i="20"/>
  <c r="D6" i="20" s="1"/>
  <c r="H6" i="20" l="1"/>
  <c r="H1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tc={E234F300-F055-3F40-BD96-DABEC8BE4487}</author>
    <author>tc={D419FEE1-CE18-3C4F-9227-2836534AA4D9}</author>
    <author>tc={7DC90270-0911-3349-9006-F76FFFA2123B}</author>
    <author>tc={4AB4953E-D834-074A-BDFE-E784CD3428EF}</author>
  </authors>
  <commentList>
    <comment ref="E42" authorId="0" shapeId="0" xr:uid="{E234F300-F055-3F40-BD96-DABEC8BE4487}">
      <text>
        <t>[Threaded comment]
Your version of Excel allows you to read this threaded comment; however, any edits to it will get removed if the file is opened in a newer version of Excel. Learn more: https://go.microsoft.com/fwlink/?linkid=870924
Comment:
    Costs converted at an exchange rate of $1=£0.74</t>
      </text>
    </comment>
    <comment ref="F42" authorId="1" shapeId="0" xr:uid="{D419FEE1-CE18-3C4F-9227-2836534AA4D9}">
      <text>
        <t>[Threaded comment]
Your version of Excel allows you to read this threaded comment; however, any edits to it will get removed if the file is opened in a newer version of Excel. Learn more: https://go.microsoft.com/fwlink/?linkid=870924
Comment:
    $692,772 Customer App, People Apps, Corp Site, PoC Work.</t>
      </text>
    </comment>
    <comment ref="G42" authorId="2" shapeId="0" xr:uid="{7DC90270-0911-3349-9006-F76FFFA2123B}">
      <text>
        <t>[Threaded comment]
Your version of Excel allows you to read this threaded comment; however, any edits to it will get removed if the file is opened in a newer version of Excel. Learn more: https://go.microsoft.com/fwlink/?linkid=870924
Comment:
    $227,500</t>
      </text>
    </comment>
    <comment ref="E44" authorId="3" shapeId="0" xr:uid="{4AB4953E-D834-074A-BDFE-E784CD3428EF}">
      <text>
        <t>[Threaded comment]
Your version of Excel allows you to read this threaded comment; however, any edits to it will get removed if the file is opened in a newer version of Excel. Learn more: https://go.microsoft.com/fwlink/?linkid=870924
Comment:
    Aug 25 - Nov 25 Q1 spend
Annual amount expect at £90,890.88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94" authorId="0" shapeId="0" xr:uid="{0545159E-A497-374D-B5FF-F61F75424BAF}">
      <text>
        <r>
          <rPr>
            <sz val="10"/>
            <color indexed="8"/>
            <rFont val="Arial"/>
            <family val="2"/>
          </rPr>
          <t xml:space="preserve">Already invoiced to end of April 24
</t>
        </r>
        <r>
          <rPr>
            <sz val="10"/>
            <color indexed="8"/>
            <rFont val="Arial"/>
            <family val="2"/>
          </rPr>
          <t xml:space="preserve">	-Oliver Morrison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93" authorId="0" shapeId="0" xr:uid="{74C7ED9C-FB24-2242-A30F-3C0E9B5E4F53}">
      <text>
        <r>
          <rPr>
            <sz val="10"/>
            <color indexed="8"/>
            <rFont val="Arial"/>
            <family val="2"/>
          </rPr>
          <t xml:space="preserve">Already invoiced to end of April 24
</t>
        </r>
        <r>
          <rPr>
            <sz val="10"/>
            <color indexed="8"/>
            <rFont val="Arial"/>
            <family val="2"/>
          </rPr>
          <t xml:space="preserve">	-Oliver Morrison</t>
        </r>
      </text>
    </comment>
  </commentList>
</comments>
</file>

<file path=xl/sharedStrings.xml><?xml version="1.0" encoding="utf-8"?>
<sst xmlns="http://schemas.openxmlformats.org/spreadsheetml/2006/main" count="8646" uniqueCount="453">
  <si>
    <t>Month:</t>
  </si>
  <si>
    <r>
      <rPr>
        <b/>
        <sz val="10"/>
        <color indexed="56"/>
        <rFont val="Calibri"/>
        <family val="2"/>
      </rPr>
      <t xml:space="preserve">Billing Amount </t>
    </r>
    <r>
      <rPr>
        <sz val="10"/>
        <color indexed="56"/>
        <rFont val="Calibri"/>
        <family val="2"/>
      </rPr>
      <t>(excl Third Party Services)</t>
    </r>
    <r>
      <rPr>
        <b/>
        <sz val="10"/>
        <color indexed="56"/>
        <rFont val="Calibri"/>
        <family val="2"/>
      </rPr>
      <t>:</t>
    </r>
  </si>
  <si>
    <t>Fixed Team Target Hours:</t>
  </si>
  <si>
    <t>Fixed Team Recorded Hours:</t>
  </si>
  <si>
    <t>Difference:</t>
  </si>
  <si>
    <t>Project Code</t>
  </si>
  <si>
    <t>Forecasted Hours</t>
  </si>
  <si>
    <t>Actual Hours</t>
  </si>
  <si>
    <t>Difference</t>
  </si>
  <si>
    <t>Allergens Service</t>
  </si>
  <si>
    <t>Authentication</t>
  </si>
  <si>
    <t>Customer Information Screens</t>
  </si>
  <si>
    <t>Corporate Website Replatform Build</t>
  </si>
  <si>
    <t xml:space="preserve">Customer Accounts Planning </t>
  </si>
  <si>
    <t>Customer App / PWA / App Manager</t>
  </si>
  <si>
    <t>Employee Verification (with WISDOM)</t>
  </si>
  <si>
    <t>Franchises Customer App</t>
  </si>
  <si>
    <t>myDiscounts App</t>
  </si>
  <si>
    <t>myJDW</t>
  </si>
  <si>
    <t>mySchedule</t>
  </si>
  <si>
    <t xml:space="preserve">Security Response Payment Service </t>
  </si>
  <si>
    <t>WordPress Websites</t>
  </si>
  <si>
    <t>Support and Maintenance Hours</t>
  </si>
  <si>
    <t>Allergens</t>
  </si>
  <si>
    <t>Sitecore Corporate Website</t>
  </si>
  <si>
    <t xml:space="preserve">Third Party Services </t>
  </si>
  <si>
    <t xml:space="preserve">Circulation List </t>
  </si>
  <si>
    <t>akrawczyk@jdwetherspoon.co.uk</t>
  </si>
  <si>
    <t xml:space="preserve">bfry@jdwetherspoon.co.uk </t>
  </si>
  <si>
    <t>ssaglani@jdwetherspoon.co.uk</t>
  </si>
  <si>
    <t>Dedicated Team Billing:</t>
  </si>
  <si>
    <t>25 people (20 dedicated, 5 part-time)</t>
  </si>
  <si>
    <t xml:space="preserve">Planning, Development &amp; Delivery </t>
  </si>
  <si>
    <t>Programme Management Hours</t>
  </si>
  <si>
    <t>Planning</t>
  </si>
  <si>
    <t>Project Management, Meetings &amp; Reporting</t>
  </si>
  <si>
    <t>Design</t>
  </si>
  <si>
    <t>Admin</t>
  </si>
  <si>
    <t>Systems Admin</t>
  </si>
  <si>
    <t>Research</t>
  </si>
  <si>
    <t>Training</t>
  </si>
  <si>
    <t>Finance</t>
  </si>
  <si>
    <t>HR</t>
  </si>
  <si>
    <t>Recruitment</t>
  </si>
  <si>
    <t>Travel</t>
  </si>
  <si>
    <t>Break</t>
  </si>
  <si>
    <t>Lunch</t>
  </si>
  <si>
    <t>Holiday</t>
  </si>
  <si>
    <t>Sick</t>
  </si>
  <si>
    <t>Other Absence</t>
  </si>
  <si>
    <t>Total</t>
  </si>
  <si>
    <t>Projects Hours</t>
  </si>
  <si>
    <t>Development</t>
  </si>
  <si>
    <t>Testing</t>
  </si>
  <si>
    <t>Release</t>
  </si>
  <si>
    <t>Support and Maintenance</t>
  </si>
  <si>
    <t>Customer Support</t>
  </si>
  <si>
    <t>Maintenance</t>
  </si>
  <si>
    <t>Third Party Services</t>
  </si>
  <si>
    <t>Variable</t>
  </si>
  <si>
    <t>Company</t>
  </si>
  <si>
    <t>Website / Application</t>
  </si>
  <si>
    <t>Contracted To</t>
  </si>
  <si>
    <t>Per Annum Charge</t>
  </si>
  <si>
    <t>Per Month Charge</t>
  </si>
  <si>
    <t>Service Notes</t>
  </si>
  <si>
    <t>AWS</t>
  </si>
  <si>
    <t>myJDW, mySchedule, Authentication</t>
  </si>
  <si>
    <t>JDW</t>
  </si>
  <si>
    <t>Charged directly to JDW. Figures are converted from dollars at 0.82 pound sterling.</t>
  </si>
  <si>
    <t>Customer App</t>
  </si>
  <si>
    <t>Auth0 Wisdom &amp; Customer Accounts PoC</t>
  </si>
  <si>
    <t>Corporate Website Sitecore</t>
  </si>
  <si>
    <t>Sendbird</t>
  </si>
  <si>
    <t>Charged directly to JDW. Filter don't have sight of this fee.</t>
  </si>
  <si>
    <t>Elastic Search</t>
  </si>
  <si>
    <t>myJDW &amp; mySchedule</t>
  </si>
  <si>
    <t>Filter</t>
  </si>
  <si>
    <t>Fluctuates depending on usage, charged each month. No real increase for mySchedule as there is limited content to search. Not possible to split by service.</t>
  </si>
  <si>
    <t>Open Weather</t>
  </si>
  <si>
    <t>Fluctuates depending on usage, charged each month., currently not hitting limits to be charged.</t>
  </si>
  <si>
    <t>Ionic Enterprise Package</t>
  </si>
  <si>
    <t>Enterprise package with live updates.</t>
  </si>
  <si>
    <t>Ionic Payments</t>
  </si>
  <si>
    <t>Annual requirement from Feb 24.</t>
  </si>
  <si>
    <t>Apple Developer Enterprise Program - One year</t>
  </si>
  <si>
    <t>Recharegd by Filter. Traditionally we haven't marked this cost up.</t>
  </si>
  <si>
    <t>Google Maps API</t>
  </si>
  <si>
    <t>Corporate &amp; Hotels Websites</t>
  </si>
  <si>
    <t>Fluctuates depending on usage.</t>
  </si>
  <si>
    <t>WordPress Plugins Annual Budget</t>
  </si>
  <si>
    <t>In use across WordPress websites. Included Corporate website once live. Plugins include: Gravity Forms Elite, Search Pro, PersonalizeWP Pro, WPRocket, Imagify, Media Library Organiser Pro, Advanced Custom Fields, Advanced Post Type Order, Yoast Duplicate Post, Admin Columns Pro, WP Migrate Premier, Wordfence, WP Activity Log. Potentially need to look at this as more of a package moving forwards across all sites.</t>
  </si>
  <si>
    <t>Website Hosting</t>
  </si>
  <si>
    <t>Careers</t>
  </si>
  <si>
    <t>This fees will become obsolete if moving to a WP Engine Premier Hosting Solution, see Corporate Website.</t>
  </si>
  <si>
    <t>Investors</t>
  </si>
  <si>
    <t>Hotel</t>
  </si>
  <si>
    <t>Corporate</t>
  </si>
  <si>
    <t>TBC</t>
  </si>
  <si>
    <t>The re-platforming will involve the set-up of a multi-site solution to pull together all the microsites into a single platform. WP Engine have proposed two options for this, please see WP Engine / JDW - proposal for the details. We can discuss this further, alongside the decision as to whether Filter will contract on behalf of JDW (at 15% admin fee) or you choose to contract directly with WP Engine. Included is single node fee.</t>
  </si>
  <si>
    <t>Website Cookie Yes</t>
  </si>
  <si>
    <t>Outside of standard plugin package.</t>
  </si>
  <si>
    <t>Website Yoast SEO Premium</t>
  </si>
  <si>
    <t>Statamic</t>
  </si>
  <si>
    <t>Reduces after one year to c.£60 per year.</t>
  </si>
  <si>
    <t xml:space="preserve">Other Absence </t>
  </si>
  <si>
    <t>Employee Digital Records</t>
  </si>
  <si>
    <t>Intelligence PoC</t>
  </si>
  <si>
    <t>Flagsmith</t>
  </si>
  <si>
    <t>myJDW forms email service</t>
  </si>
  <si>
    <t>WP SMTP</t>
  </si>
  <si>
    <t>To allow for the toggling of features on and off.</t>
  </si>
  <si>
    <t>Bank Holiday</t>
  </si>
  <si>
    <t>Employee Digital Record</t>
  </si>
  <si>
    <t xml:space="preserve">vlenton@jdwetherspoon.co.uk </t>
  </si>
  <si>
    <t xml:space="preserve">ResourceLink HCM / Absence Management </t>
  </si>
  <si>
    <t>Website Gravity Wiz</t>
  </si>
  <si>
    <t>myJDW Forms</t>
  </si>
  <si>
    <t>Website Gravity Flow</t>
  </si>
  <si>
    <t xml:space="preserve">32 FTE </t>
  </si>
  <si>
    <t>ChatBot AWS Costs</t>
  </si>
  <si>
    <t>AWS costs accrued in the Filter account. We have now deleted the main service (Opensearch, which will from now on bring the cost significantly down.</t>
  </si>
  <si>
    <t>Digital Pub Records</t>
  </si>
  <si>
    <t>Disaster Recovery &amp; Business Continuity</t>
  </si>
  <si>
    <t>Hotels Price Comparison</t>
  </si>
  <si>
    <t>Running Total</t>
  </si>
  <si>
    <t>Check</t>
  </si>
  <si>
    <t>amclaughlin@jdwetherspoon.co.uk</t>
  </si>
  <si>
    <t>Suggested Rotas</t>
  </si>
  <si>
    <t>I-000300</t>
  </si>
  <si>
    <t>I-000312</t>
  </si>
  <si>
    <t>I-000313</t>
  </si>
  <si>
    <t>I-000311</t>
  </si>
  <si>
    <t>I-000287</t>
  </si>
  <si>
    <t>I-000314</t>
  </si>
  <si>
    <t>I-000315</t>
  </si>
  <si>
    <t>I-000316</t>
  </si>
  <si>
    <t>I-000274</t>
  </si>
  <si>
    <t>Franchising</t>
  </si>
  <si>
    <t>I-000317</t>
  </si>
  <si>
    <t>I-000318</t>
  </si>
  <si>
    <t>I-000319</t>
  </si>
  <si>
    <t>I-000320</t>
  </si>
  <si>
    <t>I-000239</t>
  </si>
  <si>
    <t>I-000271</t>
  </si>
  <si>
    <t>I-000321</t>
  </si>
  <si>
    <t>I-000322</t>
  </si>
  <si>
    <t>I-000323</t>
  </si>
  <si>
    <t>Various</t>
  </si>
  <si>
    <t>Customer App, Corporate &amp; Hotels Websites</t>
  </si>
  <si>
    <t>This fee will become obsolete from August, with move to dedicated WPEngine hosting charged directly to JDW.</t>
  </si>
  <si>
    <t>Frequency</t>
  </si>
  <si>
    <t>Rota Automation &amp; ChatBot AWS Costs</t>
  </si>
  <si>
    <t>Monthly</t>
  </si>
  <si>
    <t>NA</t>
  </si>
  <si>
    <t>Annual</t>
  </si>
  <si>
    <t>WPEngine Website Hosting</t>
  </si>
  <si>
    <t>Out of Stock Screen Scraping</t>
  </si>
  <si>
    <t xml:space="preserve">Pub Ordering &amp; Receipting Planning </t>
  </si>
  <si>
    <t>I-000329</t>
  </si>
  <si>
    <t>I-000330</t>
  </si>
  <si>
    <t>Franchises myJDW</t>
  </si>
  <si>
    <t>Franchises mySchedule</t>
  </si>
  <si>
    <t>AWS Partnership Select Tier Recharge</t>
  </si>
  <si>
    <t>50% invoiced to JDW at cost</t>
  </si>
  <si>
    <t xml:space="preserve">Microsoft Office Replacement </t>
  </si>
  <si>
    <t xml:space="preserve">Annual Running Total </t>
  </si>
  <si>
    <t>All Time Running Total</t>
  </si>
  <si>
    <t>2024 Programme Management</t>
  </si>
  <si>
    <t>2024 Projects</t>
  </si>
  <si>
    <t>2024 Support and Maintenance Hours</t>
  </si>
  <si>
    <t>Hotels HLS Integration</t>
  </si>
  <si>
    <t xml:space="preserve">Hotels HLS Integration </t>
  </si>
  <si>
    <t>2025 Programme Management</t>
  </si>
  <si>
    <t>2025 Projects</t>
  </si>
  <si>
    <t>2025 Support and Maintenance Hours</t>
  </si>
  <si>
    <t>Total Programme Management</t>
  </si>
  <si>
    <t>Total Projects</t>
  </si>
  <si>
    <t>Total Support and Maintenance Hours</t>
  </si>
  <si>
    <t>Cosmic Giant (JDW Forms)</t>
  </si>
  <si>
    <t>I-000331</t>
  </si>
  <si>
    <t>I-000335</t>
  </si>
  <si>
    <t>I-000332</t>
  </si>
  <si>
    <t>Digital Vouchers</t>
  </si>
  <si>
    <t>Research Project: Possibilities &amp; Benefits of AI</t>
  </si>
  <si>
    <t>myJDW, mySchedule, Customer App</t>
  </si>
  <si>
    <t xml:space="preserve">Customer Accounts </t>
  </si>
  <si>
    <t>PCI DSS Compliance</t>
  </si>
  <si>
    <t xml:space="preserve">WPEngine </t>
  </si>
  <si>
    <t>Corporate, Hotels, Careers, Investors Hosting</t>
  </si>
  <si>
    <t>Annually</t>
  </si>
  <si>
    <t>Charged directly to JDW</t>
  </si>
  <si>
    <t>Apple</t>
  </si>
  <si>
    <t>Developer Enterprise Program - One year. Recharged by Filter. Traditionally we haven't marked this cost up</t>
  </si>
  <si>
    <t xml:space="preserve">Select Tier Partnership </t>
  </si>
  <si>
    <t>50% invoiced to JDW at cost (£986)</t>
  </si>
  <si>
    <t>CookieYes</t>
  </si>
  <si>
    <t>Corporate, Hotels, Careers, Investros, Franchising</t>
  </si>
  <si>
    <t>Outside of standard plugin package</t>
  </si>
  <si>
    <t xml:space="preserve">Cosmic Giant </t>
  </si>
  <si>
    <t xml:space="preserve">myJDW, Corporate, Hotels, Careers, Investors,
Franchising </t>
  </si>
  <si>
    <t>Website Forms</t>
  </si>
  <si>
    <t xml:space="preserve">myJDW, mySchedule, Customer App </t>
  </si>
  <si>
    <t>Three Year</t>
  </si>
  <si>
    <t>Paid annually</t>
  </si>
  <si>
    <t>Google Maps</t>
  </si>
  <si>
    <t xml:space="preserve">Filter </t>
  </si>
  <si>
    <t>Fluctuates depending on usage, charged each month. The Corporate and Hotels websites will switch to the Apple Maps API starting 18 March</t>
  </si>
  <si>
    <t>Ionic</t>
  </si>
  <si>
    <t>Two Year</t>
  </si>
  <si>
    <t>21 Month</t>
  </si>
  <si>
    <t>Auth Connect - from 01st Jun 2025</t>
  </si>
  <si>
    <t>Identity Vault - from 01st Jun 2025</t>
  </si>
  <si>
    <t>AppFlow Scale - Renewed 01st Mar 2025. Fee covers two years.</t>
  </si>
  <si>
    <t>Extra Live Updates (20m) - Renewed 01st Mar 2025. Fee covers 2 years.</t>
  </si>
  <si>
    <t>Payments - Renewed 01st Mar 2025. Fee covers 2 years.</t>
  </si>
  <si>
    <t>MonSpark</t>
  </si>
  <si>
    <t>Customer App, Hotels</t>
  </si>
  <si>
    <t>Source Code Monitoring - PCI-DSS</t>
  </si>
  <si>
    <t>WordPress Plugins</t>
  </si>
  <si>
    <t xml:space="preserve">myJDW, Corporate, Hotels, Careers, Investors, Franchising </t>
  </si>
  <si>
    <t>Plugins include: Advanced Custom Fields PRO, Gravity Forms, Imagify, SearchWP, All Import Pro, WP Rocket, PersonalizeWP</t>
  </si>
  <si>
    <t>WP Mail SMTP Pro</t>
  </si>
  <si>
    <t>Website email service.</t>
  </si>
  <si>
    <t>Yoast SEO Premium</t>
  </si>
  <si>
    <t xml:space="preserve">Corporate, Hotels, Careers, Investors, Franchising </t>
  </si>
  <si>
    <t>Spend Against Recorded Hours</t>
  </si>
  <si>
    <t>Grouping</t>
  </si>
  <si>
    <t>Grouping Summary</t>
  </si>
  <si>
    <t>Customer</t>
  </si>
  <si>
    <t>People</t>
  </si>
  <si>
    <t>Calculated Hourly Rate</t>
  </si>
  <si>
    <t xml:space="preserve">Approx blended rate </t>
  </si>
  <si>
    <t>Hourly Rate Pre Contract £84</t>
  </si>
  <si>
    <t>Filter Application Cost Breakdown</t>
  </si>
  <si>
    <t>Notes</t>
  </si>
  <si>
    <t>FY 2024/25 </t>
  </si>
  <si>
    <t>FY 2023/24</t>
  </si>
  <si>
    <t>OVERALL TOTAL COSTS </t>
  </si>
  <si>
    <t>FILTER INTERNAL COSTS</t>
  </si>
  <si>
    <t>Programme Costs</t>
  </si>
  <si>
    <t>Research &amp; Planning</t>
  </si>
  <si>
    <t>Includes industry research, feasibility and strategic design activities, programme management, financial management, strategic and senior meetings &amp; reporting.</t>
  </si>
  <si>
    <t>Team Management Costs</t>
  </si>
  <si>
    <t>Includes staff recruitment, training, holidays, sick, other absences, travel and breaks for the equivalent of 32 full time Filter employees working on JDW related activities.</t>
  </si>
  <si>
    <t>Development &amp; Delivery Costs</t>
  </si>
  <si>
    <t>Any activity relating to detailed planning, design, development, test and release of the JDW applications or changes to applications relating to People. </t>
  </si>
  <si>
    <t>Any activity relating to detailed planning, design, development, test and release of the JDW applications or changes to applications relating to Customers.</t>
  </si>
  <si>
    <t>Business &amp; Financial Controls</t>
  </si>
  <si>
    <t>Franchising </t>
  </si>
  <si>
    <t>Any activity relating to detailed planning, design, development, test and release of Franchise applications or changes to applications relating to Franchising.</t>
  </si>
  <si>
    <t>Technology &amp; Security</t>
  </si>
  <si>
    <t>Includes any activity relating to the introduction or improvement of common technical platforms (such as AI and Automation) or technical compliance (such as Security, DR and PCI).</t>
  </si>
  <si>
    <t>Support &amp; Maintenance Costs</t>
  </si>
  <si>
    <t>All</t>
  </si>
  <si>
    <t>TOTAL</t>
  </si>
  <si>
    <t>FILTER MANAGED 3rd PARTY SERVICES</t>
  </si>
  <si>
    <t>3rd Party Costs (variable)</t>
  </si>
  <si>
    <t>AWS Cloud Services</t>
  </si>
  <si>
    <t>JDW MANAGED 3rd PARTY SERVICES</t>
  </si>
  <si>
    <t>JDW Third Party Costs (variable)</t>
  </si>
  <si>
    <t>WP Engine</t>
  </si>
  <si>
    <t>Supporting Notes</t>
  </si>
  <si>
    <t>Potential Future costs or cost changes</t>
  </si>
  <si>
    <t xml:space="preserve">Reasearch &amp; Planning </t>
  </si>
  <si>
    <t>R&amp;P</t>
  </si>
  <si>
    <t>TMC</t>
  </si>
  <si>
    <t xml:space="preserve">Franchising </t>
  </si>
  <si>
    <t>Support &amp; Maintenance</t>
  </si>
  <si>
    <t>FY23/24 Feb - Jul</t>
  </si>
  <si>
    <t>FY23/24 Feb - Jul Programme Management</t>
  </si>
  <si>
    <t>FY23/24 Feb - Jul - Support and Maintenance Hours</t>
  </si>
  <si>
    <t>Select Tier Partnership. Annual charge.</t>
  </si>
  <si>
    <t>The partnership approach with Filter started in February 2024</t>
  </si>
  <si>
    <t>Filter provides a comprehensive, fixed-price service model supporting all current and future products. The programme covers Research &amp; Planning, Team Management, Customer and People operations, Business &amp; Financial Controls, Franchising, Technology &amp; Security, and Ongoing Support &amp; Maintenance, delivered by a dedicated team.</t>
  </si>
  <si>
    <t>Feb 23 - Jul 24</t>
  </si>
  <si>
    <t>Feb 24 - Jul 24</t>
  </si>
  <si>
    <t>Customer App UX/UI Redesign</t>
  </si>
  <si>
    <t xml:space="preserve">myAuth </t>
  </si>
  <si>
    <t>myAuth</t>
  </si>
  <si>
    <t>mAuth</t>
  </si>
  <si>
    <t>Ten10</t>
  </si>
  <si>
    <t>Franchise Customer App</t>
  </si>
  <si>
    <t>Project</t>
  </si>
  <si>
    <t>Load Testing Recharge</t>
  </si>
  <si>
    <t>Management Account</t>
  </si>
  <si>
    <t>JDW Test (TST), UAT and Sandbox work.</t>
  </si>
  <si>
    <t>Available Ales on TV Screens</t>
  </si>
  <si>
    <t>QR Code Admin Replatform</t>
  </si>
  <si>
    <t xml:space="preserve">FY24/25 Aug - July Programme Management </t>
  </si>
  <si>
    <t>FY24/25 Aug - July</t>
  </si>
  <si>
    <t>FY24/25 Aug - July - Support and Maintenance Hours</t>
  </si>
  <si>
    <t>Aug 24 - Jul 25</t>
  </si>
  <si>
    <t>FY2025/26</t>
  </si>
  <si>
    <t>2026 Programme Management</t>
  </si>
  <si>
    <t>2026 Support and Maintenance Hours</t>
  </si>
  <si>
    <t>2026 Projects</t>
  </si>
  <si>
    <t>Will be charged March 2026</t>
  </si>
  <si>
    <t>Charged monthly dependent on usage</t>
  </si>
  <si>
    <t>Will be charged June 2026</t>
  </si>
  <si>
    <t>Feb 24 - Jul 24 Running Total</t>
  </si>
  <si>
    <t>Aug 24 - Jul 25 Running Total</t>
  </si>
  <si>
    <t>JDW Test (TST), UAT and Sandbox work. Filter AWS costs have increased, as we've deployed Customer App 6.6 to UAT and we've started building out 6.7 Test - direct costs to JDW have decreased for the month. We have also started taking down the old non-prod equipment in the JDW managed Customer Apps account which will continue this month.</t>
  </si>
  <si>
    <t xml:space="preserve">Will be charged March 2026 </t>
  </si>
  <si>
    <t>DCapstick@jdwetherspoon.co.uk</t>
  </si>
  <si>
    <t>mslaterkinghorn@jdwetherspoon.co.uk</t>
  </si>
  <si>
    <t>mknight@jdwetherspoon.co.uk</t>
  </si>
  <si>
    <t>The application used in myChat to enable communication between employees. Billed on a “Monthly Active User” basis, with various other thresholds.
Note: Costs converted at an exchange rate of $1=£0.74</t>
  </si>
  <si>
    <t>gpilling@jdwetherspoon.co.uk</t>
  </si>
  <si>
    <t>Area</t>
  </si>
  <si>
    <t>Employee Related Costs</t>
  </si>
  <si>
    <t>Set monthly charge for ongoing support and maintenance of the applications and services provided.</t>
  </si>
  <si>
    <t>Any activity relating to detailed planning, design, development, test and release of the JDW applications or changes to applications which support pub or head office process or controls (e.g. Authentication, myCompliance).</t>
  </si>
  <si>
    <t>Any activity relating to detailed planning, design, development, test and release of the JDW applications or changes to applications relating to People.</t>
  </si>
  <si>
    <t>The AWS Cloud platforms used to host production and DR app environments - myJDW, mySchedule, Authentication, Order &amp; Pay App, Customer Accounts, Suggested Rotas, ChatBot.
From June 2025, a gradual shift was started to move test and UAT environments to a separate Filter AWS environment (noted above), starting with Customer App and progressing to People Apps. This is expected to run at c.£5,000 per month, and the JDW AWS account will adjust down accordingly.</t>
  </si>
  <si>
    <t xml:space="preserve">myJDW, mySchedule - Open source search and analytics engine.  Charge, dependent on usage. </t>
  </si>
  <si>
    <t>Corporate, Hotels, Investors, Franchising Websites - Cookie Consent Solution</t>
  </si>
  <si>
    <t>Careers Website - Cookie Consent Solution</t>
  </si>
  <si>
    <t>Cosmic Giant</t>
  </si>
  <si>
    <t>Gravity Forms Enhancement Plugin - myJDW, Corporate, Hotels, Careers, Investors, Franchising</t>
  </si>
  <si>
    <t>myJDW, mySchedule, Order &amp; Pay - Open-source feature flag service to toggle features on and off. Annual charge - new 3 year commitment March 2025 to March 2028.  Next charge March 2026.</t>
  </si>
  <si>
    <t xml:space="preserve">Management Account - test and UAT AWS accounts.
From June 2025, a gradual shift was started to move test and UAT environments to a separate Filter AWS environment, starting with Order &amp; Pay App and progressing to People Apps. This is expected to run at c.£5,000 per month, and the JDW AWS account will adjust down accordingly. </t>
  </si>
  <si>
    <t xml:space="preserve">Order &amp; Pay App - Cross platform application framework.  Enterprise package, live updates and payments modules. Charged for two year commitment. Renewed in March. Slight annual increase due to increase in live updates by further 10 million. </t>
  </si>
  <si>
    <t xml:space="preserve">Order &amp; Pay App - Cross platform application framework. Auth Connect and Identity Vault modules to be used with Customer Accounts. Charged for 21 month commitment. </t>
  </si>
  <si>
    <t>myJDW, Corporate, Hotels, Careers, Investors, Franchising, Careers - To enhance Website functionality. Advanced Custom Fields PRO, Admin Columns Pro, Gravity Forms, Imagify,
SearchWP, WP All Import Pro, WP Rocket, PersonalizeWP, WPMail SMTP Pro. Annual charge.</t>
  </si>
  <si>
    <r>
      <t>Order &amp; Pay App, Hotels</t>
    </r>
    <r>
      <rPr>
        <b/>
        <sz val="10"/>
        <color rgb="FF000000"/>
        <rFont val="Calibri"/>
        <family val="2"/>
      </rPr>
      <t xml:space="preserve"> - </t>
    </r>
    <r>
      <rPr>
        <sz val="10"/>
        <color rgb="FF000000"/>
        <rFont val="Calibri"/>
        <family val="2"/>
      </rPr>
      <t>Source code monitoring for PCI-DSS. Annual charge.</t>
    </r>
  </si>
  <si>
    <t>Website email service, now charged as part of overall plugin package.</t>
  </si>
  <si>
    <t xml:space="preserve">Yoast SEO Premium </t>
  </si>
  <si>
    <t>Corporate, Hotels, Careers, Investors, Franchising - a paid version of the Yoast SEO plugin that provides advanced features to improve a website's search engine optimisation.</t>
  </si>
  <si>
    <t>Report URL</t>
  </si>
  <si>
    <t>myJDW, Corporate, Hotels, Careers, Investors, Franchising, Careers - Content-Security-Policy-Report-Only, web application to restrict sources for JavaScript (and other resources, such as images or CSS).</t>
  </si>
  <si>
    <t>Project Status</t>
  </si>
  <si>
    <t xml:space="preserve">Project Description </t>
  </si>
  <si>
    <t>Live</t>
  </si>
  <si>
    <t>Live - with further phase Zonal Connect</t>
  </si>
  <si>
    <t>myAuth - standalone authentication service, to allow access to all JDW systems.</t>
  </si>
  <si>
    <t>Utilise App Manager to display in stock ales, ciders, draught products and marketing messages on TV screens in pubs.</t>
  </si>
  <si>
    <t xml:space="preserve">Customer Website redesign and development on WordPress from Sitecore. </t>
  </si>
  <si>
    <t>Live - Continuous Improvements</t>
  </si>
  <si>
    <t>Customer Order &amp; Pay App - ongoing development.</t>
  </si>
  <si>
    <t>Customer Order &amp; Pay App - application redesign.</t>
  </si>
  <si>
    <t xml:space="preserve">Ongoing </t>
  </si>
  <si>
    <t>Defining JDW's disaster recovery &amp; business continuity principles, roles &amp; responsibilities, service levels, costs, shared access requirements and system-specific plans</t>
  </si>
  <si>
    <t xml:space="preserve">Planning </t>
  </si>
  <si>
    <t>Customer Order &amp; Pay App - redevelopment of architecture to allow for different EPOS providers.</t>
  </si>
  <si>
    <t>Integration of Zonal's Hotel System (ZHS) with our existing systems and processes for managing hotel bookings and reservations.</t>
  </si>
  <si>
    <t>To enable JDW to compare pricing of competitors.</t>
  </si>
  <si>
    <t>Daisy ChatBot - conversational AI Chatbot that can be used to access relevant information in myLibrary via myJDW app/websites and mySchedule</t>
  </si>
  <si>
    <t>Phase 1: Providing a solution to ensure pubs do not lose access to critical reports/processes when they move to Office 365 F3 licences in October 2025</t>
  </si>
  <si>
    <t>Post Launch Support</t>
  </si>
  <si>
    <t>Customer Information Screens -displaying allergens data to customers in pubs.</t>
  </si>
  <si>
    <t>Master Pub Spreadsheet - replacement of the Future Perfect/Commercial managed Master Pub Spreadsheet and migration of data management to App Manager.</t>
  </si>
  <si>
    <t xml:space="preserve">Employee Digital Records - A new solution to centralise and manage employee data. </t>
  </si>
  <si>
    <t>myJDW 'Lite' - for franchise employee access.</t>
  </si>
  <si>
    <t>mySchedule 'Lite' - for franchise employee access.</t>
  </si>
  <si>
    <t>myAudit - New platform to manage the CQSMA process including a web based management and reporting tool and a new mobile app for callers.</t>
  </si>
  <si>
    <t>myJDW - Employee application to clock-in and out of shifts, book holidays, chat etc.</t>
  </si>
  <si>
    <t>mySchedule - Scheduling and rota platform.</t>
  </si>
  <si>
    <t>Customer Order &amp; Pay App - Payment Card Industry Data Security Standard support as required.</t>
  </si>
  <si>
    <t>Replatforming of QR Code generation platform.</t>
  </si>
  <si>
    <t>Complete</t>
  </si>
  <si>
    <t>mySchedule - Automation of rotas through the use of machine learning and AI technology.</t>
  </si>
  <si>
    <t>Corporate, Hotels, Investors, Franchising, Careers Websites.</t>
  </si>
  <si>
    <t>Customer Order &amp; Pay App - adding Customer Accounts to allow for personalised experiences.</t>
  </si>
  <si>
    <t>Customer Order &amp; Pay App - digitising the paper vouchers process.</t>
  </si>
  <si>
    <t>Project to explore AI opportunities for JDW.</t>
  </si>
  <si>
    <t>Est Launch</t>
  </si>
  <si>
    <t>Nov-25 Pilot</t>
  </si>
  <si>
    <t xml:space="preserve">myJDW - Developer Enterprise Program - Allows large organisations to develop and deploy proprietary, internal-use apps to their employees. </t>
  </si>
  <si>
    <t>WP Engine is a managed WordPress hosting platform for websites built on WordPress. Corporate, Hotels, Investors, Careers, Franchises. Billed on a quarterly basis, with set usage levels and various overage charges. 5 year contract, commenced May 2024.</t>
  </si>
  <si>
    <t xml:space="preserve">Corporate , Hotels Websites - For map API usage. Monthly charge, variable based on usage. </t>
  </si>
  <si>
    <t>myPub</t>
  </si>
  <si>
    <t xml:space="preserve">Project to explore AI opportunities for JDW. The initial project is complete, but further research time might be added to the Project in future. </t>
  </si>
  <si>
    <t xml:space="preserve">33.5 FTE </t>
  </si>
  <si>
    <t>Report URL Content Security Policy</t>
  </si>
  <si>
    <t xml:space="preserve"> myJDW, Corporate, Hotels, Careers, Investors, Franchising, Careers</t>
  </si>
  <si>
    <t xml:space="preserve">Monthly </t>
  </si>
  <si>
    <t>Web application to restrict sources for JavaScript (and other resources, such as images or CSS)</t>
  </si>
  <si>
    <t xml:space="preserve">Releasing </t>
  </si>
  <si>
    <t>myPub - New platform to manage the CQSMA process including a web based management and reporting tool and a new mobile app for callers.</t>
  </si>
  <si>
    <t>hbarrow@jdwetherspoon.co.uk</t>
  </si>
  <si>
    <t xml:space="preserve">34 FTE </t>
  </si>
  <si>
    <t xml:space="preserve">Note a credit will be issued for 1 months payment, due to service interruption. </t>
  </si>
  <si>
    <t>Total Spend FY 2025/2026</t>
  </si>
  <si>
    <t>Total Spend FY 2024/2025</t>
  </si>
  <si>
    <t>Total Spend FY 2023/2024</t>
  </si>
  <si>
    <t>5 Year Contract Spend</t>
  </si>
  <si>
    <t xml:space="preserve">36 FTE </t>
  </si>
  <si>
    <t>Fluctuates depending on usage, charged each month. The Corporate and Hotels websites switched to the Apple Maps API starting 18 March 2025. Improved caching on Customer App reduced charged in December 2025.</t>
  </si>
  <si>
    <t>Google PPC Hotels Pilot</t>
  </si>
  <si>
    <t>Hotels Website</t>
  </si>
  <si>
    <t xml:space="preserve">Open Weather History Bulk (3 Years) </t>
  </si>
  <si>
    <t>One-off</t>
  </si>
  <si>
    <t>Open Weather Forecast Subscription &amp; Actual History Prior Day</t>
  </si>
  <si>
    <t>Fluctuates depending on usage, charged each month.</t>
  </si>
  <si>
    <t xml:space="preserve">One-off charge for historical capture of data. </t>
  </si>
  <si>
    <t>Phase 1: Providing a solution to ensure pubs do not lose access to critical reports/processes with move to Office 365 F3 licences.</t>
  </si>
  <si>
    <t>Google PPC Pilot</t>
  </si>
  <si>
    <t xml:space="preserve">Paid Adverts "Google Pay Per Click" Media Fee for November and December. </t>
  </si>
  <si>
    <t xml:space="preserve">mySchedule - Open Weather History Bulk (3 Years). One-off charge for historical capture of data. </t>
  </si>
  <si>
    <t>mySchedule - Open Weather Forecast Subscription &amp; Actual History Prior Day. Fluctuates depending on usage, charged each month.</t>
  </si>
  <si>
    <t>Charged November 2025</t>
  </si>
  <si>
    <t xml:space="preserve">GitHub Advanced Security </t>
  </si>
  <si>
    <t>All Applications</t>
  </si>
  <si>
    <t>Github integrates deeply into our development and deployment workflow, scanning code at multiple points. £35K per year (overs 35 developers, QAs, dev ops engineers and support). Billed ~£3K per month through Filter. There will be some fluctuation due to exchange rates and use of CI/CD deployment.</t>
  </si>
  <si>
    <t xml:space="preserve">40 FTE </t>
  </si>
  <si>
    <t>On Hold</t>
  </si>
  <si>
    <t>Customer Information Screens -displaying allergens data to customers in pubs. Potential project to update screens and app.</t>
  </si>
  <si>
    <t xml:space="preserve">Development </t>
  </si>
  <si>
    <t>Phased Launches</t>
  </si>
  <si>
    <t>Live - Rollout Happening</t>
  </si>
  <si>
    <t>Live - Phase 2 in Development</t>
  </si>
  <si>
    <t>Live - Phase 2 Planning</t>
  </si>
  <si>
    <t>We are unsure exactly how much JDW pay and how the Bytes discounts work.</t>
  </si>
  <si>
    <t>Commencing Febraury 2026</t>
  </si>
  <si>
    <t xml:space="preserve">43 FTE </t>
  </si>
  <si>
    <t>Customer App - Ibersol Franchise Integration</t>
  </si>
  <si>
    <t>Customer App - Lagardere Franchise Integration</t>
  </si>
  <si>
    <t>myETL</t>
  </si>
  <si>
    <t xml:space="preserve">People Planning </t>
  </si>
  <si>
    <t>Technical Planning</t>
  </si>
  <si>
    <t>Customer Planning</t>
  </si>
  <si>
    <t>People Planning</t>
  </si>
  <si>
    <t xml:space="preserve">Technical Planning </t>
  </si>
  <si>
    <t>Planning / Development</t>
  </si>
  <si>
    <t>Customer Order &amp; Pay App - Barcelona Airport Franchise Integration</t>
  </si>
  <si>
    <t>Customer Order &amp; Pay App - Alicante Airport Franchise Integration</t>
  </si>
  <si>
    <t>Customer Activity Planning, which sits outside of current projects</t>
  </si>
  <si>
    <t>People Activity Planning, which sits outside of current projects</t>
  </si>
  <si>
    <t>Ongoing</t>
  </si>
  <si>
    <t>Technical Activity Planning, which sits outside of current projects</t>
  </si>
  <si>
    <t>The new process for employee data imports (myETL).</t>
  </si>
  <si>
    <t>Support for Franchises</t>
  </si>
  <si>
    <t xml:space="preserve">Support for Franchises </t>
  </si>
  <si>
    <t>Franchises WordPress Websites</t>
  </si>
  <si>
    <t xml:space="preserve">Franchises WordPress Websites </t>
  </si>
  <si>
    <t>Customer Order &amp; Pay App - Barcelona Airport Franchise Integration.</t>
  </si>
  <si>
    <t>Customer Order &amp; Pay App - Alicante Airport Franchise Integration.</t>
  </si>
  <si>
    <t>FY25/26 Programme Management to end Mar 26</t>
  </si>
  <si>
    <t>TOTAL Programme Management to end Mar 26</t>
  </si>
  <si>
    <t>FY25/26 Aug - Mar</t>
  </si>
  <si>
    <t>TOTAL to end Mar 26</t>
  </si>
  <si>
    <t>FY25/26 Aug - Mar 26</t>
  </si>
  <si>
    <t>TOTAL to end Mar 26 -  Support and Maintenance Hours</t>
  </si>
  <si>
    <t>FY25/26 - Aug - Mar 26</t>
  </si>
  <si>
    <t>Feb 24- Mar 26</t>
  </si>
  <si>
    <t>Aug 25-Mar 26</t>
  </si>
  <si>
    <t>Aug 25 -Mar 26</t>
  </si>
  <si>
    <t>Feb 24 - Mar 26</t>
  </si>
  <si>
    <t>Aug 25 - Mar 26</t>
  </si>
  <si>
    <t>IT Summary March 2026</t>
  </si>
  <si>
    <t>Aug 25 - Mar 26 Running Total</t>
  </si>
  <si>
    <t>The Flagsmith annual charge of £36,951.55 was billed in March 2026. This is the open-source feature flag service used across myJDW, mySchedule and Customer Order &amp;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</si>
</sst>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0"/>
    <numFmt numFmtId="165" formatCode="[$£-452]#,##0.00"/>
    <numFmt numFmtId="166" formatCode="&quot;£&quot;#,##0.00"/>
  </numFmts>
  <fonts count="29" x14ac:knownFonts="1">
    <font>
      <sz val="10"/>
      <color rgb="FF000000"/>
      <name val="Arial"/>
      <family val="2"/>
      <scheme val="minor"/>
    </font>
    <font>
      <b/>
      <sz val="10"/>
      <color indexed="56"/>
      <name val="Calibri"/>
      <family val="2"/>
    </font>
    <font>
      <sz val="10"/>
      <color indexed="56"/>
      <name val="Calibri"/>
      <family val="2"/>
    </font>
    <font>
      <sz val="10"/>
      <name val="Arial"/>
      <family val="2"/>
    </font>
    <font>
      <sz val="10"/>
      <color indexed="8"/>
      <name val="Arial"/>
      <family val="2"/>
    </font>
    <font>
      <b/>
      <sz val="10"/>
      <color rgb="FF073763"/>
      <name val="Calibri"/>
      <family val="2"/>
    </font>
    <font>
      <sz val="10"/>
      <color rgb="FF073763"/>
      <name val="Calibri"/>
      <family val="2"/>
    </font>
    <font>
      <sz val="10"/>
      <color theme="1"/>
      <name val="Calibri"/>
      <family val="2"/>
    </font>
    <font>
      <b/>
      <sz val="12"/>
      <color rgb="FF073763"/>
      <name val="Calibri"/>
      <family val="2"/>
    </font>
    <font>
      <i/>
      <sz val="10"/>
      <color rgb="FFFF0000"/>
      <name val="Calibri"/>
      <family val="2"/>
    </font>
    <font>
      <b/>
      <sz val="9"/>
      <color rgb="FF073763"/>
      <name val="Calibri"/>
      <family val="2"/>
    </font>
    <font>
      <sz val="9"/>
      <color rgb="FF073763"/>
      <name val="Calibri"/>
      <family val="2"/>
    </font>
    <font>
      <sz val="10"/>
      <color rgb="FF002060"/>
      <name val="Calibri"/>
      <family val="2"/>
    </font>
    <font>
      <b/>
      <sz val="10"/>
      <color rgb="FF002060"/>
      <name val="Calibri"/>
      <family val="2"/>
    </font>
    <font>
      <sz val="10"/>
      <color rgb="FF002060"/>
      <name val="Arial"/>
      <family val="2"/>
      <scheme val="minor"/>
    </font>
    <font>
      <b/>
      <sz val="10"/>
      <color rgb="FF002060"/>
      <name val="Arial"/>
      <family val="2"/>
      <scheme val="minor"/>
    </font>
    <font>
      <sz val="11"/>
      <color rgb="FF000000"/>
      <name val="Calibri"/>
      <family val="2"/>
    </font>
    <font>
      <b/>
      <sz val="11"/>
      <color rgb="FF000000"/>
      <name val="Calibri"/>
      <family val="2"/>
    </font>
    <font>
      <sz val="10"/>
      <color rgb="FF000000"/>
      <name val="Calibri"/>
      <family val="2"/>
    </font>
    <font>
      <sz val="11"/>
      <color rgb="FFFF0000"/>
      <name val="Calibri"/>
      <family val="2"/>
    </font>
    <font>
      <b/>
      <sz val="11"/>
      <color rgb="FF002060"/>
      <name val="Calibri"/>
      <family val="2"/>
    </font>
    <font>
      <sz val="11"/>
      <color rgb="FF002060"/>
      <name val="Calibri"/>
      <family val="2"/>
    </font>
    <font>
      <sz val="11"/>
      <color theme="1"/>
      <name val="Calibri"/>
      <family val="2"/>
    </font>
    <font>
      <b/>
      <sz val="11"/>
      <color theme="1"/>
      <name val="Calibri"/>
      <family val="2"/>
    </font>
    <font>
      <b/>
      <sz val="10"/>
      <color theme="1" tint="0.499984740745262"/>
      <name val="Calibri"/>
      <family val="2"/>
    </font>
    <font>
      <sz val="10"/>
      <color theme="1" tint="0.499984740745262"/>
      <name val="Calibri"/>
      <family val="2"/>
    </font>
    <font>
      <sz val="10"/>
      <color rgb="FFFF0000"/>
      <name val="Calibri"/>
      <family val="2"/>
    </font>
    <font>
      <b/>
      <sz val="10"/>
      <color rgb="FF000000"/>
      <name val="Calibri"/>
      <family val="2"/>
    </font>
    <font>
      <u/>
      <sz val="10"/>
      <color theme="10"/>
      <name val="Arial"/>
      <family val="2"/>
      <scheme val="minor"/>
    </font>
  </fonts>
  <fills count="9">
    <fill>
      <patternFill patternType="none"/>
    </fill>
    <fill>
      <patternFill patternType="gray125"/>
    </fill>
    <fill>
      <patternFill patternType="solid">
        <fgColor rgb="FF073763"/>
        <bgColor rgb="FF073763"/>
      </patternFill>
    </fill>
    <fill>
      <patternFill patternType="solid">
        <fgColor rgb="FF00206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8" fillId="0" borderId="0" applyNumberFormat="0" applyFill="0" applyBorder="0" applyAlignment="0" applyProtection="0"/>
  </cellStyleXfs>
  <cellXfs count="157">
    <xf numFmtId="0" fontId="0" fillId="0" borderId="0" xfId="0"/>
    <xf numFmtId="0" fontId="5" fillId="0" borderId="0" xfId="0" applyFont="1"/>
    <xf numFmtId="0" fontId="5" fillId="0" borderId="0" xfId="0" applyFont="1" applyAlignment="1">
      <alignment horizontal="right"/>
    </xf>
    <xf numFmtId="0" fontId="6" fillId="0" borderId="0" xfId="0" applyFont="1"/>
    <xf numFmtId="0" fontId="7" fillId="0" borderId="0" xfId="0" applyFont="1"/>
    <xf numFmtId="164" fontId="6" fillId="0" borderId="0" xfId="0" applyNumberFormat="1" applyFont="1"/>
    <xf numFmtId="3" fontId="6" fillId="0" borderId="0" xfId="0" applyNumberFormat="1" applyFont="1"/>
    <xf numFmtId="0" fontId="6" fillId="2" borderId="0" xfId="0" applyFont="1" applyFill="1"/>
    <xf numFmtId="0" fontId="5" fillId="0" borderId="0" xfId="0" applyFont="1" applyAlignment="1">
      <alignment horizontal="center"/>
    </xf>
    <xf numFmtId="0" fontId="5" fillId="0" borderId="0" xfId="0" applyFont="1" applyAlignment="1">
      <alignment horizontal="center" wrapText="1"/>
    </xf>
    <xf numFmtId="0" fontId="7" fillId="2" borderId="0" xfId="0" applyFont="1" applyFill="1"/>
    <xf numFmtId="0" fontId="8" fillId="0" borderId="0" xfId="0" applyFont="1"/>
    <xf numFmtId="164" fontId="6" fillId="0" borderId="0" xfId="0" applyNumberFormat="1" applyFont="1" applyAlignment="1">
      <alignment horizontal="right"/>
    </xf>
    <xf numFmtId="0" fontId="9" fillId="0" borderId="0" xfId="0" applyFont="1"/>
    <xf numFmtId="0" fontId="10" fillId="0" borderId="1" xfId="0" applyFont="1" applyBorder="1"/>
    <xf numFmtId="0" fontId="6" fillId="0" borderId="1" xfId="0" applyFont="1" applyBorder="1"/>
    <xf numFmtId="0" fontId="6" fillId="0" borderId="1" xfId="0" applyFont="1" applyBorder="1" applyAlignment="1">
      <alignment horizontal="right"/>
    </xf>
    <xf numFmtId="0" fontId="11" fillId="0" borderId="1" xfId="0" applyFont="1" applyBorder="1"/>
    <xf numFmtId="0" fontId="11" fillId="0" borderId="2" xfId="0" applyFont="1" applyBorder="1"/>
    <xf numFmtId="0" fontId="11" fillId="0" borderId="1" xfId="0" applyFont="1" applyBorder="1" applyAlignment="1">
      <alignment horizontal="center"/>
    </xf>
    <xf numFmtId="164" fontId="11" fillId="0" borderId="1" xfId="0" applyNumberFormat="1" applyFont="1" applyBorder="1" applyAlignment="1">
      <alignment horizontal="right"/>
    </xf>
    <xf numFmtId="164" fontId="6" fillId="0" borderId="1" xfId="0" applyNumberFormat="1" applyFont="1" applyBorder="1"/>
    <xf numFmtId="164" fontId="6" fillId="0" borderId="1" xfId="0" applyNumberFormat="1" applyFont="1" applyBorder="1" applyAlignment="1">
      <alignment horizontal="right"/>
    </xf>
    <xf numFmtId="164" fontId="5" fillId="0" borderId="0" xfId="0" applyNumberFormat="1" applyFont="1"/>
    <xf numFmtId="0" fontId="11" fillId="0" borderId="0" xfId="0" applyFont="1"/>
    <xf numFmtId="0" fontId="3" fillId="0" borderId="0" xfId="0" applyFont="1"/>
    <xf numFmtId="0" fontId="11" fillId="0" borderId="0" xfId="0" applyFont="1" applyAlignment="1">
      <alignment horizontal="center"/>
    </xf>
    <xf numFmtId="164" fontId="11" fillId="0" borderId="0" xfId="0" applyNumberFormat="1" applyFont="1" applyAlignment="1">
      <alignment horizontal="right"/>
    </xf>
    <xf numFmtId="0" fontId="3" fillId="0" borderId="3" xfId="0" applyFont="1" applyBorder="1"/>
    <xf numFmtId="0" fontId="3" fillId="0" borderId="4" xfId="0" applyFont="1" applyBorder="1"/>
    <xf numFmtId="0" fontId="11" fillId="0" borderId="3" xfId="0" applyFont="1" applyBorder="1"/>
    <xf numFmtId="4" fontId="6" fillId="0" borderId="0" xfId="0" applyNumberFormat="1" applyFont="1"/>
    <xf numFmtId="4" fontId="5" fillId="0" borderId="0" xfId="0" applyNumberFormat="1" applyFont="1"/>
    <xf numFmtId="2" fontId="6" fillId="0" borderId="0" xfId="0" applyNumberFormat="1" applyFont="1"/>
    <xf numFmtId="2" fontId="5" fillId="0" borderId="0" xfId="0" applyNumberFormat="1" applyFont="1"/>
    <xf numFmtId="0" fontId="6" fillId="0" borderId="0" xfId="0" applyFont="1" applyAlignment="1">
      <alignment horizontal="right"/>
    </xf>
    <xf numFmtId="0" fontId="6" fillId="0" borderId="0" xfId="0" applyFont="1" applyAlignment="1">
      <alignment wrapText="1"/>
    </xf>
    <xf numFmtId="0" fontId="6" fillId="0" borderId="2" xfId="0" applyFont="1" applyBorder="1"/>
    <xf numFmtId="0" fontId="10" fillId="0" borderId="2" xfId="0" applyFont="1" applyBorder="1"/>
    <xf numFmtId="0" fontId="11" fillId="0" borderId="5" xfId="0" applyFont="1" applyBorder="1" applyAlignment="1">
      <alignment horizontal="center"/>
    </xf>
    <xf numFmtId="4" fontId="12" fillId="0" borderId="0" xfId="0" applyNumberFormat="1" applyFont="1"/>
    <xf numFmtId="17" fontId="5" fillId="0" borderId="0" xfId="0" applyNumberFormat="1" applyFont="1" applyAlignment="1">
      <alignment horizontal="right"/>
    </xf>
    <xf numFmtId="17" fontId="13" fillId="0" borderId="0" xfId="0" applyNumberFormat="1" applyFont="1"/>
    <xf numFmtId="164" fontId="12" fillId="0" borderId="0" xfId="0" applyNumberFormat="1" applyFont="1"/>
    <xf numFmtId="165" fontId="12" fillId="0" borderId="0" xfId="0" applyNumberFormat="1" applyFont="1"/>
    <xf numFmtId="3" fontId="12" fillId="0" borderId="0" xfId="0" applyNumberFormat="1" applyFont="1"/>
    <xf numFmtId="0" fontId="6" fillId="0" borderId="1" xfId="0" applyFont="1" applyBorder="1" applyAlignment="1">
      <alignment horizontal="center"/>
    </xf>
    <xf numFmtId="0" fontId="5" fillId="0" borderId="0" xfId="0" applyFont="1" applyAlignment="1">
      <alignment horizontal="left" wrapText="1"/>
    </xf>
    <xf numFmtId="165" fontId="13" fillId="0" borderId="0" xfId="0" applyNumberFormat="1" applyFont="1"/>
    <xf numFmtId="0" fontId="5" fillId="0" borderId="0" xfId="0" applyFont="1" applyAlignment="1">
      <alignment horizontal="left"/>
    </xf>
    <xf numFmtId="0" fontId="12" fillId="0" borderId="0" xfId="0" applyFont="1"/>
    <xf numFmtId="165" fontId="7" fillId="0" borderId="0" xfId="0" applyNumberFormat="1" applyFont="1"/>
    <xf numFmtId="0" fontId="13" fillId="0" borderId="0" xfId="0" applyFont="1"/>
    <xf numFmtId="0" fontId="12" fillId="0" borderId="0" xfId="0" applyFont="1" applyAlignment="1">
      <alignment wrapText="1"/>
    </xf>
    <xf numFmtId="0" fontId="15" fillId="0" borderId="0" xfId="0" applyFont="1" applyAlignment="1">
      <alignment wrapText="1"/>
    </xf>
    <xf numFmtId="0" fontId="14" fillId="0" borderId="0" xfId="0" applyFont="1" applyAlignment="1">
      <alignment wrapText="1"/>
    </xf>
    <xf numFmtId="0" fontId="16" fillId="0" borderId="0" xfId="0" applyFont="1" applyAlignment="1">
      <alignment wrapText="1"/>
    </xf>
    <xf numFmtId="17" fontId="13" fillId="0" borderId="0" xfId="0" applyNumberFormat="1" applyFont="1" applyAlignment="1">
      <alignment horizontal="right" wrapText="1"/>
    </xf>
    <xf numFmtId="0" fontId="13" fillId="0" borderId="0" xfId="0" applyFont="1" applyAlignment="1">
      <alignment horizontal="right" wrapText="1"/>
    </xf>
    <xf numFmtId="17" fontId="13" fillId="0" borderId="0" xfId="0" applyNumberFormat="1" applyFont="1" applyAlignment="1">
      <alignment wrapText="1"/>
    </xf>
    <xf numFmtId="164" fontId="12" fillId="0" borderId="0" xfId="0" applyNumberFormat="1" applyFont="1" applyAlignment="1">
      <alignment wrapText="1"/>
    </xf>
    <xf numFmtId="165" fontId="12" fillId="0" borderId="0" xfId="0" applyNumberFormat="1" applyFont="1" applyAlignment="1">
      <alignment wrapText="1"/>
    </xf>
    <xf numFmtId="4" fontId="12" fillId="0" borderId="0" xfId="0" applyNumberFormat="1" applyFont="1" applyAlignment="1">
      <alignment wrapText="1"/>
    </xf>
    <xf numFmtId="0" fontId="18" fillId="0" borderId="0" xfId="0" applyFont="1" applyAlignment="1">
      <alignment wrapText="1"/>
    </xf>
    <xf numFmtId="3" fontId="12" fillId="0" borderId="0" xfId="0" applyNumberFormat="1" applyFont="1" applyAlignment="1">
      <alignment wrapText="1"/>
    </xf>
    <xf numFmtId="0" fontId="19" fillId="0" borderId="0" xfId="0" applyFont="1" applyAlignment="1">
      <alignment wrapText="1"/>
    </xf>
    <xf numFmtId="0" fontId="16" fillId="0" borderId="0" xfId="0" applyFont="1" applyAlignment="1">
      <alignment vertical="top" wrapText="1"/>
    </xf>
    <xf numFmtId="0" fontId="19" fillId="0" borderId="0" xfId="0" applyFont="1" applyAlignment="1">
      <alignment vertical="top" wrapText="1"/>
    </xf>
    <xf numFmtId="0" fontId="12" fillId="0" borderId="0" xfId="0" applyFont="1" applyAlignment="1">
      <alignment vertical="top" wrapText="1"/>
    </xf>
    <xf numFmtId="6" fontId="20" fillId="0" borderId="0" xfId="0" applyNumberFormat="1" applyFont="1" applyAlignment="1">
      <alignment wrapText="1"/>
    </xf>
    <xf numFmtId="0" fontId="7" fillId="0" borderId="0" xfId="0" applyFont="1" applyAlignment="1">
      <alignment wrapText="1"/>
    </xf>
    <xf numFmtId="0" fontId="22" fillId="0" borderId="0" xfId="0" applyFont="1" applyAlignment="1">
      <alignment wrapText="1"/>
    </xf>
    <xf numFmtId="0" fontId="24" fillId="0" borderId="0" xfId="0" applyFont="1"/>
    <xf numFmtId="4" fontId="24" fillId="0" borderId="0" xfId="0" quotePrefix="1" applyNumberFormat="1" applyFont="1"/>
    <xf numFmtId="4" fontId="24" fillId="0" borderId="0" xfId="0" applyNumberFormat="1" applyFont="1"/>
    <xf numFmtId="4" fontId="25" fillId="0" borderId="0" xfId="0" applyNumberFormat="1" applyFont="1" applyAlignment="1">
      <alignment horizontal="right"/>
    </xf>
    <xf numFmtId="4" fontId="25" fillId="0" borderId="0" xfId="0" applyNumberFormat="1" applyFont="1"/>
    <xf numFmtId="0" fontId="6" fillId="3" borderId="0" xfId="0" applyFont="1" applyFill="1"/>
    <xf numFmtId="0" fontId="7" fillId="3" borderId="0" xfId="0" applyFont="1" applyFill="1"/>
    <xf numFmtId="4" fontId="13" fillId="0" borderId="0" xfId="0" applyNumberFormat="1" applyFont="1"/>
    <xf numFmtId="0" fontId="0" fillId="4" borderId="0" xfId="0" applyFill="1"/>
    <xf numFmtId="0" fontId="7" fillId="4" borderId="0" xfId="0" applyFont="1" applyFill="1"/>
    <xf numFmtId="2" fontId="12" fillId="0" borderId="0" xfId="0" applyNumberFormat="1" applyFont="1" applyAlignment="1">
      <alignment wrapText="1"/>
    </xf>
    <xf numFmtId="0" fontId="20" fillId="0" borderId="0" xfId="0" applyFont="1" applyAlignment="1">
      <alignment vertical="top" wrapText="1"/>
    </xf>
    <xf numFmtId="0" fontId="20" fillId="7" borderId="6" xfId="0" applyFont="1" applyFill="1" applyBorder="1" applyAlignment="1">
      <alignment wrapText="1"/>
    </xf>
    <xf numFmtId="0" fontId="16" fillId="7" borderId="7" xfId="0" applyFont="1" applyFill="1" applyBorder="1" applyAlignment="1">
      <alignment wrapText="1"/>
    </xf>
    <xf numFmtId="0" fontId="16" fillId="7" borderId="8" xfId="0" applyFont="1" applyFill="1" applyBorder="1" applyAlignment="1">
      <alignment wrapText="1"/>
    </xf>
    <xf numFmtId="0" fontId="7" fillId="0" borderId="9" xfId="0" applyFont="1" applyBorder="1" applyAlignment="1">
      <alignment wrapText="1"/>
    </xf>
    <xf numFmtId="6" fontId="18" fillId="0" borderId="0" xfId="0" applyNumberFormat="1" applyFont="1" applyAlignment="1">
      <alignment wrapText="1"/>
    </xf>
    <xf numFmtId="6" fontId="18" fillId="0" borderId="10" xfId="0" applyNumberFormat="1" applyFont="1" applyBorder="1" applyAlignment="1">
      <alignment wrapText="1"/>
    </xf>
    <xf numFmtId="0" fontId="22" fillId="0" borderId="9" xfId="0" applyFont="1" applyBorder="1" applyAlignment="1">
      <alignment wrapText="1"/>
    </xf>
    <xf numFmtId="0" fontId="7" fillId="0" borderId="11" xfId="0" applyFont="1" applyBorder="1" applyAlignment="1">
      <alignment wrapText="1"/>
    </xf>
    <xf numFmtId="0" fontId="18" fillId="0" borderId="12" xfId="0" applyFont="1" applyBorder="1" applyAlignment="1">
      <alignment wrapText="1"/>
    </xf>
    <xf numFmtId="0" fontId="20" fillId="5" borderId="12" xfId="0" applyFont="1" applyFill="1" applyBorder="1" applyAlignment="1">
      <alignment vertical="top" wrapText="1"/>
    </xf>
    <xf numFmtId="6" fontId="20" fillId="5" borderId="12" xfId="0" applyNumberFormat="1" applyFont="1" applyFill="1" applyBorder="1" applyAlignment="1">
      <alignment wrapText="1"/>
    </xf>
    <xf numFmtId="6" fontId="20" fillId="5" borderId="13" xfId="0" applyNumberFormat="1" applyFont="1" applyFill="1" applyBorder="1" applyAlignment="1">
      <alignment wrapText="1"/>
    </xf>
    <xf numFmtId="0" fontId="17" fillId="7" borderId="7" xfId="0" applyFont="1" applyFill="1" applyBorder="1" applyAlignment="1">
      <alignment wrapText="1"/>
    </xf>
    <xf numFmtId="0" fontId="17" fillId="7" borderId="7" xfId="0" applyFont="1" applyFill="1" applyBorder="1" applyAlignment="1">
      <alignment vertical="top" wrapText="1"/>
    </xf>
    <xf numFmtId="0" fontId="18" fillId="0" borderId="0" xfId="0" applyFont="1" applyAlignment="1">
      <alignment vertical="top" wrapText="1"/>
    </xf>
    <xf numFmtId="0" fontId="17" fillId="5" borderId="12" xfId="0" applyFont="1" applyFill="1" applyBorder="1" applyAlignment="1">
      <alignment vertical="top" wrapText="1"/>
    </xf>
    <xf numFmtId="0" fontId="16" fillId="7" borderId="7" xfId="0" applyFont="1" applyFill="1" applyBorder="1" applyAlignment="1">
      <alignment vertical="top" wrapText="1"/>
    </xf>
    <xf numFmtId="0" fontId="0" fillId="0" borderId="10" xfId="0" applyBorder="1" applyAlignment="1">
      <alignment wrapText="1"/>
    </xf>
    <xf numFmtId="0" fontId="19" fillId="0" borderId="10" xfId="0" applyFont="1" applyBorder="1" applyAlignment="1">
      <alignment wrapText="1"/>
    </xf>
    <xf numFmtId="0" fontId="22" fillId="0" borderId="11" xfId="0" applyFont="1" applyBorder="1" applyAlignment="1">
      <alignment wrapText="1"/>
    </xf>
    <xf numFmtId="0" fontId="19" fillId="0" borderId="12" xfId="0" applyFont="1" applyBorder="1" applyAlignment="1">
      <alignment wrapText="1"/>
    </xf>
    <xf numFmtId="0" fontId="19" fillId="0" borderId="12" xfId="0" applyFont="1" applyBorder="1" applyAlignment="1">
      <alignment vertical="top" wrapText="1"/>
    </xf>
    <xf numFmtId="0" fontId="19" fillId="0" borderId="13" xfId="0" applyFont="1" applyBorder="1" applyAlignment="1">
      <alignment wrapText="1"/>
    </xf>
    <xf numFmtId="0" fontId="23" fillId="8" borderId="6" xfId="0" applyFont="1" applyFill="1" applyBorder="1" applyAlignment="1">
      <alignment wrapText="1"/>
    </xf>
    <xf numFmtId="0" fontId="16" fillId="8" borderId="7" xfId="0" applyFont="1" applyFill="1" applyBorder="1" applyAlignment="1">
      <alignment wrapText="1"/>
    </xf>
    <xf numFmtId="0" fontId="16" fillId="8" borderId="7" xfId="0" applyFont="1" applyFill="1" applyBorder="1" applyAlignment="1">
      <alignment vertical="top" wrapText="1"/>
    </xf>
    <xf numFmtId="0" fontId="0" fillId="8" borderId="8" xfId="0" applyFill="1" applyBorder="1" applyAlignment="1">
      <alignment wrapText="1"/>
    </xf>
    <xf numFmtId="0" fontId="12" fillId="0" borderId="12" xfId="0" applyFont="1" applyBorder="1" applyAlignment="1">
      <alignment wrapText="1"/>
    </xf>
    <xf numFmtId="0" fontId="12" fillId="0" borderId="13" xfId="0" applyFont="1" applyBorder="1" applyAlignment="1">
      <alignment wrapText="1"/>
    </xf>
    <xf numFmtId="6" fontId="12" fillId="0" borderId="0" xfId="0" applyNumberFormat="1" applyFont="1" applyAlignment="1">
      <alignment wrapText="1"/>
    </xf>
    <xf numFmtId="0" fontId="26" fillId="0" borderId="0" xfId="0" applyFont="1" applyAlignment="1">
      <alignment wrapText="1"/>
    </xf>
    <xf numFmtId="0" fontId="17" fillId="7" borderId="7" xfId="0" applyFont="1" applyFill="1" applyBorder="1" applyAlignment="1">
      <alignment horizontal="right" wrapText="1"/>
    </xf>
    <xf numFmtId="0" fontId="17" fillId="7" borderId="8" xfId="0" applyFont="1" applyFill="1" applyBorder="1" applyAlignment="1">
      <alignment horizontal="right" wrapText="1"/>
    </xf>
    <xf numFmtId="2" fontId="12" fillId="0" borderId="0" xfId="0" applyNumberFormat="1" applyFont="1"/>
    <xf numFmtId="17" fontId="17" fillId="7" borderId="7" xfId="0" applyNumberFormat="1" applyFont="1" applyFill="1" applyBorder="1" applyAlignment="1">
      <alignment horizontal="right" wrapText="1"/>
    </xf>
    <xf numFmtId="166" fontId="12" fillId="0" borderId="0" xfId="0" applyNumberFormat="1" applyFont="1"/>
    <xf numFmtId="166" fontId="13" fillId="0" borderId="0" xfId="0" applyNumberFormat="1" applyFont="1"/>
    <xf numFmtId="166" fontId="6" fillId="0" borderId="0" xfId="0" applyNumberFormat="1" applyFont="1"/>
    <xf numFmtId="166" fontId="0" fillId="0" borderId="0" xfId="0" applyNumberFormat="1"/>
    <xf numFmtId="166" fontId="7" fillId="0" borderId="0" xfId="0" applyNumberFormat="1" applyFont="1"/>
    <xf numFmtId="6" fontId="12" fillId="0" borderId="12" xfId="0" applyNumberFormat="1" applyFont="1" applyBorder="1" applyAlignment="1">
      <alignment wrapText="1"/>
    </xf>
    <xf numFmtId="17" fontId="12" fillId="0" borderId="0" xfId="0" applyNumberFormat="1" applyFont="1" applyAlignment="1">
      <alignment horizontal="left"/>
    </xf>
    <xf numFmtId="0" fontId="12" fillId="0" borderId="0" xfId="0" applyFont="1" applyAlignment="1">
      <alignment horizontal="left"/>
    </xf>
    <xf numFmtId="0" fontId="28" fillId="0" borderId="0" xfId="1"/>
    <xf numFmtId="4" fontId="7" fillId="0" borderId="0" xfId="0" applyNumberFormat="1" applyFont="1"/>
    <xf numFmtId="0" fontId="0" fillId="0" borderId="3" xfId="0" applyBorder="1"/>
    <xf numFmtId="0" fontId="16" fillId="5" borderId="0" xfId="0" applyFont="1" applyFill="1" applyAlignment="1">
      <alignment wrapText="1"/>
    </xf>
    <xf numFmtId="0" fontId="20" fillId="5" borderId="0" xfId="0" applyFont="1" applyFill="1" applyAlignment="1">
      <alignment wrapText="1"/>
    </xf>
    <xf numFmtId="0" fontId="14" fillId="5" borderId="6" xfId="0" applyFont="1" applyFill="1" applyBorder="1" applyAlignment="1">
      <alignment wrapText="1"/>
    </xf>
    <xf numFmtId="0" fontId="14" fillId="5" borderId="7" xfId="0" applyFont="1" applyFill="1" applyBorder="1" applyAlignment="1">
      <alignment wrapText="1"/>
    </xf>
    <xf numFmtId="0" fontId="16" fillId="5" borderId="9" xfId="0" applyFont="1" applyFill="1" applyBorder="1" applyAlignment="1">
      <alignment wrapText="1"/>
    </xf>
    <xf numFmtId="0" fontId="20" fillId="5" borderId="9" xfId="0" applyFont="1" applyFill="1" applyBorder="1" applyAlignment="1">
      <alignment wrapText="1"/>
    </xf>
    <xf numFmtId="0" fontId="21" fillId="0" borderId="11" xfId="0" applyFont="1" applyBorder="1" applyAlignment="1">
      <alignment wrapText="1"/>
    </xf>
    <xf numFmtId="0" fontId="21" fillId="0" borderId="12" xfId="0" applyFont="1" applyBorder="1" applyAlignment="1">
      <alignment wrapText="1"/>
    </xf>
    <xf numFmtId="0" fontId="20" fillId="6" borderId="12" xfId="0" applyFont="1" applyFill="1" applyBorder="1" applyAlignment="1">
      <alignment wrapText="1"/>
    </xf>
    <xf numFmtId="0" fontId="20" fillId="5" borderId="0" xfId="0" applyFont="1" applyFill="1" applyAlignment="1">
      <alignment horizontal="center" wrapText="1"/>
    </xf>
    <xf numFmtId="17" fontId="20" fillId="5" borderId="0" xfId="0" applyNumberFormat="1" applyFont="1" applyFill="1" applyAlignment="1">
      <alignment horizontal="center" wrapText="1"/>
    </xf>
    <xf numFmtId="0" fontId="20" fillId="5" borderId="10" xfId="0" applyFont="1" applyFill="1" applyBorder="1" applyAlignment="1">
      <alignment horizontal="center" wrapText="1"/>
    </xf>
    <xf numFmtId="0" fontId="15" fillId="5" borderId="7" xfId="0" applyFont="1" applyFill="1" applyBorder="1" applyAlignment="1">
      <alignment horizontal="center" wrapText="1"/>
    </xf>
    <xf numFmtId="0" fontId="15" fillId="5" borderId="8" xfId="0" applyFont="1" applyFill="1" applyBorder="1" applyAlignment="1">
      <alignment horizontal="center" wrapText="1"/>
    </xf>
    <xf numFmtId="6" fontId="20" fillId="6" borderId="12" xfId="0" applyNumberFormat="1" applyFont="1" applyFill="1" applyBorder="1" applyAlignment="1">
      <alignment horizontal="center" wrapText="1"/>
    </xf>
    <xf numFmtId="6" fontId="20" fillId="6" borderId="13" xfId="0" applyNumberFormat="1" applyFont="1" applyFill="1" applyBorder="1" applyAlignment="1">
      <alignment horizontal="center" wrapText="1"/>
    </xf>
    <xf numFmtId="0" fontId="11" fillId="0" borderId="2" xfId="0" applyFont="1" applyBorder="1"/>
    <xf numFmtId="0" fontId="3" fillId="0" borderId="3" xfId="0" applyFont="1" applyBorder="1"/>
    <xf numFmtId="0" fontId="3" fillId="0" borderId="4" xfId="0" applyFont="1" applyBorder="1"/>
    <xf numFmtId="0" fontId="6" fillId="0" borderId="0" xfId="0" applyFont="1"/>
    <xf numFmtId="0" fontId="0" fillId="0" borderId="0" xfId="0"/>
    <xf numFmtId="0" fontId="11" fillId="0" borderId="3" xfId="0" applyFont="1" applyBorder="1"/>
    <xf numFmtId="0" fontId="6" fillId="0" borderId="2" xfId="0" applyFont="1" applyBorder="1"/>
    <xf numFmtId="0" fontId="10" fillId="0" borderId="2" xfId="0" applyFont="1" applyBorder="1"/>
    <xf numFmtId="0" fontId="11" fillId="0" borderId="4" xfId="0" applyFont="1" applyBorder="1"/>
    <xf numFmtId="0" fontId="0" fillId="0" borderId="3" xfId="0" applyBorder="1"/>
    <xf numFmtId="0" fontId="6" fillId="0" borderId="4"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Oliver Morrison" id="{CD4733B3-073F-0846-8938-553D9D391EB7}" userId="S::oliver@filteragency.com::666dedc6-0feb-49f6-ab9a-4157d8c67d4a"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2" dT="2025-10-06T13:06:23.98" personId="{CD4733B3-073F-0846-8938-553D9D391EB7}" id="{E234F300-F055-3F40-BD96-DABEC8BE4487}">
    <text>Costs converted at an exchange rate of $1=£0.74</text>
  </threadedComment>
  <threadedComment ref="F42" dT="2025-10-07T07:46:16.79" personId="{CD4733B3-073F-0846-8938-553D9D391EB7}" id="{D419FEE1-CE18-3C4F-9227-2836534AA4D9}">
    <text>$692,772 Customer App, People Apps, Corp Site, PoC Work.</text>
  </threadedComment>
  <threadedComment ref="G42" dT="2025-10-07T07:47:20.17" personId="{CD4733B3-073F-0846-8938-553D9D391EB7}" id="{7DC90270-0911-3349-9006-F76FFFA2123B}">
    <text>$227,500</text>
  </threadedComment>
  <threadedComment ref="E44" dT="2025-10-06T16:22:17.02" personId="{CD4733B3-073F-0846-8938-553D9D391EB7}" id="{4AB4953E-D834-074A-BDFE-E784CD3428EF}">
    <text>Aug 25 - Nov 25 Q1 spend
Annual amount expect at £90,890.88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mailto:amclaughlin@jdwetherspoon.co.uk" TargetMode="External"/><Relationship Id="rId3" Type="http://schemas.openxmlformats.org/officeDocument/2006/relationships/hyperlink" Target="mailto:mslaterkinghorn@jdwetherspoon.co.uk" TargetMode="External"/><Relationship Id="rId7" Type="http://schemas.openxmlformats.org/officeDocument/2006/relationships/hyperlink" Target="mailto:gpilling@jdwetherspoon.co.uk" TargetMode="External"/><Relationship Id="rId2" Type="http://schemas.openxmlformats.org/officeDocument/2006/relationships/hyperlink" Target="mailto:DCapstick@jdwetherspoon.co.uk" TargetMode="External"/><Relationship Id="rId1" Type="http://schemas.openxmlformats.org/officeDocument/2006/relationships/hyperlink" Target="mailto:bfry@jdwetherspoon.co.uk" TargetMode="External"/><Relationship Id="rId6" Type="http://schemas.openxmlformats.org/officeDocument/2006/relationships/hyperlink" Target="mailto:ssaglani@jdwetherspoon.co.uk" TargetMode="External"/><Relationship Id="rId5" Type="http://schemas.openxmlformats.org/officeDocument/2006/relationships/hyperlink" Target="mailto:akrawczyk@jdwetherspoon.co.uk" TargetMode="External"/><Relationship Id="rId10" Type="http://schemas.openxmlformats.org/officeDocument/2006/relationships/hyperlink" Target="mailto:vlenton@jdwetherspoon.co.uk" TargetMode="External"/><Relationship Id="rId4" Type="http://schemas.openxmlformats.org/officeDocument/2006/relationships/hyperlink" Target="mailto:hbarrow@jdwetherspoon.co.uk" TargetMode="External"/><Relationship Id="rId9" Type="http://schemas.openxmlformats.org/officeDocument/2006/relationships/hyperlink" Target="mailto:mknight@jdwetherspoon.co.uk"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723C-D905-AA41-8658-D8AB4EE50A91}">
  <sheetPr>
    <outlinePr summaryBelow="0" summaryRight="0"/>
    <pageSetUpPr fitToPage="1"/>
  </sheetPr>
  <dimension ref="A1:AH904"/>
  <sheetViews>
    <sheetView tabSelected="1" zoomScale="120" zoomScaleNormal="120" workbookViewId="0"/>
  </sheetViews>
  <sheetFormatPr baseColWidth="10" defaultColWidth="12.6640625" defaultRowHeight="13" x14ac:dyDescent="0.15"/>
  <cols>
    <col min="1" max="1" width="30.83203125" style="55" bestFit="1" customWidth="1"/>
    <col min="2" max="2" width="27.83203125" style="55" customWidth="1"/>
    <col min="3" max="3" width="52" style="55" customWidth="1"/>
    <col min="4" max="20" width="15.6640625" style="55" customWidth="1"/>
    <col min="21" max="21" width="16.1640625" style="55" bestFit="1" customWidth="1"/>
    <col min="22" max="22" width="16.6640625" style="55" bestFit="1" customWidth="1"/>
    <col min="23" max="16384" width="12.6640625" style="55"/>
  </cols>
  <sheetData>
    <row r="1" spans="1:34" ht="14" x14ac:dyDescent="0.15">
      <c r="A1" s="54" t="s">
        <v>450</v>
      </c>
    </row>
    <row r="3" spans="1:34" ht="28" x14ac:dyDescent="0.15">
      <c r="A3" s="132"/>
      <c r="B3" s="133"/>
      <c r="C3" s="133"/>
      <c r="D3" s="142" t="s">
        <v>386</v>
      </c>
      <c r="E3" s="142" t="s">
        <v>383</v>
      </c>
      <c r="F3" s="142" t="s">
        <v>384</v>
      </c>
      <c r="G3" s="143" t="s">
        <v>385</v>
      </c>
    </row>
    <row r="4" spans="1:34" ht="16" x14ac:dyDescent="0.2">
      <c r="A4" s="134"/>
      <c r="B4" s="130"/>
      <c r="C4" s="130"/>
      <c r="D4" s="139" t="s">
        <v>445</v>
      </c>
      <c r="E4" s="140" t="s">
        <v>446</v>
      </c>
      <c r="F4" s="139" t="s">
        <v>292</v>
      </c>
      <c r="G4" s="141" t="s">
        <v>276</v>
      </c>
      <c r="H4" s="57"/>
      <c r="I4" s="57"/>
      <c r="J4" s="57"/>
      <c r="K4" s="57"/>
      <c r="L4" s="57"/>
      <c r="M4" s="57"/>
      <c r="N4" s="58"/>
      <c r="O4" s="58"/>
      <c r="P4" s="53"/>
      <c r="Q4" s="59"/>
      <c r="R4" s="59"/>
      <c r="S4" s="59"/>
      <c r="T4" s="59"/>
      <c r="U4" s="58"/>
      <c r="V4" s="58"/>
      <c r="W4" s="58"/>
      <c r="X4" s="53"/>
      <c r="Y4" s="53"/>
      <c r="Z4" s="53"/>
      <c r="AA4" s="53"/>
      <c r="AB4" s="53"/>
      <c r="AC4" s="53"/>
      <c r="AD4" s="53"/>
      <c r="AE4" s="53"/>
      <c r="AF4" s="53"/>
      <c r="AG4" s="53"/>
      <c r="AH4" s="53"/>
    </row>
    <row r="5" spans="1:34" ht="16" x14ac:dyDescent="0.2">
      <c r="A5" s="135" t="s">
        <v>234</v>
      </c>
      <c r="B5" s="131" t="s">
        <v>309</v>
      </c>
      <c r="C5" s="131" t="s">
        <v>235</v>
      </c>
      <c r="D5" s="139" t="s">
        <v>50</v>
      </c>
      <c r="E5" s="139" t="s">
        <v>293</v>
      </c>
      <c r="F5" s="139" t="s">
        <v>236</v>
      </c>
      <c r="G5" s="141" t="s">
        <v>237</v>
      </c>
      <c r="H5" s="53"/>
      <c r="I5" s="53"/>
      <c r="J5" s="53"/>
      <c r="K5" s="53"/>
      <c r="L5" s="53"/>
      <c r="M5" s="53"/>
      <c r="N5" s="53"/>
      <c r="O5" s="53"/>
      <c r="P5" s="53"/>
      <c r="Q5" s="53"/>
      <c r="R5" s="53"/>
      <c r="S5" s="53"/>
      <c r="T5" s="53"/>
      <c r="U5" s="53"/>
      <c r="V5" s="53"/>
      <c r="W5" s="53"/>
      <c r="X5" s="53"/>
      <c r="Y5" s="53"/>
      <c r="Z5" s="53"/>
      <c r="AA5" s="53"/>
      <c r="AB5" s="53"/>
      <c r="AC5" s="53"/>
      <c r="AD5" s="53"/>
      <c r="AE5" s="53"/>
      <c r="AF5" s="53"/>
      <c r="AG5" s="53"/>
      <c r="AH5" s="53"/>
    </row>
    <row r="6" spans="1:34" ht="16" x14ac:dyDescent="0.2">
      <c r="A6" s="136"/>
      <c r="B6" s="137"/>
      <c r="C6" s="138" t="s">
        <v>238</v>
      </c>
      <c r="D6" s="144">
        <f>SUM(D17,D39,D45)</f>
        <v>11120523.71699333</v>
      </c>
      <c r="E6" s="144">
        <f>SUM(E17,E39,E45)</f>
        <v>3772570.8214000007</v>
      </c>
      <c r="F6" s="144">
        <f>SUM(F17,F39,F45)</f>
        <v>5119939.1055933312</v>
      </c>
      <c r="G6" s="145">
        <f>SUM(G17,G39,G45)</f>
        <v>2228013.79</v>
      </c>
      <c r="H6" s="60">
        <f>SUM(E6,F6+G6)-D6</f>
        <v>0</v>
      </c>
      <c r="I6" s="60"/>
      <c r="J6" s="60"/>
      <c r="K6" s="60"/>
      <c r="L6" s="60"/>
      <c r="M6" s="60"/>
      <c r="N6" s="60"/>
      <c r="O6" s="53"/>
      <c r="P6" s="53"/>
      <c r="Q6" s="60"/>
      <c r="R6" s="60"/>
      <c r="S6" s="60"/>
      <c r="T6" s="60"/>
      <c r="U6" s="60"/>
      <c r="V6" s="61"/>
      <c r="W6" s="53"/>
      <c r="X6" s="53"/>
      <c r="Y6" s="53"/>
      <c r="Z6" s="53"/>
      <c r="AA6" s="53"/>
      <c r="AB6" s="53"/>
      <c r="AC6" s="53"/>
      <c r="AD6" s="53"/>
      <c r="AE6" s="53"/>
      <c r="AF6" s="53"/>
      <c r="AG6" s="53"/>
      <c r="AH6" s="53"/>
    </row>
    <row r="7" spans="1:34" ht="15" x14ac:dyDescent="0.2">
      <c r="A7" s="56"/>
      <c r="B7" s="56"/>
      <c r="C7" s="56"/>
      <c r="D7" s="56"/>
      <c r="E7" s="56"/>
      <c r="F7" s="56"/>
      <c r="G7" s="56"/>
      <c r="H7" s="62"/>
      <c r="I7" s="62"/>
      <c r="J7" s="62"/>
      <c r="K7" s="62"/>
      <c r="L7" s="62"/>
      <c r="M7" s="62"/>
      <c r="N7" s="62"/>
      <c r="O7" s="53"/>
      <c r="P7" s="53"/>
      <c r="Q7" s="62"/>
      <c r="R7" s="62"/>
      <c r="S7" s="62"/>
      <c r="T7" s="62"/>
      <c r="U7" s="62"/>
      <c r="V7" s="62"/>
      <c r="W7" s="53"/>
      <c r="X7" s="53"/>
      <c r="Y7" s="53"/>
      <c r="Z7" s="53"/>
      <c r="AA7" s="53"/>
      <c r="AB7" s="53"/>
      <c r="AC7" s="53"/>
      <c r="AD7" s="53"/>
      <c r="AE7" s="53"/>
      <c r="AF7" s="53"/>
      <c r="AG7" s="53"/>
      <c r="AH7" s="53"/>
    </row>
    <row r="8" spans="1:34" ht="16" x14ac:dyDescent="0.2">
      <c r="A8" s="84" t="s">
        <v>239</v>
      </c>
      <c r="B8" s="85"/>
      <c r="C8" s="85"/>
      <c r="D8" s="115" t="s">
        <v>445</v>
      </c>
      <c r="E8" s="118" t="s">
        <v>447</v>
      </c>
      <c r="F8" s="115" t="s">
        <v>292</v>
      </c>
      <c r="G8" s="116" t="s">
        <v>275</v>
      </c>
      <c r="H8" s="62"/>
      <c r="I8" s="62"/>
      <c r="J8" s="62"/>
      <c r="K8" s="62"/>
      <c r="L8" s="62"/>
      <c r="M8" s="62"/>
      <c r="N8" s="62"/>
      <c r="O8" s="62"/>
      <c r="P8" s="53"/>
      <c r="Q8" s="62"/>
      <c r="R8" s="62"/>
      <c r="S8" s="62"/>
      <c r="T8" s="62"/>
      <c r="U8" s="62"/>
      <c r="V8" s="62"/>
      <c r="W8" s="62"/>
      <c r="X8" s="53"/>
      <c r="Y8" s="53"/>
      <c r="Z8" s="53"/>
      <c r="AA8" s="53"/>
      <c r="AB8" s="53"/>
      <c r="AC8" s="53"/>
      <c r="AD8" s="53"/>
      <c r="AE8" s="53"/>
      <c r="AF8" s="53"/>
      <c r="AG8" s="53"/>
      <c r="AH8" s="53"/>
    </row>
    <row r="9" spans="1:34" ht="48" customHeight="1" x14ac:dyDescent="0.2">
      <c r="A9" s="87" t="s">
        <v>240</v>
      </c>
      <c r="B9" s="63" t="s">
        <v>241</v>
      </c>
      <c r="C9" s="63" t="s">
        <v>242</v>
      </c>
      <c r="D9" s="88">
        <f>Summary!AX156</f>
        <v>707917.5249891968</v>
      </c>
      <c r="E9" s="88">
        <f>Summary!AM156</f>
        <v>148664.79183654953</v>
      </c>
      <c r="F9" s="88">
        <f>Summary!U156</f>
        <v>339774.37150351144</v>
      </c>
      <c r="G9" s="89">
        <f>Summary!J156</f>
        <v>219478.36164913588</v>
      </c>
      <c r="H9" s="62"/>
      <c r="I9" s="62"/>
      <c r="J9" s="64"/>
      <c r="K9" s="64"/>
      <c r="L9" s="64"/>
      <c r="M9" s="64"/>
      <c r="N9" s="62"/>
      <c r="O9" s="53"/>
      <c r="P9" s="53"/>
      <c r="Q9" s="64"/>
      <c r="R9" s="64"/>
      <c r="S9" s="64"/>
      <c r="T9" s="64"/>
      <c r="U9" s="64"/>
      <c r="V9" s="64"/>
      <c r="W9" s="53"/>
      <c r="X9" s="53"/>
      <c r="Y9" s="53"/>
      <c r="Z9" s="53"/>
      <c r="AA9" s="53"/>
      <c r="AB9" s="53"/>
      <c r="AC9" s="53"/>
      <c r="AD9" s="53"/>
      <c r="AE9" s="53"/>
      <c r="AF9" s="53"/>
      <c r="AG9" s="53"/>
      <c r="AH9" s="53"/>
    </row>
    <row r="10" spans="1:34" ht="45" x14ac:dyDescent="0.2">
      <c r="A10" s="87" t="s">
        <v>243</v>
      </c>
      <c r="B10" s="63" t="s">
        <v>310</v>
      </c>
      <c r="C10" s="63" t="s">
        <v>313</v>
      </c>
      <c r="D10" s="88">
        <f>Summary!AX157</f>
        <v>2073989.7942994665</v>
      </c>
      <c r="E10" s="88">
        <f>Summary!AM157</f>
        <v>744679.92820909969</v>
      </c>
      <c r="F10" s="88">
        <f>Summary!U157</f>
        <v>954778.66361651069</v>
      </c>
      <c r="G10" s="89">
        <f>Summary!J157</f>
        <v>374531.20247385622</v>
      </c>
      <c r="H10" s="62"/>
      <c r="I10" s="62"/>
      <c r="J10" s="64"/>
      <c r="K10" s="64"/>
      <c r="L10" s="64"/>
      <c r="M10" s="64"/>
      <c r="N10" s="62"/>
      <c r="O10" s="53"/>
      <c r="P10" s="53"/>
      <c r="Q10" s="64"/>
      <c r="R10" s="64"/>
      <c r="S10" s="64"/>
      <c r="T10" s="64"/>
      <c r="U10" s="64"/>
      <c r="V10" s="64"/>
      <c r="W10" s="53"/>
      <c r="X10" s="53"/>
      <c r="Y10" s="53"/>
      <c r="Z10" s="53"/>
      <c r="AA10" s="53"/>
      <c r="AB10" s="53"/>
      <c r="AC10" s="53"/>
      <c r="AD10" s="53"/>
      <c r="AE10" s="53"/>
      <c r="AF10" s="53"/>
      <c r="AG10" s="53"/>
      <c r="AH10" s="53"/>
    </row>
    <row r="11" spans="1:34" ht="45" x14ac:dyDescent="0.2">
      <c r="A11" s="87" t="s">
        <v>245</v>
      </c>
      <c r="B11" s="63" t="s">
        <v>230</v>
      </c>
      <c r="C11" s="63" t="s">
        <v>246</v>
      </c>
      <c r="D11" s="88">
        <f>Summary!AX158</f>
        <v>2338552.3186209388</v>
      </c>
      <c r="E11" s="88">
        <f>Summary!AM158</f>
        <v>807986.83846074122</v>
      </c>
      <c r="F11" s="88">
        <f>Summary!U158</f>
        <v>1078674.5468492063</v>
      </c>
      <c r="G11" s="89">
        <f>Summary!J158</f>
        <v>451890.93331099139</v>
      </c>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row>
    <row r="12" spans="1:34" ht="45" x14ac:dyDescent="0.2">
      <c r="A12" s="90"/>
      <c r="B12" s="63" t="s">
        <v>229</v>
      </c>
      <c r="C12" s="63" t="s">
        <v>247</v>
      </c>
      <c r="D12" s="88">
        <f>Summary!AX159</f>
        <v>2582526.6360910167</v>
      </c>
      <c r="E12" s="88">
        <f>Summary!AM159</f>
        <v>830931.12740601518</v>
      </c>
      <c r="F12" s="88">
        <f>Summary!U159</f>
        <v>1067208.6589245421</v>
      </c>
      <c r="G12" s="89">
        <f>Summary!J159</f>
        <v>684386.84976045939</v>
      </c>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row>
    <row r="13" spans="1:34" ht="45" x14ac:dyDescent="0.2">
      <c r="A13" s="90"/>
      <c r="B13" s="63" t="s">
        <v>248</v>
      </c>
      <c r="C13" s="63" t="s">
        <v>312</v>
      </c>
      <c r="D13" s="88">
        <f>Summary!AX160</f>
        <v>387667.96512443601</v>
      </c>
      <c r="E13" s="88">
        <f>Summary!AM160</f>
        <v>89186.580075375401</v>
      </c>
      <c r="F13" s="88">
        <f>Summary!U160</f>
        <v>240568.58360800892</v>
      </c>
      <c r="G13" s="89">
        <f>Summary!J160</f>
        <v>57912.801441051684</v>
      </c>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row>
    <row r="14" spans="1:34" ht="45" x14ac:dyDescent="0.2">
      <c r="A14" s="90"/>
      <c r="B14" s="63" t="s">
        <v>249</v>
      </c>
      <c r="C14" s="63" t="s">
        <v>250</v>
      </c>
      <c r="D14" s="88">
        <f>Summary!AX161</f>
        <v>535319.00196603534</v>
      </c>
      <c r="E14" s="88">
        <f>Summary!AM161</f>
        <v>265878.81500901736</v>
      </c>
      <c r="F14" s="88">
        <f>Summary!U161</f>
        <v>249260.04868612767</v>
      </c>
      <c r="G14" s="89">
        <f>Summary!J161</f>
        <v>20180.1382708903</v>
      </c>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row>
    <row r="15" spans="1:34" ht="45" x14ac:dyDescent="0.2">
      <c r="A15" s="87"/>
      <c r="B15" s="63" t="s">
        <v>251</v>
      </c>
      <c r="C15" s="63" t="s">
        <v>252</v>
      </c>
      <c r="D15" s="88">
        <f>Summary!AX164</f>
        <v>27709.062344170059</v>
      </c>
      <c r="E15" s="88">
        <f>Summary!AM164</f>
        <v>11994.45625568592</v>
      </c>
      <c r="F15" s="88">
        <f>Summary!U164</f>
        <v>14264.519412119062</v>
      </c>
      <c r="G15" s="89">
        <f>Summary!J164</f>
        <v>1450.0866763650765</v>
      </c>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row>
    <row r="16" spans="1:34" ht="30" x14ac:dyDescent="0.2">
      <c r="A16" s="87" t="s">
        <v>253</v>
      </c>
      <c r="B16" s="63" t="s">
        <v>254</v>
      </c>
      <c r="C16" s="63" t="s">
        <v>311</v>
      </c>
      <c r="D16" s="88">
        <f>Summary!AX165</f>
        <v>349371.69215807132</v>
      </c>
      <c r="E16" s="88">
        <f>Summary!AM165</f>
        <v>165565.46274751629</v>
      </c>
      <c r="F16" s="88">
        <f>Summary!U165</f>
        <v>145226.60299330504</v>
      </c>
      <c r="G16" s="89">
        <f>Summary!J165</f>
        <v>38579.626417249965</v>
      </c>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row>
    <row r="17" spans="1:34" ht="16" x14ac:dyDescent="0.2">
      <c r="A17" s="91"/>
      <c r="B17" s="92"/>
      <c r="C17" s="93" t="s">
        <v>255</v>
      </c>
      <c r="D17" s="94">
        <f>SUM(D9:D16)</f>
        <v>9003053.9955933299</v>
      </c>
      <c r="E17" s="94">
        <f>SUM(E9:E16)</f>
        <v>3064888.0000000005</v>
      </c>
      <c r="F17" s="94">
        <f>SUM(F9:F16)</f>
        <v>4089755.9955933313</v>
      </c>
      <c r="G17" s="95">
        <f>SUM(G9:G16)</f>
        <v>1848410</v>
      </c>
      <c r="H17" s="60">
        <f>SUM(E17:G17)-D17</f>
        <v>0</v>
      </c>
      <c r="I17" s="53"/>
      <c r="J17" s="113"/>
      <c r="K17" s="113"/>
      <c r="L17" s="53"/>
      <c r="M17" s="53"/>
      <c r="N17" s="53"/>
      <c r="O17" s="53"/>
      <c r="P17" s="53"/>
      <c r="Q17" s="53"/>
      <c r="R17" s="53"/>
      <c r="S17" s="53"/>
      <c r="T17" s="53"/>
      <c r="U17" s="53"/>
      <c r="V17" s="53"/>
      <c r="W17" s="53"/>
      <c r="X17" s="53"/>
      <c r="Y17" s="53"/>
      <c r="Z17" s="53"/>
      <c r="AA17" s="53"/>
      <c r="AB17" s="53"/>
      <c r="AC17" s="53"/>
      <c r="AD17" s="53"/>
      <c r="AE17" s="53"/>
      <c r="AF17" s="53"/>
      <c r="AG17" s="53"/>
      <c r="AH17" s="53"/>
    </row>
    <row r="18" spans="1:34" ht="15" x14ac:dyDescent="0.2">
      <c r="A18" s="70"/>
      <c r="B18" s="63"/>
      <c r="C18" s="83"/>
      <c r="D18" s="69"/>
      <c r="E18" s="69"/>
      <c r="F18" s="69"/>
      <c r="G18" s="69"/>
      <c r="H18" s="82"/>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row>
    <row r="19" spans="1:34" ht="16" x14ac:dyDescent="0.2">
      <c r="A19" s="84" t="s">
        <v>256</v>
      </c>
      <c r="B19" s="96"/>
      <c r="C19" s="97"/>
      <c r="D19" s="115" t="s">
        <v>448</v>
      </c>
      <c r="E19" s="118" t="s">
        <v>449</v>
      </c>
      <c r="F19" s="115" t="s">
        <v>292</v>
      </c>
      <c r="G19" s="116" t="s">
        <v>276</v>
      </c>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row>
    <row r="20" spans="1:34" ht="30" x14ac:dyDescent="0.2">
      <c r="A20" s="87" t="s">
        <v>257</v>
      </c>
      <c r="B20" s="63" t="s">
        <v>192</v>
      </c>
      <c r="C20" s="98" t="s">
        <v>368</v>
      </c>
      <c r="D20" s="88">
        <f>SUM(E20,F20,G20)</f>
        <v>767</v>
      </c>
      <c r="E20" s="88">
        <v>249</v>
      </c>
      <c r="F20" s="88">
        <v>259</v>
      </c>
      <c r="G20" s="89">
        <v>259</v>
      </c>
      <c r="H20" s="53"/>
      <c r="I20" s="53" t="s">
        <v>297</v>
      </c>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row>
    <row r="21" spans="1:34" ht="87" customHeight="1" x14ac:dyDescent="0.2">
      <c r="A21" s="87"/>
      <c r="B21" s="63" t="s">
        <v>66</v>
      </c>
      <c r="C21" s="98" t="s">
        <v>321</v>
      </c>
      <c r="D21" s="88">
        <f t="shared" ref="D21:D38" si="0">SUM(E21,F21,G21)</f>
        <v>27470.199999999997</v>
      </c>
      <c r="E21" s="88">
        <f>'Aug 25'!G88+'Sep 25'!G88+'Oct 25'!G88+'Nov 25'!G88+'Dec 25'!G88+'Jan - 26'!G88+'Feb - 26'!G88+'Mar - 26'!G88</f>
        <v>26105.199999999997</v>
      </c>
      <c r="F21" s="88">
        <f>596+769</f>
        <v>1365</v>
      </c>
      <c r="G21" s="89"/>
      <c r="H21" s="53"/>
      <c r="I21" s="53" t="s">
        <v>298</v>
      </c>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row>
    <row r="22" spans="1:34" ht="30" x14ac:dyDescent="0.2">
      <c r="A22" s="87"/>
      <c r="B22" s="63" t="s">
        <v>66</v>
      </c>
      <c r="C22" s="98" t="s">
        <v>272</v>
      </c>
      <c r="D22" s="88">
        <f t="shared" si="0"/>
        <v>2122.04</v>
      </c>
      <c r="E22" s="88">
        <f>'Nov 25'!G89</f>
        <v>1136.04</v>
      </c>
      <c r="F22" s="88">
        <v>986</v>
      </c>
      <c r="G22" s="89"/>
      <c r="H22" s="53"/>
      <c r="I22" s="53" t="s">
        <v>401</v>
      </c>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row>
    <row r="23" spans="1:34" ht="31" customHeight="1" x14ac:dyDescent="0.2">
      <c r="A23" s="87"/>
      <c r="B23" s="63" t="s">
        <v>196</v>
      </c>
      <c r="C23" s="98" t="s">
        <v>316</v>
      </c>
      <c r="D23" s="88">
        <f t="shared" si="0"/>
        <v>1302</v>
      </c>
      <c r="E23" s="88">
        <f>'Oct 25'!G90</f>
        <v>462</v>
      </c>
      <c r="F23" s="88">
        <v>420</v>
      </c>
      <c r="G23" s="89">
        <v>420</v>
      </c>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row>
    <row r="24" spans="1:34" ht="15" x14ac:dyDescent="0.2">
      <c r="A24" s="87"/>
      <c r="B24" s="63" t="s">
        <v>196</v>
      </c>
      <c r="C24" s="98" t="s">
        <v>317</v>
      </c>
      <c r="D24" s="88">
        <f t="shared" si="0"/>
        <v>1302</v>
      </c>
      <c r="E24" s="88">
        <f>'Oct 25'!G91</f>
        <v>462</v>
      </c>
      <c r="F24" s="88">
        <v>420</v>
      </c>
      <c r="G24" s="89">
        <v>420</v>
      </c>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row>
    <row r="25" spans="1:34" ht="30" x14ac:dyDescent="0.2">
      <c r="A25" s="87"/>
      <c r="B25" s="63" t="s">
        <v>318</v>
      </c>
      <c r="C25" s="98" t="s">
        <v>319</v>
      </c>
      <c r="D25" s="88">
        <f t="shared" si="0"/>
        <v>791.69</v>
      </c>
      <c r="E25" s="88">
        <f>'Jan - 26'!F92</f>
        <v>263.69</v>
      </c>
      <c r="F25" s="88">
        <v>264</v>
      </c>
      <c r="G25" s="89">
        <v>264</v>
      </c>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row>
    <row r="26" spans="1:34" ht="30" x14ac:dyDescent="0.2">
      <c r="A26" s="87"/>
      <c r="B26" s="63" t="s">
        <v>75</v>
      </c>
      <c r="C26" s="98" t="s">
        <v>315</v>
      </c>
      <c r="D26" s="88">
        <f t="shared" si="0"/>
        <v>1914.78</v>
      </c>
      <c r="E26" s="88">
        <f>'Aug 25'!G93+'Sep 25'!G93+'Oct 25'!G93+'Nov 25'!G93+'Dec 25'!G93+'Jan - 26'!G93+'Feb - 26'!G93+'Mar - 26'!G93</f>
        <v>474.78000000000003</v>
      </c>
      <c r="F26" s="88">
        <v>720</v>
      </c>
      <c r="G26" s="89">
        <v>720</v>
      </c>
      <c r="H26" s="53"/>
      <c r="I26" s="53" t="s">
        <v>298</v>
      </c>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row>
    <row r="27" spans="1:34" ht="45" x14ac:dyDescent="0.2">
      <c r="A27" s="87"/>
      <c r="B27" s="63" t="s">
        <v>108</v>
      </c>
      <c r="C27" s="98" t="s">
        <v>320</v>
      </c>
      <c r="D27" s="88">
        <f t="shared" si="0"/>
        <v>104386.67000000001</v>
      </c>
      <c r="E27" s="88">
        <f>'Mar - 26'!F94</f>
        <v>36951.550000000003</v>
      </c>
      <c r="F27" s="88">
        <v>31976.33</v>
      </c>
      <c r="G27" s="89">
        <v>35458.79</v>
      </c>
      <c r="H27" s="53"/>
      <c r="I27" s="53" t="s">
        <v>297</v>
      </c>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row>
    <row r="28" spans="1:34" ht="75" x14ac:dyDescent="0.2">
      <c r="A28" s="87"/>
      <c r="B28" s="63" t="s">
        <v>402</v>
      </c>
      <c r="C28" s="98" t="s">
        <v>404</v>
      </c>
      <c r="D28" s="88">
        <f t="shared" si="0"/>
        <v>2296.86</v>
      </c>
      <c r="E28" s="88">
        <f>SUM('Feb - 26'!G95,'Mar - 26'!G95)</f>
        <v>2296.86</v>
      </c>
      <c r="F28" s="88"/>
      <c r="G28" s="89"/>
      <c r="H28" s="53"/>
      <c r="I28" s="53" t="s">
        <v>414</v>
      </c>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row>
    <row r="29" spans="1:34" ht="30" x14ac:dyDescent="0.2">
      <c r="A29" s="87"/>
      <c r="B29" s="63" t="s">
        <v>205</v>
      </c>
      <c r="C29" s="98" t="s">
        <v>370</v>
      </c>
      <c r="D29" s="88">
        <f t="shared" si="0"/>
        <v>197998.38999999998</v>
      </c>
      <c r="E29" s="88">
        <f>'Aug 25'!G95+'Sep 25'!G95+'Oct 25'!G95+'Nov 25'!G95+'Dec 25'!G96+'Jan - 26'!G96+'Feb - 26'!G96+'Mar - 26'!G96</f>
        <v>19438.29</v>
      </c>
      <c r="F29" s="88">
        <f>SUM(126221.29+'May 25'!G94+'June 25'!G95+'July 25'!G95)</f>
        <v>138560.09999999998</v>
      </c>
      <c r="G29" s="89">
        <v>40000</v>
      </c>
      <c r="H29" s="53"/>
      <c r="I29" s="53" t="s">
        <v>298</v>
      </c>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row>
    <row r="30" spans="1:34" ht="30" x14ac:dyDescent="0.2">
      <c r="A30" s="87"/>
      <c r="B30" s="63" t="s">
        <v>397</v>
      </c>
      <c r="C30" s="98" t="s">
        <v>398</v>
      </c>
      <c r="D30" s="88">
        <f t="shared" si="0"/>
        <v>2595.96</v>
      </c>
      <c r="E30" s="88">
        <f>'Dec 25'!G97</f>
        <v>2595.96</v>
      </c>
      <c r="F30" s="88"/>
      <c r="G30" s="89"/>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row>
    <row r="31" spans="1:34" ht="60" x14ac:dyDescent="0.2">
      <c r="A31" s="87"/>
      <c r="B31" s="63" t="s">
        <v>208</v>
      </c>
      <c r="C31" s="98" t="s">
        <v>322</v>
      </c>
      <c r="D31" s="88">
        <f t="shared" si="0"/>
        <v>147410.4</v>
      </c>
      <c r="E31" s="88"/>
      <c r="F31" s="88">
        <v>105274.4</v>
      </c>
      <c r="G31" s="89">
        <v>42136</v>
      </c>
      <c r="H31" s="53"/>
      <c r="I31" s="53" t="s">
        <v>297</v>
      </c>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row>
    <row r="32" spans="1:34" ht="45" x14ac:dyDescent="0.2">
      <c r="A32" s="87"/>
      <c r="B32" s="63" t="s">
        <v>208</v>
      </c>
      <c r="C32" s="98" t="s">
        <v>323</v>
      </c>
      <c r="D32" s="88">
        <f t="shared" si="0"/>
        <v>54268.4</v>
      </c>
      <c r="E32" s="88"/>
      <c r="F32" s="88">
        <v>54268.4</v>
      </c>
      <c r="G32" s="89">
        <v>0</v>
      </c>
      <c r="H32" s="53"/>
      <c r="I32" s="53" t="s">
        <v>299</v>
      </c>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row>
    <row r="33" spans="1:34" ht="30" x14ac:dyDescent="0.2">
      <c r="A33" s="87"/>
      <c r="B33" s="63" t="s">
        <v>216</v>
      </c>
      <c r="C33" s="98" t="s">
        <v>325</v>
      </c>
      <c r="D33" s="88">
        <f t="shared" si="0"/>
        <v>1367.8400000000001</v>
      </c>
      <c r="E33" s="88">
        <f>'Mar - 26'!F103</f>
        <v>683.84</v>
      </c>
      <c r="F33" s="88">
        <v>684</v>
      </c>
      <c r="G33" s="89">
        <v>0</v>
      </c>
      <c r="H33" s="53"/>
      <c r="I33" s="53" t="s">
        <v>297</v>
      </c>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row>
    <row r="34" spans="1:34" ht="30" x14ac:dyDescent="0.2">
      <c r="A34" s="87"/>
      <c r="B34" s="63" t="s">
        <v>79</v>
      </c>
      <c r="C34" s="98" t="s">
        <v>399</v>
      </c>
      <c r="D34" s="88">
        <f t="shared" si="0"/>
        <v>6160</v>
      </c>
      <c r="E34" s="88">
        <f>'Dec 25'!G104</f>
        <v>6160</v>
      </c>
      <c r="F34" s="88">
        <v>0</v>
      </c>
      <c r="G34" s="89">
        <v>0</v>
      </c>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row>
    <row r="35" spans="1:34" ht="30" x14ac:dyDescent="0.2">
      <c r="A35" s="87"/>
      <c r="B35" s="63" t="s">
        <v>79</v>
      </c>
      <c r="C35" s="98" t="s">
        <v>400</v>
      </c>
      <c r="D35" s="88">
        <f t="shared" si="0"/>
        <v>2745.6</v>
      </c>
      <c r="E35" s="88">
        <f>'Dec 25'!G105+'Jan - 26'!G105+'Feb - 26'!G105+'Mar - 26'!G105</f>
        <v>2745.6</v>
      </c>
      <c r="F35" s="88"/>
      <c r="G35" s="89"/>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row>
    <row r="36" spans="1:34" ht="45" x14ac:dyDescent="0.2">
      <c r="A36" s="87"/>
      <c r="B36" s="63" t="s">
        <v>329</v>
      </c>
      <c r="C36" s="98" t="s">
        <v>330</v>
      </c>
      <c r="D36" s="88">
        <f t="shared" si="0"/>
        <v>1230</v>
      </c>
      <c r="E36" s="88">
        <f>'Oct 25'!G103+'Nov 25'!G103+'Dec 25'!G106+'Jan - 26'!G106+'Feb - 26'!G106+'Mar - 26'!G106</f>
        <v>1230</v>
      </c>
      <c r="F36" s="88"/>
      <c r="G36" s="89"/>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row>
    <row r="37" spans="1:34" ht="75" x14ac:dyDescent="0.2">
      <c r="A37" s="87"/>
      <c r="B37" s="63" t="s">
        <v>219</v>
      </c>
      <c r="C37" s="98" t="s">
        <v>324</v>
      </c>
      <c r="D37" s="88">
        <f t="shared" si="0"/>
        <v>3750</v>
      </c>
      <c r="E37" s="88">
        <f>'Mar - 26'!F108</f>
        <v>1250</v>
      </c>
      <c r="F37" s="88">
        <v>1250</v>
      </c>
      <c r="G37" s="89">
        <v>1250</v>
      </c>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row>
    <row r="38" spans="1:34" ht="45" x14ac:dyDescent="0.2">
      <c r="A38" s="87"/>
      <c r="B38" s="63" t="s">
        <v>327</v>
      </c>
      <c r="C38" s="98" t="s">
        <v>328</v>
      </c>
      <c r="D38" s="88">
        <f t="shared" si="0"/>
        <v>906</v>
      </c>
      <c r="E38" s="88">
        <f>'Jan - 26'!F110</f>
        <v>302</v>
      </c>
      <c r="F38" s="88">
        <v>302</v>
      </c>
      <c r="G38" s="89">
        <v>302</v>
      </c>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row>
    <row r="39" spans="1:34" ht="16" x14ac:dyDescent="0.2">
      <c r="A39" s="91"/>
      <c r="B39" s="92"/>
      <c r="C39" s="93" t="s">
        <v>255</v>
      </c>
      <c r="D39" s="94">
        <f>SUM(D20:D38)</f>
        <v>560785.82999999996</v>
      </c>
      <c r="E39" s="94">
        <f>SUM(E20:E38)</f>
        <v>102806.81000000001</v>
      </c>
      <c r="F39" s="94">
        <f>SUM(F20:F38)</f>
        <v>336749.23</v>
      </c>
      <c r="G39" s="95">
        <f>SUM(G20:G38)</f>
        <v>121229.79000000001</v>
      </c>
      <c r="H39" s="60">
        <f>SUM(E39:G39)-D39</f>
        <v>0</v>
      </c>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row>
    <row r="40" spans="1:34" ht="15" x14ac:dyDescent="0.2">
      <c r="A40" s="70"/>
      <c r="B40" s="63"/>
      <c r="C40" s="83"/>
      <c r="D40" s="69"/>
      <c r="E40" s="69"/>
      <c r="F40" s="69"/>
      <c r="G40" s="69"/>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row>
    <row r="41" spans="1:34" ht="16" x14ac:dyDescent="0.2">
      <c r="A41" s="84" t="s">
        <v>259</v>
      </c>
      <c r="B41" s="96"/>
      <c r="C41" s="97"/>
      <c r="D41" s="115" t="s">
        <v>448</v>
      </c>
      <c r="E41" s="118" t="s">
        <v>449</v>
      </c>
      <c r="F41" s="115" t="s">
        <v>292</v>
      </c>
      <c r="G41" s="116" t="s">
        <v>276</v>
      </c>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row>
    <row r="42" spans="1:34" ht="120" customHeight="1" x14ac:dyDescent="0.2">
      <c r="A42" s="87" t="s">
        <v>260</v>
      </c>
      <c r="B42" s="63" t="s">
        <v>258</v>
      </c>
      <c r="C42" s="98" t="s">
        <v>314</v>
      </c>
      <c r="D42" s="88">
        <f>SUM(E42:G42)</f>
        <v>1165839.0914</v>
      </c>
      <c r="E42" s="88">
        <f>(84451.51+72874.06+79704.83+85130+91071.27+84454.29+78024.34+79476.31)*0.74</f>
        <v>484838.09140000009</v>
      </c>
      <c r="F42" s="88">
        <v>512651</v>
      </c>
      <c r="G42" s="89">
        <v>168350</v>
      </c>
      <c r="H42" s="53"/>
      <c r="I42" s="53" t="s">
        <v>413</v>
      </c>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row>
    <row r="43" spans="1:34" ht="60" x14ac:dyDescent="0.2">
      <c r="A43" s="87"/>
      <c r="B43" s="63" t="s">
        <v>73</v>
      </c>
      <c r="C43" s="98" t="s">
        <v>307</v>
      </c>
      <c r="D43" s="88">
        <f>SUM(E43:G43)</f>
        <v>194766</v>
      </c>
      <c r="E43" s="88">
        <f>7491*8</f>
        <v>59928</v>
      </c>
      <c r="F43" s="88">
        <f>7491*12</f>
        <v>89892</v>
      </c>
      <c r="G43" s="89">
        <f>7491*6</f>
        <v>44946</v>
      </c>
      <c r="H43" s="53"/>
      <c r="I43" s="53" t="s">
        <v>303</v>
      </c>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row>
    <row r="44" spans="1:34" ht="60" x14ac:dyDescent="0.2">
      <c r="A44" s="87"/>
      <c r="B44" s="63" t="s">
        <v>261</v>
      </c>
      <c r="C44" s="63" t="s">
        <v>369</v>
      </c>
      <c r="D44" s="88">
        <f>SUM(E44:G44)</f>
        <v>196078.8</v>
      </c>
      <c r="E44" s="88">
        <f>7513.74*8</f>
        <v>60109.919999999998</v>
      </c>
      <c r="F44" s="88">
        <f>SUM(7513.74*12)+726</f>
        <v>90890.880000000005</v>
      </c>
      <c r="G44" s="89">
        <f>7513*6</f>
        <v>45078</v>
      </c>
      <c r="H44" s="53"/>
      <c r="I44" s="114" t="s">
        <v>382</v>
      </c>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row>
    <row r="45" spans="1:34" ht="16" x14ac:dyDescent="0.2">
      <c r="A45" s="91"/>
      <c r="B45" s="92"/>
      <c r="C45" s="99" t="s">
        <v>255</v>
      </c>
      <c r="D45" s="94">
        <f>SUM(D42:D44)</f>
        <v>1556683.8914000001</v>
      </c>
      <c r="E45" s="94">
        <f>SUM(E42:E44)</f>
        <v>604876.01140000008</v>
      </c>
      <c r="F45" s="94">
        <f>SUM(F42:F44)</f>
        <v>693433.88</v>
      </c>
      <c r="G45" s="95">
        <f>SUM(G42:G44)</f>
        <v>258374</v>
      </c>
      <c r="H45" s="60">
        <f>SUM(E45+F45+G45)-D45</f>
        <v>0</v>
      </c>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row>
    <row r="46" spans="1:34" ht="15" x14ac:dyDescent="0.2">
      <c r="A46" s="71"/>
      <c r="B46" s="56"/>
      <c r="C46" s="66"/>
      <c r="D46" s="56"/>
      <c r="E46" s="56"/>
      <c r="F46" s="56"/>
      <c r="G46" s="56"/>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row>
    <row r="47" spans="1:34" ht="16" x14ac:dyDescent="0.2">
      <c r="A47" s="84" t="s">
        <v>262</v>
      </c>
      <c r="B47" s="85"/>
      <c r="C47" s="100"/>
      <c r="D47" s="85"/>
      <c r="E47" s="85"/>
      <c r="F47" s="85"/>
      <c r="G47" s="86"/>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row>
    <row r="48" spans="1:34" ht="78" customHeight="1" x14ac:dyDescent="0.2">
      <c r="A48" s="87">
        <v>1</v>
      </c>
      <c r="B48" s="63" t="s">
        <v>273</v>
      </c>
      <c r="C48" s="63" t="s">
        <v>274</v>
      </c>
      <c r="D48" s="56"/>
      <c r="E48" s="56"/>
      <c r="F48" s="56"/>
      <c r="G48" s="101"/>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row>
    <row r="49" spans="1:34" ht="15" x14ac:dyDescent="0.2">
      <c r="A49" s="90"/>
      <c r="B49" s="65"/>
      <c r="C49" s="67"/>
      <c r="D49" s="65"/>
      <c r="E49" s="65"/>
      <c r="F49" s="65"/>
      <c r="G49" s="102"/>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row>
    <row r="50" spans="1:34" ht="15" x14ac:dyDescent="0.2">
      <c r="A50" s="103"/>
      <c r="B50" s="104"/>
      <c r="C50" s="105"/>
      <c r="D50" s="104"/>
      <c r="E50" s="104"/>
      <c r="F50" s="104"/>
      <c r="G50" s="106"/>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row>
    <row r="51" spans="1:34" ht="15" x14ac:dyDescent="0.2">
      <c r="A51" s="71"/>
      <c r="B51" s="65"/>
      <c r="C51" s="67"/>
      <c r="D51" s="65"/>
      <c r="E51" s="65"/>
      <c r="F51" s="65"/>
      <c r="G51" s="65"/>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row>
    <row r="52" spans="1:34" ht="15" x14ac:dyDescent="0.2">
      <c r="A52" s="71"/>
      <c r="B52" s="56"/>
      <c r="C52" s="66"/>
      <c r="D52" s="56"/>
      <c r="E52" s="56"/>
      <c r="F52" s="56"/>
      <c r="G52" s="56"/>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row>
    <row r="53" spans="1:34" ht="16" x14ac:dyDescent="0.2">
      <c r="A53" s="107" t="s">
        <v>263</v>
      </c>
      <c r="B53" s="108"/>
      <c r="C53" s="109"/>
      <c r="D53" s="108"/>
      <c r="E53" s="108"/>
      <c r="F53" s="108"/>
      <c r="G53" s="110"/>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row>
    <row r="54" spans="1:34" ht="14" x14ac:dyDescent="0.2">
      <c r="A54" s="87"/>
      <c r="B54" s="63"/>
      <c r="C54" s="98"/>
      <c r="D54" s="88"/>
      <c r="E54" s="88"/>
      <c r="F54" s="88"/>
      <c r="G54" s="101"/>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row>
    <row r="55" spans="1:34" ht="45" x14ac:dyDescent="0.2">
      <c r="A55" s="87">
        <v>1</v>
      </c>
      <c r="B55" s="63" t="s">
        <v>108</v>
      </c>
      <c r="C55" s="98" t="s">
        <v>452</v>
      </c>
      <c r="D55" s="88"/>
      <c r="E55" s="88"/>
      <c r="F55" s="88"/>
      <c r="G55" s="101"/>
      <c r="H55" s="53"/>
      <c r="I55" s="114"/>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row>
    <row r="56" spans="1:34" ht="63" customHeight="1" x14ac:dyDescent="0.2">
      <c r="A56" s="87"/>
      <c r="B56" s="63"/>
      <c r="C56" s="98"/>
      <c r="D56" s="63"/>
      <c r="E56" s="63"/>
      <c r="F56" s="114"/>
      <c r="G56" s="101"/>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row>
    <row r="57" spans="1:34" ht="37" customHeight="1" x14ac:dyDescent="0.2">
      <c r="A57" s="91"/>
      <c r="B57" s="92"/>
      <c r="C57" s="92"/>
      <c r="D57" s="111"/>
      <c r="E57" s="111"/>
      <c r="F57" s="124"/>
      <c r="G57" s="112"/>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row>
    <row r="58" spans="1:34" ht="14" x14ac:dyDescent="0.2">
      <c r="A58" s="70"/>
      <c r="B58" s="53"/>
      <c r="C58" s="68"/>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row>
    <row r="59" spans="1:34" ht="14" x14ac:dyDescent="0.2">
      <c r="A59" s="70"/>
      <c r="B59" s="53"/>
      <c r="C59" s="68"/>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row>
    <row r="60" spans="1:34" ht="14" x14ac:dyDescent="0.2">
      <c r="A60" s="70"/>
      <c r="B60" s="53"/>
      <c r="C60" s="68"/>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row>
    <row r="61" spans="1:34" ht="14" x14ac:dyDescent="0.2">
      <c r="A61" s="70"/>
      <c r="B61" s="53"/>
      <c r="C61" s="68"/>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row>
    <row r="62" spans="1:34" ht="14" x14ac:dyDescent="0.2">
      <c r="A62" s="70"/>
      <c r="B62" s="53"/>
      <c r="C62" s="68"/>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row>
    <row r="63" spans="1:34" ht="14" x14ac:dyDescent="0.2">
      <c r="A63" s="70"/>
      <c r="B63" s="53"/>
      <c r="C63" s="68"/>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row>
    <row r="64" spans="1:34" ht="14" x14ac:dyDescent="0.2">
      <c r="A64" s="70"/>
      <c r="B64" s="53"/>
      <c r="C64" s="68"/>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row>
    <row r="65" spans="1:34" ht="14" x14ac:dyDescent="0.2">
      <c r="A65" s="70"/>
      <c r="B65" s="53"/>
      <c r="C65" s="68"/>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row>
    <row r="66" spans="1:34" ht="14" x14ac:dyDescent="0.2">
      <c r="A66" s="70"/>
      <c r="B66" s="53"/>
      <c r="C66" s="68"/>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row>
    <row r="67" spans="1:34" ht="14" x14ac:dyDescent="0.2">
      <c r="A67" s="70"/>
      <c r="B67" s="53"/>
      <c r="C67" s="68"/>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row>
    <row r="68" spans="1:34" ht="14" x14ac:dyDescent="0.2">
      <c r="A68" s="70"/>
      <c r="B68" s="53"/>
      <c r="C68" s="68"/>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row>
    <row r="69" spans="1:34" ht="14" x14ac:dyDescent="0.2">
      <c r="A69" s="70"/>
      <c r="B69" s="53"/>
      <c r="C69" s="68"/>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row>
    <row r="70" spans="1:34" ht="14" x14ac:dyDescent="0.2">
      <c r="A70" s="70"/>
      <c r="B70" s="53"/>
      <c r="C70" s="68"/>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row>
    <row r="71" spans="1:34" ht="14" x14ac:dyDescent="0.2">
      <c r="A71" s="70"/>
      <c r="B71" s="53"/>
      <c r="C71" s="68"/>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row>
    <row r="72" spans="1:34" ht="14" x14ac:dyDescent="0.2">
      <c r="A72" s="70"/>
      <c r="B72" s="53"/>
      <c r="C72" s="68"/>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row>
    <row r="73" spans="1:34" ht="14" x14ac:dyDescent="0.2">
      <c r="A73" s="70"/>
      <c r="B73" s="53"/>
      <c r="C73" s="68"/>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row>
    <row r="74" spans="1:34" ht="14" x14ac:dyDescent="0.2">
      <c r="A74" s="70"/>
      <c r="B74" s="53"/>
      <c r="C74" s="68"/>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row>
    <row r="75" spans="1:34" ht="14" x14ac:dyDescent="0.2">
      <c r="A75" s="70"/>
      <c r="B75" s="53"/>
      <c r="C75" s="68"/>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row>
    <row r="76" spans="1:34" ht="14" x14ac:dyDescent="0.2">
      <c r="A76" s="70"/>
      <c r="B76" s="53"/>
      <c r="C76" s="68"/>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row>
    <row r="77" spans="1:34" ht="14" x14ac:dyDescent="0.2">
      <c r="A77" s="70"/>
      <c r="B77" s="53"/>
      <c r="C77" s="68"/>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row>
    <row r="78" spans="1:34" ht="14" x14ac:dyDescent="0.2">
      <c r="A78" s="70"/>
      <c r="B78" s="53"/>
      <c r="C78" s="68"/>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row>
    <row r="79" spans="1:34" ht="14" x14ac:dyDescent="0.2">
      <c r="A79" s="70"/>
      <c r="B79" s="53"/>
      <c r="C79" s="68"/>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row>
    <row r="80" spans="1:34" ht="14" x14ac:dyDescent="0.2">
      <c r="A80" s="70"/>
      <c r="B80" s="53"/>
      <c r="C80" s="68"/>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row>
    <row r="81" spans="1:34" ht="14" x14ac:dyDescent="0.2">
      <c r="A81" s="70"/>
      <c r="B81" s="53"/>
      <c r="C81" s="68"/>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row>
    <row r="82" spans="1:34" ht="14" x14ac:dyDescent="0.2">
      <c r="A82" s="70"/>
      <c r="B82" s="53"/>
      <c r="C82" s="68"/>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row>
    <row r="83" spans="1:34" ht="14" x14ac:dyDescent="0.2">
      <c r="A83" s="70"/>
      <c r="B83" s="53"/>
      <c r="C83" s="68"/>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row>
    <row r="84" spans="1:34" ht="14" x14ac:dyDescent="0.2">
      <c r="A84" s="70"/>
      <c r="B84" s="53"/>
      <c r="C84" s="68"/>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row>
    <row r="85" spans="1:34" ht="14" x14ac:dyDescent="0.2">
      <c r="A85" s="70"/>
      <c r="B85" s="53"/>
      <c r="C85" s="68"/>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row>
    <row r="86" spans="1:34" ht="14" x14ac:dyDescent="0.2">
      <c r="A86" s="70"/>
      <c r="B86" s="53"/>
      <c r="C86" s="68"/>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row>
    <row r="87" spans="1:34" ht="14" x14ac:dyDescent="0.2">
      <c r="A87" s="70"/>
      <c r="B87" s="53"/>
      <c r="C87" s="68"/>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row>
    <row r="88" spans="1:34" ht="14" x14ac:dyDescent="0.2">
      <c r="A88" s="70"/>
      <c r="B88" s="53"/>
      <c r="C88" s="68"/>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row>
    <row r="89" spans="1:34" ht="14" x14ac:dyDescent="0.2">
      <c r="A89" s="70"/>
      <c r="B89" s="53"/>
      <c r="C89" s="68"/>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row>
    <row r="90" spans="1:34" ht="14" x14ac:dyDescent="0.2">
      <c r="A90" s="70"/>
      <c r="B90" s="53"/>
      <c r="C90" s="68"/>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row>
    <row r="91" spans="1:34" ht="14" x14ac:dyDescent="0.2">
      <c r="A91" s="70"/>
      <c r="B91" s="53"/>
      <c r="C91" s="68"/>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row>
    <row r="92" spans="1:34" ht="14" x14ac:dyDescent="0.2">
      <c r="A92" s="70"/>
      <c r="B92" s="53"/>
      <c r="C92" s="68"/>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row>
    <row r="93" spans="1:34" ht="14" x14ac:dyDescent="0.2">
      <c r="A93" s="70"/>
      <c r="B93" s="53"/>
      <c r="C93" s="68"/>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row>
    <row r="94" spans="1:34" ht="14" x14ac:dyDescent="0.2">
      <c r="A94" s="53"/>
      <c r="B94" s="53"/>
      <c r="C94" s="68"/>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row>
    <row r="95" spans="1:34" ht="14" x14ac:dyDescent="0.2">
      <c r="A95" s="53"/>
      <c r="B95" s="53"/>
      <c r="C95" s="68"/>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row>
    <row r="96" spans="1:34" ht="14" x14ac:dyDescent="0.2">
      <c r="A96" s="53"/>
      <c r="B96" s="53"/>
      <c r="C96" s="68"/>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row>
    <row r="97" spans="1:34" ht="14" x14ac:dyDescent="0.2">
      <c r="A97" s="53"/>
      <c r="B97" s="53"/>
      <c r="C97" s="68"/>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row>
    <row r="98" spans="1:34" ht="14" x14ac:dyDescent="0.2">
      <c r="A98" s="53"/>
      <c r="B98" s="53"/>
      <c r="C98" s="68"/>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row>
    <row r="99" spans="1:34" ht="14" x14ac:dyDescent="0.2">
      <c r="A99" s="53"/>
      <c r="B99" s="53"/>
      <c r="C99" s="68"/>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row>
    <row r="100" spans="1:34" ht="14" x14ac:dyDescent="0.2">
      <c r="A100" s="53"/>
      <c r="B100" s="53"/>
      <c r="C100" s="68"/>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row>
    <row r="101" spans="1:34" ht="14" x14ac:dyDescent="0.2">
      <c r="A101" s="53"/>
      <c r="B101" s="53"/>
      <c r="C101" s="68"/>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row>
    <row r="102" spans="1:34" ht="14" x14ac:dyDescent="0.2">
      <c r="A102" s="53"/>
      <c r="B102" s="53"/>
      <c r="C102" s="68"/>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row>
    <row r="103" spans="1:34" ht="14" x14ac:dyDescent="0.2">
      <c r="A103" s="53"/>
      <c r="B103" s="53"/>
      <c r="C103" s="68"/>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row>
    <row r="104" spans="1:34" ht="14" x14ac:dyDescent="0.2">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row>
    <row r="105" spans="1:34" ht="14" x14ac:dyDescent="0.2">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row>
    <row r="106" spans="1:34" ht="14" x14ac:dyDescent="0.2">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row>
    <row r="107" spans="1:34" ht="14" x14ac:dyDescent="0.2">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row>
    <row r="108" spans="1:34" ht="14" x14ac:dyDescent="0.2">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row>
    <row r="109" spans="1:34" ht="14" x14ac:dyDescent="0.2">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row>
    <row r="110" spans="1:34" ht="14" x14ac:dyDescent="0.2">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row>
    <row r="111" spans="1:34" ht="14" x14ac:dyDescent="0.2">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row>
    <row r="112" spans="1:34" ht="14" x14ac:dyDescent="0.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row>
    <row r="113" spans="1:34" ht="14" x14ac:dyDescent="0.2">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row>
    <row r="114" spans="1:34" ht="14" x14ac:dyDescent="0.2">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row>
    <row r="115" spans="1:34" ht="14" x14ac:dyDescent="0.2">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row>
    <row r="116" spans="1:34" ht="14" x14ac:dyDescent="0.2">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row>
    <row r="117" spans="1:34" ht="14" x14ac:dyDescent="0.2">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row>
    <row r="118" spans="1:34" ht="14" x14ac:dyDescent="0.2">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row>
    <row r="119" spans="1:34" ht="14" x14ac:dyDescent="0.2">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row>
    <row r="120" spans="1:34" ht="14" x14ac:dyDescent="0.2">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row>
    <row r="121" spans="1:34" ht="14" x14ac:dyDescent="0.2">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row>
    <row r="122" spans="1:34" ht="14" x14ac:dyDescent="0.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row>
    <row r="123" spans="1:34" ht="14" x14ac:dyDescent="0.2">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row>
    <row r="124" spans="1:34" ht="14" x14ac:dyDescent="0.2">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row>
    <row r="125" spans="1:34" ht="14" x14ac:dyDescent="0.2">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row>
    <row r="126" spans="1:34" ht="14" x14ac:dyDescent="0.2">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row>
    <row r="127" spans="1:34" ht="14" x14ac:dyDescent="0.2">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row>
    <row r="128" spans="1:34" ht="14" x14ac:dyDescent="0.2">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row>
    <row r="129" spans="1:34" ht="14" x14ac:dyDescent="0.2">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row>
    <row r="130" spans="1:34" ht="14" x14ac:dyDescent="0.2">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row>
    <row r="131" spans="1:34" ht="14" x14ac:dyDescent="0.2">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row>
    <row r="132" spans="1:34" ht="14" x14ac:dyDescent="0.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row>
    <row r="133" spans="1:34" ht="14" x14ac:dyDescent="0.2">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row>
    <row r="134" spans="1:34" ht="14" x14ac:dyDescent="0.2">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row>
    <row r="135" spans="1:34" ht="14" x14ac:dyDescent="0.2">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row>
    <row r="136" spans="1:34" ht="14" x14ac:dyDescent="0.2">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row>
    <row r="137" spans="1:34" ht="14" x14ac:dyDescent="0.2">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row>
    <row r="138" spans="1:34" ht="14" x14ac:dyDescent="0.2">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row>
    <row r="139" spans="1:34" ht="14" x14ac:dyDescent="0.2">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row>
    <row r="140" spans="1:34" ht="14" x14ac:dyDescent="0.2">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row>
    <row r="141" spans="1:34" ht="14" x14ac:dyDescent="0.2">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row>
    <row r="142" spans="1:34" ht="14" x14ac:dyDescent="0.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row>
    <row r="143" spans="1:34" ht="14" x14ac:dyDescent="0.2">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row>
    <row r="144" spans="1:34" ht="14" x14ac:dyDescent="0.2">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row>
    <row r="145" spans="1:34" ht="14" x14ac:dyDescent="0.2">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row>
    <row r="146" spans="1:34" ht="14" x14ac:dyDescent="0.2">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row>
    <row r="147" spans="1:34" ht="14" x14ac:dyDescent="0.2">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row>
    <row r="148" spans="1:34" ht="14" x14ac:dyDescent="0.2">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row>
    <row r="149" spans="1:34" ht="14" x14ac:dyDescent="0.2">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row>
    <row r="150" spans="1:34" ht="14" x14ac:dyDescent="0.2">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row>
    <row r="151" spans="1:34" ht="14" x14ac:dyDescent="0.2">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row>
    <row r="152" spans="1:34" ht="14" x14ac:dyDescent="0.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row>
    <row r="153" spans="1:34" ht="14" x14ac:dyDescent="0.2">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row>
    <row r="154" spans="1:34" ht="14" x14ac:dyDescent="0.2">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row>
    <row r="155" spans="1:34" ht="14" x14ac:dyDescent="0.2">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row>
    <row r="156" spans="1:34" ht="14" x14ac:dyDescent="0.2">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row>
    <row r="157" spans="1:34" ht="14" x14ac:dyDescent="0.2">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row>
    <row r="158" spans="1:34" ht="14" x14ac:dyDescent="0.2">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row>
    <row r="159" spans="1:34" ht="14" x14ac:dyDescent="0.2">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row>
    <row r="160" spans="1:34" ht="14" x14ac:dyDescent="0.2">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row>
    <row r="161" spans="1:34" ht="14" x14ac:dyDescent="0.2">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row>
    <row r="162" spans="1:34" ht="14" x14ac:dyDescent="0.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row>
    <row r="163" spans="1:34" ht="14" x14ac:dyDescent="0.2">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row>
    <row r="164" spans="1:34" ht="14" x14ac:dyDescent="0.2">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row>
    <row r="165" spans="1:34" ht="14" x14ac:dyDescent="0.2">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row>
    <row r="166" spans="1:34" ht="14" x14ac:dyDescent="0.2">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row>
    <row r="167" spans="1:34" ht="14" x14ac:dyDescent="0.2">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row>
    <row r="168" spans="1:34" ht="14" x14ac:dyDescent="0.2">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row>
    <row r="169" spans="1:34" ht="14" x14ac:dyDescent="0.2">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row>
    <row r="170" spans="1:34" ht="14" x14ac:dyDescent="0.2">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row>
    <row r="171" spans="1:34" ht="14" x14ac:dyDescent="0.2">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row>
    <row r="172" spans="1:34" ht="14" x14ac:dyDescent="0.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row>
    <row r="173" spans="1:34" ht="14" x14ac:dyDescent="0.2">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row>
    <row r="174" spans="1:34" ht="14" x14ac:dyDescent="0.2">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row>
    <row r="175" spans="1:34" ht="14" x14ac:dyDescent="0.2">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row>
    <row r="176" spans="1:34" ht="14" x14ac:dyDescent="0.2">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row>
    <row r="177" spans="1:34" ht="14" x14ac:dyDescent="0.2">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row>
    <row r="178" spans="1:34" ht="14" x14ac:dyDescent="0.2">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row>
    <row r="179" spans="1:34" ht="14" x14ac:dyDescent="0.2">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row>
    <row r="180" spans="1:34" ht="14" x14ac:dyDescent="0.2">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row>
    <row r="181" spans="1:34" ht="14" x14ac:dyDescent="0.2">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row>
    <row r="182" spans="1:34" ht="14" x14ac:dyDescent="0.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row>
    <row r="183" spans="1:34" ht="14" x14ac:dyDescent="0.2">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row>
    <row r="184" spans="1:34" ht="14" x14ac:dyDescent="0.2">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row>
    <row r="185" spans="1:34" ht="14" x14ac:dyDescent="0.2">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row>
    <row r="186" spans="1:34" ht="14" x14ac:dyDescent="0.2">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row>
    <row r="187" spans="1:34" ht="14" x14ac:dyDescent="0.2">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row>
    <row r="188" spans="1:34" ht="14" x14ac:dyDescent="0.2">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row>
    <row r="189" spans="1:34" ht="14" x14ac:dyDescent="0.2">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row>
    <row r="190" spans="1:34" ht="14" x14ac:dyDescent="0.2">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row>
    <row r="191" spans="1:34" ht="14" x14ac:dyDescent="0.2">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row>
    <row r="192" spans="1:34" ht="14" x14ac:dyDescent="0.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row>
    <row r="193" spans="1:34" ht="14" x14ac:dyDescent="0.2">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row>
    <row r="194" spans="1:34" ht="14" x14ac:dyDescent="0.2">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row>
    <row r="195" spans="1:34" ht="14" x14ac:dyDescent="0.2">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row>
    <row r="196" spans="1:34" ht="14" x14ac:dyDescent="0.2">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row>
    <row r="197" spans="1:34" ht="14" x14ac:dyDescent="0.2">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row>
    <row r="198" spans="1:34" ht="14" x14ac:dyDescent="0.2">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row>
    <row r="199" spans="1:34" ht="14" x14ac:dyDescent="0.2">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row>
    <row r="200" spans="1:34" ht="14" x14ac:dyDescent="0.2">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row>
    <row r="201" spans="1:34" ht="14" x14ac:dyDescent="0.2">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row>
    <row r="202" spans="1:34" ht="14" x14ac:dyDescent="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row>
    <row r="203" spans="1:34" ht="14" x14ac:dyDescent="0.2">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row>
    <row r="204" spans="1:34" ht="14" x14ac:dyDescent="0.2">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row>
    <row r="205" spans="1:34" ht="14" x14ac:dyDescent="0.2">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row>
    <row r="206" spans="1:34" ht="14" x14ac:dyDescent="0.2">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row>
    <row r="207" spans="1:34" ht="14" x14ac:dyDescent="0.2">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row>
    <row r="208" spans="1:34" ht="14" x14ac:dyDescent="0.2">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row>
    <row r="209" spans="1:34" ht="14" x14ac:dyDescent="0.2">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row>
    <row r="210" spans="1:34" ht="14" x14ac:dyDescent="0.2">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row>
    <row r="211" spans="1:34" ht="14" x14ac:dyDescent="0.2">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row>
    <row r="212" spans="1:34" ht="14" x14ac:dyDescent="0.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row>
    <row r="213" spans="1:34" ht="14" x14ac:dyDescent="0.2">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row>
    <row r="214" spans="1:34" ht="14" x14ac:dyDescent="0.2">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row>
    <row r="215" spans="1:34" ht="14" x14ac:dyDescent="0.2">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row>
    <row r="216" spans="1:34" ht="14" x14ac:dyDescent="0.2">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row>
    <row r="217" spans="1:34" ht="14" x14ac:dyDescent="0.2">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row>
    <row r="218" spans="1:34" ht="14" x14ac:dyDescent="0.2">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row>
    <row r="219" spans="1:34" ht="14" x14ac:dyDescent="0.2">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row>
    <row r="220" spans="1:34" ht="14" x14ac:dyDescent="0.2">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row>
    <row r="221" spans="1:34" ht="14" x14ac:dyDescent="0.2">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row>
    <row r="222" spans="1:34" ht="14" x14ac:dyDescent="0.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row>
    <row r="223" spans="1:34" ht="14" x14ac:dyDescent="0.2">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row>
    <row r="224" spans="1:34" ht="14" x14ac:dyDescent="0.2">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row>
    <row r="225" spans="1:34" ht="14" x14ac:dyDescent="0.2">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row>
    <row r="226" spans="1:34" ht="14" x14ac:dyDescent="0.2">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row>
    <row r="227" spans="1:34" ht="14" x14ac:dyDescent="0.2">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row>
    <row r="228" spans="1:34" ht="14" x14ac:dyDescent="0.2">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row>
    <row r="229" spans="1:34" ht="14" x14ac:dyDescent="0.2">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row>
    <row r="230" spans="1:34" ht="14" x14ac:dyDescent="0.2">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row>
    <row r="231" spans="1:34" ht="14" x14ac:dyDescent="0.2">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row>
    <row r="232" spans="1:34" ht="14" x14ac:dyDescent="0.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row>
    <row r="233" spans="1:34" ht="14" x14ac:dyDescent="0.2">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row>
    <row r="234" spans="1:34" ht="14" x14ac:dyDescent="0.2">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row>
    <row r="235" spans="1:34" ht="14" x14ac:dyDescent="0.2">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row>
    <row r="236" spans="1:34" ht="14" x14ac:dyDescent="0.2">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row>
    <row r="237" spans="1:34" ht="14" x14ac:dyDescent="0.2">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row>
    <row r="238" spans="1:34" ht="14" x14ac:dyDescent="0.2">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row>
    <row r="239" spans="1:34" ht="14" x14ac:dyDescent="0.2">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row>
    <row r="240" spans="1:34" ht="14" x14ac:dyDescent="0.2">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row>
    <row r="241" spans="1:34" ht="14" x14ac:dyDescent="0.2">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row>
    <row r="242" spans="1:34" ht="14" x14ac:dyDescent="0.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row>
    <row r="243" spans="1:34" ht="14" x14ac:dyDescent="0.2">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row>
    <row r="244" spans="1:34" ht="14" x14ac:dyDescent="0.2">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row>
    <row r="245" spans="1:34" ht="14" x14ac:dyDescent="0.2">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row>
    <row r="246" spans="1:34" ht="14" x14ac:dyDescent="0.2">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row>
    <row r="247" spans="1:34" ht="14" x14ac:dyDescent="0.2">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row>
    <row r="248" spans="1:34" ht="14" x14ac:dyDescent="0.2">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row>
    <row r="249" spans="1:34" ht="14" x14ac:dyDescent="0.2">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row>
    <row r="250" spans="1:34" ht="14" x14ac:dyDescent="0.2">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row>
    <row r="251" spans="1:34" ht="14" x14ac:dyDescent="0.2">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row>
    <row r="252" spans="1:34" ht="14" x14ac:dyDescent="0.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row>
    <row r="253" spans="1:34" ht="14" x14ac:dyDescent="0.2">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row>
    <row r="254" spans="1:34" ht="14" x14ac:dyDescent="0.2">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row>
    <row r="255" spans="1:34" ht="14" x14ac:dyDescent="0.2">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row>
    <row r="256" spans="1:34" ht="14" x14ac:dyDescent="0.2">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row>
    <row r="257" spans="1:34" ht="14" x14ac:dyDescent="0.2">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row>
    <row r="258" spans="1:34" ht="14" x14ac:dyDescent="0.2">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row>
    <row r="259" spans="1:34" ht="14" x14ac:dyDescent="0.2">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row>
    <row r="260" spans="1:34" ht="14" x14ac:dyDescent="0.2">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row>
    <row r="261" spans="1:34" ht="14" x14ac:dyDescent="0.2">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row>
    <row r="262" spans="1:34" ht="14" x14ac:dyDescent="0.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row>
    <row r="263" spans="1:34" ht="14" x14ac:dyDescent="0.2">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row>
    <row r="264" spans="1:34" ht="14" x14ac:dyDescent="0.2">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row>
    <row r="265" spans="1:34" ht="14" x14ac:dyDescent="0.2">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row>
    <row r="266" spans="1:34" ht="14" x14ac:dyDescent="0.2">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row>
    <row r="267" spans="1:34" ht="14" x14ac:dyDescent="0.2">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row>
    <row r="268" spans="1:34" ht="14" x14ac:dyDescent="0.2">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row>
    <row r="269" spans="1:34" ht="14" x14ac:dyDescent="0.2">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row>
    <row r="270" spans="1:34" ht="14" x14ac:dyDescent="0.2">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row>
    <row r="271" spans="1:34" ht="14" x14ac:dyDescent="0.2">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row>
    <row r="272" spans="1:34" ht="14" x14ac:dyDescent="0.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row>
    <row r="273" spans="1:34" ht="14" x14ac:dyDescent="0.2">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row>
    <row r="274" spans="1:34" ht="14" x14ac:dyDescent="0.2">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row>
    <row r="275" spans="1:34" ht="14" x14ac:dyDescent="0.2">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row>
    <row r="276" spans="1:34" ht="14" x14ac:dyDescent="0.2">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row>
    <row r="277" spans="1:34" ht="14" x14ac:dyDescent="0.2">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row>
    <row r="278" spans="1:34" ht="14" x14ac:dyDescent="0.2">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row>
    <row r="279" spans="1:34" ht="14" x14ac:dyDescent="0.2">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row>
    <row r="280" spans="1:34" ht="14" x14ac:dyDescent="0.2">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row>
    <row r="281" spans="1:34" ht="14" x14ac:dyDescent="0.2">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row>
    <row r="282" spans="1:34" ht="14" x14ac:dyDescent="0.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row>
    <row r="283" spans="1:34" ht="14" x14ac:dyDescent="0.2">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row>
    <row r="284" spans="1:34" ht="14" x14ac:dyDescent="0.2">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row>
    <row r="285" spans="1:34" ht="14" x14ac:dyDescent="0.2">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row>
    <row r="286" spans="1:34" ht="14" x14ac:dyDescent="0.2">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row>
    <row r="287" spans="1:34" ht="14" x14ac:dyDescent="0.2">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row>
    <row r="288" spans="1:34" ht="14" x14ac:dyDescent="0.2">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row>
    <row r="289" spans="1:34" ht="14" x14ac:dyDescent="0.2">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row>
    <row r="290" spans="1:34" ht="14" x14ac:dyDescent="0.2">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row>
    <row r="291" spans="1:34" ht="14" x14ac:dyDescent="0.2">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row>
    <row r="292" spans="1:34" ht="14" x14ac:dyDescent="0.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row>
    <row r="293" spans="1:34" ht="14" x14ac:dyDescent="0.2">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row>
    <row r="294" spans="1:34" ht="14" x14ac:dyDescent="0.2">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row>
    <row r="295" spans="1:34" ht="14" x14ac:dyDescent="0.2">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row>
    <row r="296" spans="1:34" ht="14" x14ac:dyDescent="0.2">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row>
    <row r="297" spans="1:34" ht="14" x14ac:dyDescent="0.2">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row>
    <row r="298" spans="1:34" ht="14" x14ac:dyDescent="0.2">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row>
    <row r="299" spans="1:34" ht="14" x14ac:dyDescent="0.2">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row>
    <row r="300" spans="1:34" ht="14" x14ac:dyDescent="0.2">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row>
    <row r="301" spans="1:34" ht="14" x14ac:dyDescent="0.2">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row>
    <row r="302" spans="1:34" ht="14" x14ac:dyDescent="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row>
    <row r="303" spans="1:34" ht="14" x14ac:dyDescent="0.2">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row>
    <row r="304" spans="1:34" ht="14" x14ac:dyDescent="0.2">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row>
    <row r="305" spans="1:34" ht="14" x14ac:dyDescent="0.2">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row>
    <row r="306" spans="1:34" ht="14" x14ac:dyDescent="0.2">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row>
    <row r="307" spans="1:34" ht="14" x14ac:dyDescent="0.2">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row>
    <row r="308" spans="1:34" ht="14" x14ac:dyDescent="0.2">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row>
    <row r="309" spans="1:34" ht="14" x14ac:dyDescent="0.2">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row>
    <row r="310" spans="1:34" ht="14" x14ac:dyDescent="0.2">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row>
    <row r="311" spans="1:34" ht="14" x14ac:dyDescent="0.2">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row>
    <row r="312" spans="1:34" ht="14" x14ac:dyDescent="0.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row>
    <row r="313" spans="1:34" ht="14" x14ac:dyDescent="0.2">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row>
    <row r="314" spans="1:34" ht="14" x14ac:dyDescent="0.2">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row>
    <row r="315" spans="1:34" ht="14" x14ac:dyDescent="0.2">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row>
    <row r="316" spans="1:34" ht="14" x14ac:dyDescent="0.2">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row>
    <row r="317" spans="1:34" ht="14" x14ac:dyDescent="0.2">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row>
    <row r="318" spans="1:34" ht="14" x14ac:dyDescent="0.2">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row>
    <row r="319" spans="1:34" ht="14" x14ac:dyDescent="0.2">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row>
    <row r="320" spans="1:34" ht="14" x14ac:dyDescent="0.2">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row>
    <row r="321" spans="1:34" ht="14" x14ac:dyDescent="0.2">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row>
    <row r="322" spans="1:34" ht="14" x14ac:dyDescent="0.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row>
    <row r="323" spans="1:34" ht="14" x14ac:dyDescent="0.2">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row>
    <row r="324" spans="1:34" ht="14" x14ac:dyDescent="0.2">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c r="AB324" s="53"/>
      <c r="AC324" s="53"/>
      <c r="AD324" s="53"/>
      <c r="AE324" s="53"/>
      <c r="AF324" s="53"/>
      <c r="AG324" s="53"/>
      <c r="AH324" s="53"/>
    </row>
    <row r="325" spans="1:34" ht="14" x14ac:dyDescent="0.2">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row>
    <row r="326" spans="1:34" ht="14" x14ac:dyDescent="0.2">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c r="AD326" s="53"/>
      <c r="AE326" s="53"/>
      <c r="AF326" s="53"/>
      <c r="AG326" s="53"/>
      <c r="AH326" s="53"/>
    </row>
    <row r="327" spans="1:34" ht="14" x14ac:dyDescent="0.2">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c r="AD327" s="53"/>
      <c r="AE327" s="53"/>
      <c r="AF327" s="53"/>
      <c r="AG327" s="53"/>
      <c r="AH327" s="53"/>
    </row>
    <row r="328" spans="1:34" ht="14" x14ac:dyDescent="0.2">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row>
    <row r="329" spans="1:34" ht="14" x14ac:dyDescent="0.2">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c r="AB329" s="53"/>
      <c r="AC329" s="53"/>
      <c r="AD329" s="53"/>
      <c r="AE329" s="53"/>
      <c r="AF329" s="53"/>
      <c r="AG329" s="53"/>
      <c r="AH329" s="53"/>
    </row>
    <row r="330" spans="1:34" ht="14" x14ac:dyDescent="0.2">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3"/>
      <c r="AC330" s="53"/>
      <c r="AD330" s="53"/>
      <c r="AE330" s="53"/>
      <c r="AF330" s="53"/>
      <c r="AG330" s="53"/>
      <c r="AH330" s="53"/>
    </row>
    <row r="331" spans="1:34" ht="14" x14ac:dyDescent="0.2">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row>
    <row r="332" spans="1:34" ht="14" x14ac:dyDescent="0.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3"/>
      <c r="AC332" s="53"/>
      <c r="AD332" s="53"/>
      <c r="AE332" s="53"/>
      <c r="AF332" s="53"/>
      <c r="AG332" s="53"/>
      <c r="AH332" s="53"/>
    </row>
    <row r="333" spans="1:34" ht="14" x14ac:dyDescent="0.2">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3"/>
      <c r="AC333" s="53"/>
      <c r="AD333" s="53"/>
      <c r="AE333" s="53"/>
      <c r="AF333" s="53"/>
      <c r="AG333" s="53"/>
      <c r="AH333" s="53"/>
    </row>
    <row r="334" spans="1:34" ht="14" x14ac:dyDescent="0.2">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row>
    <row r="335" spans="1:34" ht="14" x14ac:dyDescent="0.2">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c r="AD335" s="53"/>
      <c r="AE335" s="53"/>
      <c r="AF335" s="53"/>
      <c r="AG335" s="53"/>
      <c r="AH335" s="53"/>
    </row>
    <row r="336" spans="1:34" ht="14" x14ac:dyDescent="0.2">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c r="AC336" s="53"/>
      <c r="AD336" s="53"/>
      <c r="AE336" s="53"/>
      <c r="AF336" s="53"/>
      <c r="AG336" s="53"/>
      <c r="AH336" s="53"/>
    </row>
    <row r="337" spans="1:34" ht="14" x14ac:dyDescent="0.2">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row>
    <row r="338" spans="1:34" ht="14" x14ac:dyDescent="0.2">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c r="AD338" s="53"/>
      <c r="AE338" s="53"/>
      <c r="AF338" s="53"/>
      <c r="AG338" s="53"/>
      <c r="AH338" s="53"/>
    </row>
    <row r="339" spans="1:34" ht="14" x14ac:dyDescent="0.2">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3"/>
      <c r="AC339" s="53"/>
      <c r="AD339" s="53"/>
      <c r="AE339" s="53"/>
      <c r="AF339" s="53"/>
      <c r="AG339" s="53"/>
      <c r="AH339" s="53"/>
    </row>
    <row r="340" spans="1:34" ht="14" x14ac:dyDescent="0.2">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row>
    <row r="341" spans="1:34" ht="14" x14ac:dyDescent="0.2">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c r="AD341" s="53"/>
      <c r="AE341" s="53"/>
      <c r="AF341" s="53"/>
      <c r="AG341" s="53"/>
      <c r="AH341" s="53"/>
    </row>
    <row r="342" spans="1:34" ht="14" x14ac:dyDescent="0.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c r="AB342" s="53"/>
      <c r="AC342" s="53"/>
      <c r="AD342" s="53"/>
      <c r="AE342" s="53"/>
      <c r="AF342" s="53"/>
      <c r="AG342" s="53"/>
      <c r="AH342" s="53"/>
    </row>
    <row r="343" spans="1:34" ht="14" x14ac:dyDescent="0.2">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row>
    <row r="344" spans="1:34" ht="14" x14ac:dyDescent="0.2">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53"/>
      <c r="AG344" s="53"/>
      <c r="AH344" s="53"/>
    </row>
    <row r="345" spans="1:34" ht="14" x14ac:dyDescent="0.2">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c r="AD345" s="53"/>
      <c r="AE345" s="53"/>
      <c r="AF345" s="53"/>
      <c r="AG345" s="53"/>
      <c r="AH345" s="53"/>
    </row>
    <row r="346" spans="1:34" ht="14" x14ac:dyDescent="0.2">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row>
    <row r="347" spans="1:34" ht="14" x14ac:dyDescent="0.2">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c r="AB347" s="53"/>
      <c r="AC347" s="53"/>
      <c r="AD347" s="53"/>
      <c r="AE347" s="53"/>
      <c r="AF347" s="53"/>
      <c r="AG347" s="53"/>
      <c r="AH347" s="53"/>
    </row>
    <row r="348" spans="1:34" ht="14" x14ac:dyDescent="0.2">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c r="AD348" s="53"/>
      <c r="AE348" s="53"/>
      <c r="AF348" s="53"/>
      <c r="AG348" s="53"/>
      <c r="AH348" s="53"/>
    </row>
    <row r="349" spans="1:34" ht="14" x14ac:dyDescent="0.2">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row>
    <row r="350" spans="1:34" ht="14" x14ac:dyDescent="0.2">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c r="AE350" s="53"/>
      <c r="AF350" s="53"/>
      <c r="AG350" s="53"/>
      <c r="AH350" s="53"/>
    </row>
    <row r="351" spans="1:34" ht="14" x14ac:dyDescent="0.2">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c r="AD351" s="53"/>
      <c r="AE351" s="53"/>
      <c r="AF351" s="53"/>
      <c r="AG351" s="53"/>
      <c r="AH351" s="53"/>
    </row>
    <row r="352" spans="1:34" ht="14" x14ac:dyDescent="0.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row>
    <row r="353" spans="1:34" ht="14" x14ac:dyDescent="0.2">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53"/>
    </row>
    <row r="354" spans="1:34" ht="14" x14ac:dyDescent="0.2">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row>
    <row r="355" spans="1:34" ht="14" x14ac:dyDescent="0.2">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row>
    <row r="356" spans="1:34" ht="14" x14ac:dyDescent="0.2">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3"/>
      <c r="AC356" s="53"/>
      <c r="AD356" s="53"/>
      <c r="AE356" s="53"/>
      <c r="AF356" s="53"/>
      <c r="AG356" s="53"/>
      <c r="AH356" s="53"/>
    </row>
    <row r="357" spans="1:34" ht="14" x14ac:dyDescent="0.2">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3"/>
      <c r="AC357" s="53"/>
      <c r="AD357" s="53"/>
      <c r="AE357" s="53"/>
      <c r="AF357" s="53"/>
      <c r="AG357" s="53"/>
      <c r="AH357" s="53"/>
    </row>
    <row r="358" spans="1:34" ht="14" x14ac:dyDescent="0.2">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3"/>
      <c r="AC358" s="53"/>
      <c r="AD358" s="53"/>
      <c r="AE358" s="53"/>
      <c r="AF358" s="53"/>
      <c r="AG358" s="53"/>
      <c r="AH358" s="53"/>
    </row>
    <row r="359" spans="1:34" ht="14" x14ac:dyDescent="0.2">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c r="AD359" s="53"/>
      <c r="AE359" s="53"/>
      <c r="AF359" s="53"/>
      <c r="AG359" s="53"/>
      <c r="AH359" s="53"/>
    </row>
    <row r="360" spans="1:34" ht="14" x14ac:dyDescent="0.2">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c r="AD360" s="53"/>
      <c r="AE360" s="53"/>
      <c r="AF360" s="53"/>
      <c r="AG360" s="53"/>
      <c r="AH360" s="53"/>
    </row>
    <row r="361" spans="1:34" ht="14" x14ac:dyDescent="0.2">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c r="AB361" s="53"/>
      <c r="AC361" s="53"/>
      <c r="AD361" s="53"/>
      <c r="AE361" s="53"/>
      <c r="AF361" s="53"/>
      <c r="AG361" s="53"/>
      <c r="AH361" s="53"/>
    </row>
    <row r="362" spans="1:34" ht="14" x14ac:dyDescent="0.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c r="AB362" s="53"/>
      <c r="AC362" s="53"/>
      <c r="AD362" s="53"/>
      <c r="AE362" s="53"/>
      <c r="AF362" s="53"/>
      <c r="AG362" s="53"/>
      <c r="AH362" s="53"/>
    </row>
    <row r="363" spans="1:34" ht="14" x14ac:dyDescent="0.2">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c r="AD363" s="53"/>
      <c r="AE363" s="53"/>
      <c r="AF363" s="53"/>
      <c r="AG363" s="53"/>
      <c r="AH363" s="53"/>
    </row>
    <row r="364" spans="1:34" ht="14" x14ac:dyDescent="0.2">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row>
    <row r="365" spans="1:34" ht="14" x14ac:dyDescent="0.2">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c r="AD365" s="53"/>
      <c r="AE365" s="53"/>
      <c r="AF365" s="53"/>
      <c r="AG365" s="53"/>
      <c r="AH365" s="53"/>
    </row>
    <row r="366" spans="1:34" ht="14" x14ac:dyDescent="0.2">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c r="AD366" s="53"/>
      <c r="AE366" s="53"/>
      <c r="AF366" s="53"/>
      <c r="AG366" s="53"/>
      <c r="AH366" s="53"/>
    </row>
    <row r="367" spans="1:34" ht="14" x14ac:dyDescent="0.2">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row>
    <row r="368" spans="1:34" ht="14" x14ac:dyDescent="0.2">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c r="AD368" s="53"/>
      <c r="AE368" s="53"/>
      <c r="AF368" s="53"/>
      <c r="AG368" s="53"/>
      <c r="AH368" s="53"/>
    </row>
    <row r="369" spans="1:34" ht="14" x14ac:dyDescent="0.2">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53"/>
    </row>
    <row r="370" spans="1:34" ht="14" x14ac:dyDescent="0.2">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row>
    <row r="371" spans="1:34" ht="14" x14ac:dyDescent="0.2">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c r="AD371" s="53"/>
      <c r="AE371" s="53"/>
      <c r="AF371" s="53"/>
      <c r="AG371" s="53"/>
      <c r="AH371" s="53"/>
    </row>
    <row r="372" spans="1:34" ht="14" x14ac:dyDescent="0.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c r="AD372" s="53"/>
      <c r="AE372" s="53"/>
      <c r="AF372" s="53"/>
      <c r="AG372" s="53"/>
      <c r="AH372" s="53"/>
    </row>
    <row r="373" spans="1:34" ht="14" x14ac:dyDescent="0.2">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row>
    <row r="374" spans="1:34" ht="14" x14ac:dyDescent="0.2">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c r="AC374" s="53"/>
      <c r="AD374" s="53"/>
      <c r="AE374" s="53"/>
      <c r="AF374" s="53"/>
      <c r="AG374" s="53"/>
      <c r="AH374" s="53"/>
    </row>
    <row r="375" spans="1:34" ht="14" x14ac:dyDescent="0.2">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c r="AC375" s="53"/>
      <c r="AD375" s="53"/>
      <c r="AE375" s="53"/>
      <c r="AF375" s="53"/>
      <c r="AG375" s="53"/>
      <c r="AH375" s="53"/>
    </row>
    <row r="376" spans="1:34" ht="14" x14ac:dyDescent="0.2">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c r="AD376" s="53"/>
      <c r="AE376" s="53"/>
      <c r="AF376" s="53"/>
      <c r="AG376" s="53"/>
      <c r="AH376" s="53"/>
    </row>
    <row r="377" spans="1:34" ht="14" x14ac:dyDescent="0.2">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c r="AC377" s="53"/>
      <c r="AD377" s="53"/>
      <c r="AE377" s="53"/>
      <c r="AF377" s="53"/>
      <c r="AG377" s="53"/>
      <c r="AH377" s="53"/>
    </row>
    <row r="378" spans="1:34" ht="14" x14ac:dyDescent="0.2">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c r="AD378" s="53"/>
      <c r="AE378" s="53"/>
      <c r="AF378" s="53"/>
      <c r="AG378" s="53"/>
      <c r="AH378" s="53"/>
    </row>
    <row r="379" spans="1:34" ht="14" x14ac:dyDescent="0.2">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row>
    <row r="380" spans="1:34" ht="14" x14ac:dyDescent="0.2">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c r="AD380" s="53"/>
      <c r="AE380" s="53"/>
      <c r="AF380" s="53"/>
      <c r="AG380" s="53"/>
      <c r="AH380" s="53"/>
    </row>
    <row r="381" spans="1:34" ht="14" x14ac:dyDescent="0.2">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c r="AD381" s="53"/>
      <c r="AE381" s="53"/>
      <c r="AF381" s="53"/>
      <c r="AG381" s="53"/>
      <c r="AH381" s="53"/>
    </row>
    <row r="382" spans="1:34" ht="14" x14ac:dyDescent="0.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row>
    <row r="383" spans="1:34" ht="14" x14ac:dyDescent="0.2">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c r="AE383" s="53"/>
      <c r="AF383" s="53"/>
      <c r="AG383" s="53"/>
      <c r="AH383" s="53"/>
    </row>
    <row r="384" spans="1:34" ht="14" x14ac:dyDescent="0.2">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c r="AD384" s="53"/>
      <c r="AE384" s="53"/>
      <c r="AF384" s="53"/>
      <c r="AG384" s="53"/>
      <c r="AH384" s="53"/>
    </row>
    <row r="385" spans="1:34" ht="14" x14ac:dyDescent="0.2">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row>
    <row r="386" spans="1:34" ht="14" x14ac:dyDescent="0.2">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c r="AD386" s="53"/>
      <c r="AE386" s="53"/>
      <c r="AF386" s="53"/>
      <c r="AG386" s="53"/>
      <c r="AH386" s="53"/>
    </row>
    <row r="387" spans="1:34" ht="14" x14ac:dyDescent="0.2">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c r="AD387" s="53"/>
      <c r="AE387" s="53"/>
      <c r="AF387" s="53"/>
      <c r="AG387" s="53"/>
      <c r="AH387" s="53"/>
    </row>
    <row r="388" spans="1:34" ht="14" x14ac:dyDescent="0.2">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row>
    <row r="389" spans="1:34" ht="14" x14ac:dyDescent="0.2">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53"/>
    </row>
    <row r="390" spans="1:34" ht="14" x14ac:dyDescent="0.2">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E390" s="53"/>
      <c r="AF390" s="53"/>
      <c r="AG390" s="53"/>
      <c r="AH390" s="53"/>
    </row>
    <row r="391" spans="1:34" ht="14" x14ac:dyDescent="0.2">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53"/>
    </row>
    <row r="392" spans="1:34" ht="14" x14ac:dyDescent="0.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c r="AD392" s="53"/>
      <c r="AE392" s="53"/>
      <c r="AF392" s="53"/>
      <c r="AG392" s="53"/>
      <c r="AH392" s="53"/>
    </row>
    <row r="393" spans="1:34" ht="14" x14ac:dyDescent="0.2">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c r="AC393" s="53"/>
      <c r="AD393" s="53"/>
      <c r="AE393" s="53"/>
      <c r="AF393" s="53"/>
      <c r="AG393" s="53"/>
      <c r="AH393" s="53"/>
    </row>
    <row r="394" spans="1:34" ht="14" x14ac:dyDescent="0.2">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row>
    <row r="395" spans="1:34" ht="14" x14ac:dyDescent="0.2">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row>
    <row r="396" spans="1:34" ht="14" x14ac:dyDescent="0.2">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c r="AD396" s="53"/>
      <c r="AE396" s="53"/>
      <c r="AF396" s="53"/>
      <c r="AG396" s="53"/>
      <c r="AH396" s="53"/>
    </row>
    <row r="397" spans="1:34" ht="14" x14ac:dyDescent="0.2">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row>
    <row r="398" spans="1:34" ht="14" x14ac:dyDescent="0.2">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c r="AD398" s="53"/>
      <c r="AE398" s="53"/>
      <c r="AF398" s="53"/>
      <c r="AG398" s="53"/>
      <c r="AH398" s="53"/>
    </row>
    <row r="399" spans="1:34" ht="14" x14ac:dyDescent="0.2">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c r="AD399" s="53"/>
      <c r="AE399" s="53"/>
      <c r="AF399" s="53"/>
      <c r="AG399" s="53"/>
      <c r="AH399" s="53"/>
    </row>
    <row r="400" spans="1:34" ht="14" x14ac:dyDescent="0.2">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row>
    <row r="401" spans="1:34" ht="14" x14ac:dyDescent="0.2">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53"/>
    </row>
    <row r="402" spans="1:34" ht="14" x14ac:dyDescent="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53"/>
    </row>
    <row r="403" spans="1:34" ht="14" x14ac:dyDescent="0.2">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row>
    <row r="404" spans="1:34" ht="14" x14ac:dyDescent="0.2">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c r="AD404" s="53"/>
      <c r="AE404" s="53"/>
      <c r="AF404" s="53"/>
      <c r="AG404" s="53"/>
      <c r="AH404" s="53"/>
    </row>
    <row r="405" spans="1:34" ht="14" x14ac:dyDescent="0.2">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E405" s="53"/>
      <c r="AF405" s="53"/>
      <c r="AG405" s="53"/>
      <c r="AH405" s="53"/>
    </row>
    <row r="406" spans="1:34" ht="14" x14ac:dyDescent="0.2">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53"/>
    </row>
    <row r="407" spans="1:34" ht="14" x14ac:dyDescent="0.2">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row>
    <row r="408" spans="1:34" ht="14" x14ac:dyDescent="0.2">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row>
    <row r="409" spans="1:34" ht="14" x14ac:dyDescent="0.2">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row>
    <row r="410" spans="1:34" ht="14" x14ac:dyDescent="0.2">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row>
    <row r="411" spans="1:34" ht="14" x14ac:dyDescent="0.2">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row>
    <row r="412" spans="1:34" ht="14" x14ac:dyDescent="0.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row>
    <row r="413" spans="1:34" ht="14" x14ac:dyDescent="0.2">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c r="AD413" s="53"/>
      <c r="AE413" s="53"/>
      <c r="AF413" s="53"/>
      <c r="AG413" s="53"/>
      <c r="AH413" s="53"/>
    </row>
    <row r="414" spans="1:34" ht="14" x14ac:dyDescent="0.2">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row>
    <row r="415" spans="1:34" ht="14" x14ac:dyDescent="0.2">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row>
    <row r="416" spans="1:34" ht="14" x14ac:dyDescent="0.2">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row>
    <row r="417" spans="1:34" ht="14" x14ac:dyDescent="0.2">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row>
    <row r="418" spans="1:34" ht="14" x14ac:dyDescent="0.2">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row>
    <row r="419" spans="1:34" ht="14" x14ac:dyDescent="0.2">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row>
    <row r="420" spans="1:34" ht="14" x14ac:dyDescent="0.2">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c r="AD420" s="53"/>
      <c r="AE420" s="53"/>
      <c r="AF420" s="53"/>
      <c r="AG420" s="53"/>
      <c r="AH420" s="53"/>
    </row>
    <row r="421" spans="1:34" ht="14" x14ac:dyDescent="0.2">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row>
    <row r="422" spans="1:34" ht="14" x14ac:dyDescent="0.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row>
    <row r="423" spans="1:34" ht="14" x14ac:dyDescent="0.2">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row>
    <row r="424" spans="1:34" ht="14" x14ac:dyDescent="0.2">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row>
    <row r="425" spans="1:34" ht="14" x14ac:dyDescent="0.2">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row>
    <row r="426" spans="1:34" ht="14" x14ac:dyDescent="0.2">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row>
    <row r="427" spans="1:34" ht="14" x14ac:dyDescent="0.2">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row>
    <row r="428" spans="1:34" ht="14" x14ac:dyDescent="0.2">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row>
    <row r="429" spans="1:34" ht="14" x14ac:dyDescent="0.2">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row>
    <row r="430" spans="1:34" ht="14" x14ac:dyDescent="0.2">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row>
    <row r="431" spans="1:34" ht="14" x14ac:dyDescent="0.2">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row>
    <row r="432" spans="1:34" ht="14" x14ac:dyDescent="0.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row>
    <row r="433" spans="1:34" ht="14" x14ac:dyDescent="0.2">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row>
    <row r="434" spans="1:34" ht="14" x14ac:dyDescent="0.2">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row>
    <row r="435" spans="1:34" ht="14" x14ac:dyDescent="0.2">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53"/>
    </row>
    <row r="436" spans="1:34" ht="14" x14ac:dyDescent="0.2">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row>
    <row r="437" spans="1:34" ht="14" x14ac:dyDescent="0.2">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row>
    <row r="438" spans="1:34" ht="14" x14ac:dyDescent="0.2">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row>
    <row r="439" spans="1:34" ht="14" x14ac:dyDescent="0.2">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row>
    <row r="440" spans="1:34" ht="14" x14ac:dyDescent="0.2">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row>
    <row r="441" spans="1:34" ht="14" x14ac:dyDescent="0.2">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row>
    <row r="442" spans="1:34" ht="14" x14ac:dyDescent="0.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row>
    <row r="443" spans="1:34" ht="14" x14ac:dyDescent="0.2">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row>
    <row r="444" spans="1:34" ht="14" x14ac:dyDescent="0.2">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c r="AD444" s="53"/>
      <c r="AE444" s="53"/>
      <c r="AF444" s="53"/>
      <c r="AG444" s="53"/>
      <c r="AH444" s="53"/>
    </row>
    <row r="445" spans="1:34" ht="14" x14ac:dyDescent="0.2">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row>
    <row r="446" spans="1:34" ht="14" x14ac:dyDescent="0.2">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row>
    <row r="447" spans="1:34" ht="14" x14ac:dyDescent="0.2">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row>
    <row r="448" spans="1:34" ht="14" x14ac:dyDescent="0.2">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row>
    <row r="449" spans="1:34" ht="14" x14ac:dyDescent="0.2">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row>
    <row r="450" spans="1:34" ht="14" x14ac:dyDescent="0.2">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row>
    <row r="451" spans="1:34" ht="14" x14ac:dyDescent="0.2">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row>
    <row r="452" spans="1:34" ht="14" x14ac:dyDescent="0.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row>
    <row r="453" spans="1:34" ht="14" x14ac:dyDescent="0.2">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row>
    <row r="454" spans="1:34" ht="14" x14ac:dyDescent="0.2">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row>
    <row r="455" spans="1:34" ht="14" x14ac:dyDescent="0.2">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row>
    <row r="456" spans="1:34" ht="14" x14ac:dyDescent="0.2">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row>
    <row r="457" spans="1:34" ht="14" x14ac:dyDescent="0.2">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row>
    <row r="458" spans="1:34" ht="14" x14ac:dyDescent="0.2">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row>
    <row r="459" spans="1:34" ht="14" x14ac:dyDescent="0.2">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row>
    <row r="460" spans="1:34" ht="14" x14ac:dyDescent="0.2">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row>
    <row r="461" spans="1:34" ht="14" x14ac:dyDescent="0.2">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row>
    <row r="462" spans="1:34" ht="14" x14ac:dyDescent="0.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row>
    <row r="463" spans="1:34" ht="14" x14ac:dyDescent="0.2">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row>
    <row r="464" spans="1:34" ht="14" x14ac:dyDescent="0.2">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row>
    <row r="465" spans="1:34" ht="14" x14ac:dyDescent="0.2">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row>
    <row r="466" spans="1:34" ht="14" x14ac:dyDescent="0.2">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row>
    <row r="467" spans="1:34" ht="14" x14ac:dyDescent="0.2">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row>
    <row r="468" spans="1:34" ht="14" x14ac:dyDescent="0.2">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row>
    <row r="469" spans="1:34" ht="14" x14ac:dyDescent="0.2">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row>
    <row r="470" spans="1:34" ht="14" x14ac:dyDescent="0.2">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row>
    <row r="471" spans="1:34" ht="14" x14ac:dyDescent="0.2">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row>
    <row r="472" spans="1:34" ht="14" x14ac:dyDescent="0.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row>
    <row r="473" spans="1:34" ht="14" x14ac:dyDescent="0.2">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c r="AD473" s="53"/>
      <c r="AE473" s="53"/>
      <c r="AF473" s="53"/>
      <c r="AG473" s="53"/>
      <c r="AH473" s="53"/>
    </row>
    <row r="474" spans="1:34" ht="14" x14ac:dyDescent="0.2">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row>
    <row r="475" spans="1:34" ht="14" x14ac:dyDescent="0.2">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row>
    <row r="476" spans="1:34" ht="14" x14ac:dyDescent="0.2">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row>
    <row r="477" spans="1:34" ht="14" x14ac:dyDescent="0.2">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row>
    <row r="478" spans="1:34" ht="14" x14ac:dyDescent="0.2">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row>
    <row r="479" spans="1:34" ht="14" x14ac:dyDescent="0.2">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row>
    <row r="480" spans="1:34" ht="14" x14ac:dyDescent="0.2">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row>
    <row r="481" spans="1:34" ht="14" x14ac:dyDescent="0.2">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row>
    <row r="482" spans="1:34" ht="14" x14ac:dyDescent="0.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row>
    <row r="483" spans="1:34" ht="14" x14ac:dyDescent="0.2">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row>
    <row r="484" spans="1:34" ht="14" x14ac:dyDescent="0.2">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row>
    <row r="485" spans="1:34" ht="14" x14ac:dyDescent="0.2">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row>
    <row r="486" spans="1:34" ht="14" x14ac:dyDescent="0.2">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row>
    <row r="487" spans="1:34" ht="14" x14ac:dyDescent="0.2">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row>
    <row r="488" spans="1:34" ht="14" x14ac:dyDescent="0.2">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53"/>
    </row>
    <row r="489" spans="1:34" ht="14" x14ac:dyDescent="0.2">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c r="AD489" s="53"/>
      <c r="AE489" s="53"/>
      <c r="AF489" s="53"/>
      <c r="AG489" s="53"/>
      <c r="AH489" s="53"/>
    </row>
    <row r="490" spans="1:34" ht="14" x14ac:dyDescent="0.2">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row>
    <row r="491" spans="1:34" ht="14" x14ac:dyDescent="0.2">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c r="AD491" s="53"/>
      <c r="AE491" s="53"/>
      <c r="AF491" s="53"/>
      <c r="AG491" s="53"/>
      <c r="AH491" s="53"/>
    </row>
    <row r="492" spans="1:34" ht="14" x14ac:dyDescent="0.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c r="AC492" s="53"/>
      <c r="AD492" s="53"/>
      <c r="AE492" s="53"/>
      <c r="AF492" s="53"/>
      <c r="AG492" s="53"/>
      <c r="AH492" s="53"/>
    </row>
    <row r="493" spans="1:34" ht="14" x14ac:dyDescent="0.2">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row>
    <row r="494" spans="1:34" ht="14" x14ac:dyDescent="0.2">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c r="AD494" s="53"/>
      <c r="AE494" s="53"/>
      <c r="AF494" s="53"/>
      <c r="AG494" s="53"/>
      <c r="AH494" s="53"/>
    </row>
    <row r="495" spans="1:34" ht="14" x14ac:dyDescent="0.2">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c r="AD495" s="53"/>
      <c r="AE495" s="53"/>
      <c r="AF495" s="53"/>
      <c r="AG495" s="53"/>
      <c r="AH495" s="53"/>
    </row>
    <row r="496" spans="1:34" ht="14" x14ac:dyDescent="0.2">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row>
    <row r="497" spans="1:34" ht="14" x14ac:dyDescent="0.2">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row>
    <row r="498" spans="1:34" ht="14" x14ac:dyDescent="0.2">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row>
    <row r="499" spans="1:34" ht="14" x14ac:dyDescent="0.2">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row>
    <row r="500" spans="1:34" ht="14" x14ac:dyDescent="0.2">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row>
    <row r="501" spans="1:34" ht="14" x14ac:dyDescent="0.2">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row>
    <row r="502" spans="1:34" ht="14" x14ac:dyDescent="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row>
    <row r="503" spans="1:34" ht="14" x14ac:dyDescent="0.2">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53"/>
    </row>
    <row r="504" spans="1:34" ht="14" x14ac:dyDescent="0.2">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53"/>
    </row>
    <row r="505" spans="1:34" ht="14" x14ac:dyDescent="0.2">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row>
    <row r="506" spans="1:34" ht="14" x14ac:dyDescent="0.2">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53"/>
      <c r="AF506" s="53"/>
      <c r="AG506" s="53"/>
      <c r="AH506" s="53"/>
    </row>
    <row r="507" spans="1:34" ht="14" x14ac:dyDescent="0.2">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row>
    <row r="508" spans="1:34" ht="14" x14ac:dyDescent="0.2">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c r="AC508" s="53"/>
      <c r="AD508" s="53"/>
      <c r="AE508" s="53"/>
      <c r="AF508" s="53"/>
      <c r="AG508" s="53"/>
      <c r="AH508" s="53"/>
    </row>
    <row r="509" spans="1:34" ht="14" x14ac:dyDescent="0.2">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c r="AC509" s="53"/>
      <c r="AD509" s="53"/>
      <c r="AE509" s="53"/>
      <c r="AF509" s="53"/>
      <c r="AG509" s="53"/>
      <c r="AH509" s="53"/>
    </row>
    <row r="510" spans="1:34" ht="14" x14ac:dyDescent="0.2">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c r="AC510" s="53"/>
      <c r="AD510" s="53"/>
      <c r="AE510" s="53"/>
      <c r="AF510" s="53"/>
      <c r="AG510" s="53"/>
      <c r="AH510" s="53"/>
    </row>
    <row r="511" spans="1:34" ht="14" x14ac:dyDescent="0.2">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c r="AC511" s="53"/>
      <c r="AD511" s="53"/>
      <c r="AE511" s="53"/>
      <c r="AF511" s="53"/>
      <c r="AG511" s="53"/>
      <c r="AH511" s="53"/>
    </row>
    <row r="512" spans="1:34" ht="14" x14ac:dyDescent="0.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c r="AC512" s="53"/>
      <c r="AD512" s="53"/>
      <c r="AE512" s="53"/>
      <c r="AF512" s="53"/>
      <c r="AG512" s="53"/>
      <c r="AH512" s="53"/>
    </row>
    <row r="513" spans="1:34" ht="14" x14ac:dyDescent="0.2">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53"/>
    </row>
    <row r="514" spans="1:34" ht="14" x14ac:dyDescent="0.2">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row>
    <row r="515" spans="1:34" ht="14" x14ac:dyDescent="0.2">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c r="AD515" s="53"/>
      <c r="AE515" s="53"/>
      <c r="AF515" s="53"/>
      <c r="AG515" s="53"/>
      <c r="AH515" s="53"/>
    </row>
    <row r="516" spans="1:34" ht="14" x14ac:dyDescent="0.2">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c r="AD516" s="53"/>
      <c r="AE516" s="53"/>
      <c r="AF516" s="53"/>
      <c r="AG516" s="53"/>
      <c r="AH516" s="53"/>
    </row>
    <row r="517" spans="1:34" ht="14" x14ac:dyDescent="0.2">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row>
    <row r="518" spans="1:34" ht="14" x14ac:dyDescent="0.2">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c r="AC518" s="53"/>
      <c r="AD518" s="53"/>
      <c r="AE518" s="53"/>
      <c r="AF518" s="53"/>
      <c r="AG518" s="53"/>
      <c r="AH518" s="53"/>
    </row>
    <row r="519" spans="1:34" ht="14" x14ac:dyDescent="0.2">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c r="AC519" s="53"/>
      <c r="AD519" s="53"/>
      <c r="AE519" s="53"/>
      <c r="AF519" s="53"/>
      <c r="AG519" s="53"/>
      <c r="AH519" s="53"/>
    </row>
    <row r="520" spans="1:34" ht="14" x14ac:dyDescent="0.2">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row>
    <row r="521" spans="1:34" ht="14" x14ac:dyDescent="0.2">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c r="AD521" s="53"/>
      <c r="AE521" s="53"/>
      <c r="AF521" s="53"/>
      <c r="AG521" s="53"/>
      <c r="AH521" s="53"/>
    </row>
    <row r="522" spans="1:34" ht="14" x14ac:dyDescent="0.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c r="AD522" s="53"/>
      <c r="AE522" s="53"/>
      <c r="AF522" s="53"/>
      <c r="AG522" s="53"/>
      <c r="AH522" s="53"/>
    </row>
    <row r="523" spans="1:34" ht="14" x14ac:dyDescent="0.2">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c r="AD523" s="53"/>
      <c r="AE523" s="53"/>
      <c r="AF523" s="53"/>
      <c r="AG523" s="53"/>
      <c r="AH523" s="53"/>
    </row>
    <row r="524" spans="1:34" ht="14" x14ac:dyDescent="0.2">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c r="AC524" s="53"/>
      <c r="AD524" s="53"/>
      <c r="AE524" s="53"/>
      <c r="AF524" s="53"/>
      <c r="AG524" s="53"/>
      <c r="AH524" s="53"/>
    </row>
    <row r="525" spans="1:34" ht="14" x14ac:dyDescent="0.2">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c r="AC525" s="53"/>
      <c r="AD525" s="53"/>
      <c r="AE525" s="53"/>
      <c r="AF525" s="53"/>
      <c r="AG525" s="53"/>
      <c r="AH525" s="53"/>
    </row>
    <row r="526" spans="1:34" ht="14" x14ac:dyDescent="0.2">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c r="AC526" s="53"/>
      <c r="AD526" s="53"/>
      <c r="AE526" s="53"/>
      <c r="AF526" s="53"/>
      <c r="AG526" s="53"/>
      <c r="AH526" s="53"/>
    </row>
    <row r="527" spans="1:34" ht="14" x14ac:dyDescent="0.2">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c r="AC527" s="53"/>
      <c r="AD527" s="53"/>
      <c r="AE527" s="53"/>
      <c r="AF527" s="53"/>
      <c r="AG527" s="53"/>
      <c r="AH527" s="53"/>
    </row>
    <row r="528" spans="1:34" ht="14" x14ac:dyDescent="0.2">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c r="AC528" s="53"/>
      <c r="AD528" s="53"/>
      <c r="AE528" s="53"/>
      <c r="AF528" s="53"/>
      <c r="AG528" s="53"/>
      <c r="AH528" s="53"/>
    </row>
    <row r="529" spans="1:34" ht="14" x14ac:dyDescent="0.2">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row>
    <row r="530" spans="1:34" ht="14" x14ac:dyDescent="0.2">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c r="AD530" s="53"/>
      <c r="AE530" s="53"/>
      <c r="AF530" s="53"/>
      <c r="AG530" s="53"/>
      <c r="AH530" s="53"/>
    </row>
    <row r="531" spans="1:34" ht="14" x14ac:dyDescent="0.2">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c r="AC531" s="53"/>
      <c r="AD531" s="53"/>
      <c r="AE531" s="53"/>
      <c r="AF531" s="53"/>
      <c r="AG531" s="53"/>
      <c r="AH531" s="53"/>
    </row>
    <row r="532" spans="1:34" ht="14" x14ac:dyDescent="0.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row>
    <row r="533" spans="1:34" ht="14" x14ac:dyDescent="0.2">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c r="AD533" s="53"/>
      <c r="AE533" s="53"/>
      <c r="AF533" s="53"/>
      <c r="AG533" s="53"/>
      <c r="AH533" s="53"/>
    </row>
    <row r="534" spans="1:34" ht="14" x14ac:dyDescent="0.2">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row>
    <row r="535" spans="1:34" ht="14" x14ac:dyDescent="0.2">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row>
    <row r="536" spans="1:34" ht="14" x14ac:dyDescent="0.2">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row>
    <row r="537" spans="1:34" ht="14" x14ac:dyDescent="0.2">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c r="AD537" s="53"/>
      <c r="AE537" s="53"/>
      <c r="AF537" s="53"/>
      <c r="AG537" s="53"/>
      <c r="AH537" s="53"/>
    </row>
    <row r="538" spans="1:34" ht="14" x14ac:dyDescent="0.2">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row>
    <row r="539" spans="1:34" ht="14" x14ac:dyDescent="0.2">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c r="AD539" s="53"/>
      <c r="AE539" s="53"/>
      <c r="AF539" s="53"/>
      <c r="AG539" s="53"/>
      <c r="AH539" s="53"/>
    </row>
    <row r="540" spans="1:34" ht="14" x14ac:dyDescent="0.2">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c r="AC540" s="53"/>
      <c r="AD540" s="53"/>
      <c r="AE540" s="53"/>
      <c r="AF540" s="53"/>
      <c r="AG540" s="53"/>
      <c r="AH540" s="53"/>
    </row>
    <row r="541" spans="1:34" ht="14" x14ac:dyDescent="0.2">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c r="AC541" s="53"/>
      <c r="AD541" s="53"/>
      <c r="AE541" s="53"/>
      <c r="AF541" s="53"/>
      <c r="AG541" s="53"/>
      <c r="AH541" s="53"/>
    </row>
    <row r="542" spans="1:34" ht="14" x14ac:dyDescent="0.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c r="AC542" s="53"/>
      <c r="AD542" s="53"/>
      <c r="AE542" s="53"/>
      <c r="AF542" s="53"/>
      <c r="AG542" s="53"/>
      <c r="AH542" s="53"/>
    </row>
    <row r="543" spans="1:34" ht="14" x14ac:dyDescent="0.2">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c r="AC543" s="53"/>
      <c r="AD543" s="53"/>
      <c r="AE543" s="53"/>
      <c r="AF543" s="53"/>
      <c r="AG543" s="53"/>
      <c r="AH543" s="53"/>
    </row>
    <row r="544" spans="1:34" ht="14" x14ac:dyDescent="0.2">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c r="AC544" s="53"/>
      <c r="AD544" s="53"/>
      <c r="AE544" s="53"/>
      <c r="AF544" s="53"/>
      <c r="AG544" s="53"/>
      <c r="AH544" s="53"/>
    </row>
    <row r="545" spans="1:34" ht="14" x14ac:dyDescent="0.2">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c r="AC545" s="53"/>
      <c r="AD545" s="53"/>
      <c r="AE545" s="53"/>
      <c r="AF545" s="53"/>
      <c r="AG545" s="53"/>
      <c r="AH545" s="53"/>
    </row>
    <row r="546" spans="1:34" ht="14" x14ac:dyDescent="0.2">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c r="AC546" s="53"/>
      <c r="AD546" s="53"/>
      <c r="AE546" s="53"/>
      <c r="AF546" s="53"/>
      <c r="AG546" s="53"/>
      <c r="AH546" s="53"/>
    </row>
    <row r="547" spans="1:34" ht="14" x14ac:dyDescent="0.2">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c r="AC547" s="53"/>
      <c r="AD547" s="53"/>
      <c r="AE547" s="53"/>
      <c r="AF547" s="53"/>
      <c r="AG547" s="53"/>
      <c r="AH547" s="53"/>
    </row>
    <row r="548" spans="1:34" ht="14" x14ac:dyDescent="0.2">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c r="AB548" s="53"/>
      <c r="AC548" s="53"/>
      <c r="AD548" s="53"/>
      <c r="AE548" s="53"/>
      <c r="AF548" s="53"/>
      <c r="AG548" s="53"/>
      <c r="AH548" s="53"/>
    </row>
    <row r="549" spans="1:34" ht="14" x14ac:dyDescent="0.2">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c r="AB549" s="53"/>
      <c r="AC549" s="53"/>
      <c r="AD549" s="53"/>
      <c r="AE549" s="53"/>
      <c r="AF549" s="53"/>
      <c r="AG549" s="53"/>
      <c r="AH549" s="53"/>
    </row>
    <row r="550" spans="1:34" ht="14" x14ac:dyDescent="0.2">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c r="AB550" s="53"/>
      <c r="AC550" s="53"/>
      <c r="AD550" s="53"/>
      <c r="AE550" s="53"/>
      <c r="AF550" s="53"/>
      <c r="AG550" s="53"/>
      <c r="AH550" s="53"/>
    </row>
    <row r="551" spans="1:34" ht="14" x14ac:dyDescent="0.2">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c r="AB551" s="53"/>
      <c r="AC551" s="53"/>
      <c r="AD551" s="53"/>
      <c r="AE551" s="53"/>
      <c r="AF551" s="53"/>
      <c r="AG551" s="53"/>
      <c r="AH551" s="53"/>
    </row>
    <row r="552" spans="1:34" ht="14" x14ac:dyDescent="0.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c r="AD552" s="53"/>
      <c r="AE552" s="53"/>
      <c r="AF552" s="53"/>
      <c r="AG552" s="53"/>
      <c r="AH552" s="53"/>
    </row>
    <row r="553" spans="1:34" ht="14" x14ac:dyDescent="0.2">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row>
    <row r="554" spans="1:34" ht="14" x14ac:dyDescent="0.2">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53"/>
      <c r="AF554" s="53"/>
      <c r="AG554" s="53"/>
      <c r="AH554" s="53"/>
    </row>
    <row r="555" spans="1:34" ht="14" x14ac:dyDescent="0.2">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c r="AG555" s="53"/>
      <c r="AH555" s="53"/>
    </row>
    <row r="556" spans="1:34" ht="14" x14ac:dyDescent="0.2">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row>
    <row r="557" spans="1:34" ht="14" x14ac:dyDescent="0.2">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c r="AD557" s="53"/>
      <c r="AE557" s="53"/>
      <c r="AF557" s="53"/>
      <c r="AG557" s="53"/>
      <c r="AH557" s="53"/>
    </row>
    <row r="558" spans="1:34" ht="14" x14ac:dyDescent="0.2">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c r="AD558" s="53"/>
      <c r="AE558" s="53"/>
      <c r="AF558" s="53"/>
      <c r="AG558" s="53"/>
      <c r="AH558" s="53"/>
    </row>
    <row r="559" spans="1:34" ht="14" x14ac:dyDescent="0.2">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row>
    <row r="560" spans="1:34" ht="14" x14ac:dyDescent="0.2">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c r="AB560" s="53"/>
      <c r="AC560" s="53"/>
      <c r="AD560" s="53"/>
      <c r="AE560" s="53"/>
      <c r="AF560" s="53"/>
      <c r="AG560" s="53"/>
      <c r="AH560" s="53"/>
    </row>
    <row r="561" spans="1:34" ht="14" x14ac:dyDescent="0.2">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c r="AB561" s="53"/>
      <c r="AC561" s="53"/>
      <c r="AD561" s="53"/>
      <c r="AE561" s="53"/>
      <c r="AF561" s="53"/>
      <c r="AG561" s="53"/>
      <c r="AH561" s="53"/>
    </row>
    <row r="562" spans="1:34" ht="14" x14ac:dyDescent="0.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c r="AB562" s="53"/>
      <c r="AC562" s="53"/>
      <c r="AD562" s="53"/>
      <c r="AE562" s="53"/>
      <c r="AF562" s="53"/>
      <c r="AG562" s="53"/>
      <c r="AH562" s="53"/>
    </row>
    <row r="563" spans="1:34" ht="14" x14ac:dyDescent="0.2">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c r="AB563" s="53"/>
      <c r="AC563" s="53"/>
      <c r="AD563" s="53"/>
      <c r="AE563" s="53"/>
      <c r="AF563" s="53"/>
      <c r="AG563" s="53"/>
      <c r="AH563" s="53"/>
    </row>
    <row r="564" spans="1:34" ht="14" x14ac:dyDescent="0.2">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c r="AB564" s="53"/>
      <c r="AC564" s="53"/>
      <c r="AD564" s="53"/>
      <c r="AE564" s="53"/>
      <c r="AF564" s="53"/>
      <c r="AG564" s="53"/>
      <c r="AH564" s="53"/>
    </row>
    <row r="565" spans="1:34" ht="14" x14ac:dyDescent="0.2">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c r="AB565" s="53"/>
      <c r="AC565" s="53"/>
      <c r="AD565" s="53"/>
      <c r="AE565" s="53"/>
      <c r="AF565" s="53"/>
      <c r="AG565" s="53"/>
      <c r="AH565" s="53"/>
    </row>
    <row r="566" spans="1:34" ht="14" x14ac:dyDescent="0.2">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c r="AB566" s="53"/>
      <c r="AC566" s="53"/>
      <c r="AD566" s="53"/>
      <c r="AE566" s="53"/>
      <c r="AF566" s="53"/>
      <c r="AG566" s="53"/>
      <c r="AH566" s="53"/>
    </row>
    <row r="567" spans="1:34" ht="14" x14ac:dyDescent="0.2">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c r="AD567" s="53"/>
      <c r="AE567" s="53"/>
      <c r="AF567" s="53"/>
      <c r="AG567" s="53"/>
      <c r="AH567" s="53"/>
    </row>
    <row r="568" spans="1:34" ht="14" x14ac:dyDescent="0.2">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c r="AB568" s="53"/>
      <c r="AC568" s="53"/>
      <c r="AD568" s="53"/>
      <c r="AE568" s="53"/>
      <c r="AF568" s="53"/>
      <c r="AG568" s="53"/>
      <c r="AH568" s="53"/>
    </row>
    <row r="569" spans="1:34" ht="14" x14ac:dyDescent="0.2">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c r="AB569" s="53"/>
      <c r="AC569" s="53"/>
      <c r="AD569" s="53"/>
      <c r="AE569" s="53"/>
      <c r="AF569" s="53"/>
      <c r="AG569" s="53"/>
      <c r="AH569" s="53"/>
    </row>
    <row r="570" spans="1:34" ht="14" x14ac:dyDescent="0.2">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c r="AB570" s="53"/>
      <c r="AC570" s="53"/>
      <c r="AD570" s="53"/>
      <c r="AE570" s="53"/>
      <c r="AF570" s="53"/>
      <c r="AG570" s="53"/>
      <c r="AH570" s="53"/>
    </row>
    <row r="571" spans="1:34" ht="14" x14ac:dyDescent="0.2">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c r="AB571" s="53"/>
      <c r="AC571" s="53"/>
      <c r="AD571" s="53"/>
      <c r="AE571" s="53"/>
      <c r="AF571" s="53"/>
      <c r="AG571" s="53"/>
      <c r="AH571" s="53"/>
    </row>
    <row r="572" spans="1:34" ht="14" x14ac:dyDescent="0.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c r="AB572" s="53"/>
      <c r="AC572" s="53"/>
      <c r="AD572" s="53"/>
      <c r="AE572" s="53"/>
      <c r="AF572" s="53"/>
      <c r="AG572" s="53"/>
      <c r="AH572" s="53"/>
    </row>
    <row r="573" spans="1:34" ht="14" x14ac:dyDescent="0.2">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c r="AB573" s="53"/>
      <c r="AC573" s="53"/>
      <c r="AD573" s="53"/>
      <c r="AE573" s="53"/>
      <c r="AF573" s="53"/>
      <c r="AG573" s="53"/>
      <c r="AH573" s="53"/>
    </row>
    <row r="574" spans="1:34" ht="14" x14ac:dyDescent="0.2">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c r="AB574" s="53"/>
      <c r="AC574" s="53"/>
      <c r="AD574" s="53"/>
      <c r="AE574" s="53"/>
      <c r="AF574" s="53"/>
      <c r="AG574" s="53"/>
      <c r="AH574" s="53"/>
    </row>
    <row r="575" spans="1:34" ht="14" x14ac:dyDescent="0.2">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c r="AB575" s="53"/>
      <c r="AC575" s="53"/>
      <c r="AD575" s="53"/>
      <c r="AE575" s="53"/>
      <c r="AF575" s="53"/>
      <c r="AG575" s="53"/>
      <c r="AH575" s="53"/>
    </row>
    <row r="576" spans="1:34" ht="14" x14ac:dyDescent="0.2">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c r="AB576" s="53"/>
      <c r="AC576" s="53"/>
      <c r="AD576" s="53"/>
      <c r="AE576" s="53"/>
      <c r="AF576" s="53"/>
      <c r="AG576" s="53"/>
      <c r="AH576" s="53"/>
    </row>
    <row r="577" spans="1:34" ht="14" x14ac:dyDescent="0.2">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c r="AB577" s="53"/>
      <c r="AC577" s="53"/>
      <c r="AD577" s="53"/>
      <c r="AE577" s="53"/>
      <c r="AF577" s="53"/>
      <c r="AG577" s="53"/>
      <c r="AH577" s="53"/>
    </row>
    <row r="578" spans="1:34" ht="14" x14ac:dyDescent="0.2">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c r="AB578" s="53"/>
      <c r="AC578" s="53"/>
      <c r="AD578" s="53"/>
      <c r="AE578" s="53"/>
      <c r="AF578" s="53"/>
      <c r="AG578" s="53"/>
      <c r="AH578" s="53"/>
    </row>
    <row r="579" spans="1:34" ht="14" x14ac:dyDescent="0.2">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c r="AB579" s="53"/>
      <c r="AC579" s="53"/>
      <c r="AD579" s="53"/>
      <c r="AE579" s="53"/>
      <c r="AF579" s="53"/>
      <c r="AG579" s="53"/>
      <c r="AH579" s="53"/>
    </row>
    <row r="580" spans="1:34" ht="14" x14ac:dyDescent="0.2">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c r="AB580" s="53"/>
      <c r="AC580" s="53"/>
      <c r="AD580" s="53"/>
      <c r="AE580" s="53"/>
      <c r="AF580" s="53"/>
      <c r="AG580" s="53"/>
      <c r="AH580" s="53"/>
    </row>
    <row r="581" spans="1:34" ht="14" x14ac:dyDescent="0.2">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c r="AB581" s="53"/>
      <c r="AC581" s="53"/>
      <c r="AD581" s="53"/>
      <c r="AE581" s="53"/>
      <c r="AF581" s="53"/>
      <c r="AG581" s="53"/>
      <c r="AH581" s="53"/>
    </row>
    <row r="582" spans="1:34" ht="14" x14ac:dyDescent="0.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c r="AB582" s="53"/>
      <c r="AC582" s="53"/>
      <c r="AD582" s="53"/>
      <c r="AE582" s="53"/>
      <c r="AF582" s="53"/>
      <c r="AG582" s="53"/>
      <c r="AH582" s="53"/>
    </row>
    <row r="583" spans="1:34" ht="14" x14ac:dyDescent="0.2">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c r="AB583" s="53"/>
      <c r="AC583" s="53"/>
      <c r="AD583" s="53"/>
      <c r="AE583" s="53"/>
      <c r="AF583" s="53"/>
      <c r="AG583" s="53"/>
      <c r="AH583" s="53"/>
    </row>
    <row r="584" spans="1:34" ht="14" x14ac:dyDescent="0.2">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c r="AB584" s="53"/>
      <c r="AC584" s="53"/>
      <c r="AD584" s="53"/>
      <c r="AE584" s="53"/>
      <c r="AF584" s="53"/>
      <c r="AG584" s="53"/>
      <c r="AH584" s="53"/>
    </row>
    <row r="585" spans="1:34" ht="14" x14ac:dyDescent="0.2">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c r="AB585" s="53"/>
      <c r="AC585" s="53"/>
      <c r="AD585" s="53"/>
      <c r="AE585" s="53"/>
      <c r="AF585" s="53"/>
      <c r="AG585" s="53"/>
      <c r="AH585" s="53"/>
    </row>
    <row r="586" spans="1:34" ht="14" x14ac:dyDescent="0.2">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c r="AB586" s="53"/>
      <c r="AC586" s="53"/>
      <c r="AD586" s="53"/>
      <c r="AE586" s="53"/>
      <c r="AF586" s="53"/>
      <c r="AG586" s="53"/>
      <c r="AH586" s="53"/>
    </row>
    <row r="587" spans="1:34" ht="14" x14ac:dyDescent="0.2">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c r="AB587" s="53"/>
      <c r="AC587" s="53"/>
      <c r="AD587" s="53"/>
      <c r="AE587" s="53"/>
      <c r="AF587" s="53"/>
      <c r="AG587" s="53"/>
      <c r="AH587" s="53"/>
    </row>
    <row r="588" spans="1:34" ht="14" x14ac:dyDescent="0.2">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c r="AB588" s="53"/>
      <c r="AC588" s="53"/>
      <c r="AD588" s="53"/>
      <c r="AE588" s="53"/>
      <c r="AF588" s="53"/>
      <c r="AG588" s="53"/>
      <c r="AH588" s="53"/>
    </row>
    <row r="589" spans="1:34" ht="14" x14ac:dyDescent="0.2">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c r="AB589" s="53"/>
      <c r="AC589" s="53"/>
      <c r="AD589" s="53"/>
      <c r="AE589" s="53"/>
      <c r="AF589" s="53"/>
      <c r="AG589" s="53"/>
      <c r="AH589" s="53"/>
    </row>
    <row r="590" spans="1:34" ht="14" x14ac:dyDescent="0.2">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c r="AB590" s="53"/>
      <c r="AC590" s="53"/>
      <c r="AD590" s="53"/>
      <c r="AE590" s="53"/>
      <c r="AF590" s="53"/>
      <c r="AG590" s="53"/>
      <c r="AH590" s="53"/>
    </row>
    <row r="591" spans="1:34" ht="14" x14ac:dyDescent="0.2">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c r="AB591" s="53"/>
      <c r="AC591" s="53"/>
      <c r="AD591" s="53"/>
      <c r="AE591" s="53"/>
      <c r="AF591" s="53"/>
      <c r="AG591" s="53"/>
      <c r="AH591" s="53"/>
    </row>
    <row r="592" spans="1:34" ht="14" x14ac:dyDescent="0.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c r="AB592" s="53"/>
      <c r="AC592" s="53"/>
      <c r="AD592" s="53"/>
      <c r="AE592" s="53"/>
      <c r="AF592" s="53"/>
      <c r="AG592" s="53"/>
      <c r="AH592" s="53"/>
    </row>
    <row r="593" spans="1:34" ht="14" x14ac:dyDescent="0.2">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c r="AB593" s="53"/>
      <c r="AC593" s="53"/>
      <c r="AD593" s="53"/>
      <c r="AE593" s="53"/>
      <c r="AF593" s="53"/>
      <c r="AG593" s="53"/>
      <c r="AH593" s="53"/>
    </row>
    <row r="594" spans="1:34" ht="14" x14ac:dyDescent="0.2">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c r="AB594" s="53"/>
      <c r="AC594" s="53"/>
      <c r="AD594" s="53"/>
      <c r="AE594" s="53"/>
      <c r="AF594" s="53"/>
      <c r="AG594" s="53"/>
      <c r="AH594" s="53"/>
    </row>
    <row r="595" spans="1:34" ht="14" x14ac:dyDescent="0.2">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c r="AB595" s="53"/>
      <c r="AC595" s="53"/>
      <c r="AD595" s="53"/>
      <c r="AE595" s="53"/>
      <c r="AF595" s="53"/>
      <c r="AG595" s="53"/>
      <c r="AH595" s="53"/>
    </row>
    <row r="596" spans="1:34" ht="14" x14ac:dyDescent="0.2">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c r="AB596" s="53"/>
      <c r="AC596" s="53"/>
      <c r="AD596" s="53"/>
      <c r="AE596" s="53"/>
      <c r="AF596" s="53"/>
      <c r="AG596" s="53"/>
      <c r="AH596" s="53"/>
    </row>
    <row r="597" spans="1:34" ht="14" x14ac:dyDescent="0.2">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c r="AD597" s="53"/>
      <c r="AE597" s="53"/>
      <c r="AF597" s="53"/>
      <c r="AG597" s="53"/>
      <c r="AH597" s="53"/>
    </row>
    <row r="598" spans="1:34" ht="14" x14ac:dyDescent="0.2">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c r="AB598" s="53"/>
      <c r="AC598" s="53"/>
      <c r="AD598" s="53"/>
      <c r="AE598" s="53"/>
      <c r="AF598" s="53"/>
      <c r="AG598" s="53"/>
      <c r="AH598" s="53"/>
    </row>
    <row r="599" spans="1:34" ht="14" x14ac:dyDescent="0.2">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c r="AB599" s="53"/>
      <c r="AC599" s="53"/>
      <c r="AD599" s="53"/>
      <c r="AE599" s="53"/>
      <c r="AF599" s="53"/>
      <c r="AG599" s="53"/>
      <c r="AH599" s="53"/>
    </row>
    <row r="600" spans="1:34" ht="14" x14ac:dyDescent="0.2">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c r="AB600" s="53"/>
      <c r="AC600" s="53"/>
      <c r="AD600" s="53"/>
      <c r="AE600" s="53"/>
      <c r="AF600" s="53"/>
      <c r="AG600" s="53"/>
      <c r="AH600" s="53"/>
    </row>
    <row r="601" spans="1:34" ht="14" x14ac:dyDescent="0.2">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c r="AB601" s="53"/>
      <c r="AC601" s="53"/>
      <c r="AD601" s="53"/>
      <c r="AE601" s="53"/>
      <c r="AF601" s="53"/>
      <c r="AG601" s="53"/>
      <c r="AH601" s="53"/>
    </row>
    <row r="602" spans="1:34" ht="14" x14ac:dyDescent="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c r="AB602" s="53"/>
      <c r="AC602" s="53"/>
      <c r="AD602" s="53"/>
      <c r="AE602" s="53"/>
      <c r="AF602" s="53"/>
      <c r="AG602" s="53"/>
      <c r="AH602" s="53"/>
    </row>
    <row r="603" spans="1:34" ht="14" x14ac:dyDescent="0.2">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c r="AB603" s="53"/>
      <c r="AC603" s="53"/>
      <c r="AD603" s="53"/>
      <c r="AE603" s="53"/>
      <c r="AF603" s="53"/>
      <c r="AG603" s="53"/>
      <c r="AH603" s="53"/>
    </row>
    <row r="604" spans="1:34" ht="14" x14ac:dyDescent="0.2">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c r="AB604" s="53"/>
      <c r="AC604" s="53"/>
      <c r="AD604" s="53"/>
      <c r="AE604" s="53"/>
      <c r="AF604" s="53"/>
      <c r="AG604" s="53"/>
      <c r="AH604" s="53"/>
    </row>
    <row r="605" spans="1:34" ht="14" x14ac:dyDescent="0.2">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c r="AB605" s="53"/>
      <c r="AC605" s="53"/>
      <c r="AD605" s="53"/>
      <c r="AE605" s="53"/>
      <c r="AF605" s="53"/>
      <c r="AG605" s="53"/>
      <c r="AH605" s="53"/>
    </row>
    <row r="606" spans="1:34" ht="14" x14ac:dyDescent="0.2">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c r="AB606" s="53"/>
      <c r="AC606" s="53"/>
      <c r="AD606" s="53"/>
      <c r="AE606" s="53"/>
      <c r="AF606" s="53"/>
      <c r="AG606" s="53"/>
      <c r="AH606" s="53"/>
    </row>
    <row r="607" spans="1:34" ht="14" x14ac:dyDescent="0.2">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c r="AB607" s="53"/>
      <c r="AC607" s="53"/>
      <c r="AD607" s="53"/>
      <c r="AE607" s="53"/>
      <c r="AF607" s="53"/>
      <c r="AG607" s="53"/>
      <c r="AH607" s="53"/>
    </row>
    <row r="608" spans="1:34" ht="14" x14ac:dyDescent="0.2">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c r="AB608" s="53"/>
      <c r="AC608" s="53"/>
      <c r="AD608" s="53"/>
      <c r="AE608" s="53"/>
      <c r="AF608" s="53"/>
      <c r="AG608" s="53"/>
      <c r="AH608" s="53"/>
    </row>
    <row r="609" spans="1:34" ht="14" x14ac:dyDescent="0.2">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c r="AB609" s="53"/>
      <c r="AC609" s="53"/>
      <c r="AD609" s="53"/>
      <c r="AE609" s="53"/>
      <c r="AF609" s="53"/>
      <c r="AG609" s="53"/>
      <c r="AH609" s="53"/>
    </row>
    <row r="610" spans="1:34" ht="14" x14ac:dyDescent="0.2">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c r="AB610" s="53"/>
      <c r="AC610" s="53"/>
      <c r="AD610" s="53"/>
      <c r="AE610" s="53"/>
      <c r="AF610" s="53"/>
      <c r="AG610" s="53"/>
      <c r="AH610" s="53"/>
    </row>
    <row r="611" spans="1:34" ht="14" x14ac:dyDescent="0.2">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c r="AB611" s="53"/>
      <c r="AC611" s="53"/>
      <c r="AD611" s="53"/>
      <c r="AE611" s="53"/>
      <c r="AF611" s="53"/>
      <c r="AG611" s="53"/>
      <c r="AH611" s="53"/>
    </row>
    <row r="612" spans="1:34" ht="14" x14ac:dyDescent="0.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c r="AB612" s="53"/>
      <c r="AC612" s="53"/>
      <c r="AD612" s="53"/>
      <c r="AE612" s="53"/>
      <c r="AF612" s="53"/>
      <c r="AG612" s="53"/>
      <c r="AH612" s="53"/>
    </row>
    <row r="613" spans="1:34" ht="14" x14ac:dyDescent="0.2">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c r="AB613" s="53"/>
      <c r="AC613" s="53"/>
      <c r="AD613" s="53"/>
      <c r="AE613" s="53"/>
      <c r="AF613" s="53"/>
      <c r="AG613" s="53"/>
      <c r="AH613" s="53"/>
    </row>
    <row r="614" spans="1:34" ht="14" x14ac:dyDescent="0.2">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c r="AB614" s="53"/>
      <c r="AC614" s="53"/>
      <c r="AD614" s="53"/>
      <c r="AE614" s="53"/>
      <c r="AF614" s="53"/>
      <c r="AG614" s="53"/>
      <c r="AH614" s="53"/>
    </row>
    <row r="615" spans="1:34" ht="14" x14ac:dyDescent="0.2">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c r="AB615" s="53"/>
      <c r="AC615" s="53"/>
      <c r="AD615" s="53"/>
      <c r="AE615" s="53"/>
      <c r="AF615" s="53"/>
      <c r="AG615" s="53"/>
      <c r="AH615" s="53"/>
    </row>
    <row r="616" spans="1:34" ht="14" x14ac:dyDescent="0.2">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c r="AB616" s="53"/>
      <c r="AC616" s="53"/>
      <c r="AD616" s="53"/>
      <c r="AE616" s="53"/>
      <c r="AF616" s="53"/>
      <c r="AG616" s="53"/>
      <c r="AH616" s="53"/>
    </row>
    <row r="617" spans="1:34" ht="14" x14ac:dyDescent="0.2">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c r="AB617" s="53"/>
      <c r="AC617" s="53"/>
      <c r="AD617" s="53"/>
      <c r="AE617" s="53"/>
      <c r="AF617" s="53"/>
      <c r="AG617" s="53"/>
      <c r="AH617" s="53"/>
    </row>
    <row r="618" spans="1:34" ht="14" x14ac:dyDescent="0.2">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c r="AB618" s="53"/>
      <c r="AC618" s="53"/>
      <c r="AD618" s="53"/>
      <c r="AE618" s="53"/>
      <c r="AF618" s="53"/>
      <c r="AG618" s="53"/>
      <c r="AH618" s="53"/>
    </row>
    <row r="619" spans="1:34" ht="14" x14ac:dyDescent="0.2">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c r="AD619" s="53"/>
      <c r="AE619" s="53"/>
      <c r="AF619" s="53"/>
      <c r="AG619" s="53"/>
      <c r="AH619" s="53"/>
    </row>
    <row r="620" spans="1:34" ht="14" x14ac:dyDescent="0.2">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c r="AD620" s="53"/>
      <c r="AE620" s="53"/>
      <c r="AF620" s="53"/>
      <c r="AG620" s="53"/>
      <c r="AH620" s="53"/>
    </row>
    <row r="621" spans="1:34" ht="14" x14ac:dyDescent="0.2">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c r="AE621" s="53"/>
      <c r="AF621" s="53"/>
      <c r="AG621" s="53"/>
      <c r="AH621" s="53"/>
    </row>
    <row r="622" spans="1:34" ht="14" x14ac:dyDescent="0.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row>
    <row r="623" spans="1:34" ht="14" x14ac:dyDescent="0.2">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c r="AB623" s="53"/>
      <c r="AC623" s="53"/>
      <c r="AD623" s="53"/>
      <c r="AE623" s="53"/>
      <c r="AF623" s="53"/>
      <c r="AG623" s="53"/>
      <c r="AH623" s="53"/>
    </row>
    <row r="624" spans="1:34" ht="14" x14ac:dyDescent="0.2">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c r="AB624" s="53"/>
      <c r="AC624" s="53"/>
      <c r="AD624" s="53"/>
      <c r="AE624" s="53"/>
      <c r="AF624" s="53"/>
      <c r="AG624" s="53"/>
      <c r="AH624" s="53"/>
    </row>
    <row r="625" spans="1:34" ht="14" x14ac:dyDescent="0.2">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c r="AB625" s="53"/>
      <c r="AC625" s="53"/>
      <c r="AD625" s="53"/>
      <c r="AE625" s="53"/>
      <c r="AF625" s="53"/>
      <c r="AG625" s="53"/>
      <c r="AH625" s="53"/>
    </row>
    <row r="626" spans="1:34" ht="14" x14ac:dyDescent="0.2">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c r="AB626" s="53"/>
      <c r="AC626" s="53"/>
      <c r="AD626" s="53"/>
      <c r="AE626" s="53"/>
      <c r="AF626" s="53"/>
      <c r="AG626" s="53"/>
      <c r="AH626" s="53"/>
    </row>
    <row r="627" spans="1:34" ht="14" x14ac:dyDescent="0.2">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c r="AB627" s="53"/>
      <c r="AC627" s="53"/>
      <c r="AD627" s="53"/>
      <c r="AE627" s="53"/>
      <c r="AF627" s="53"/>
      <c r="AG627" s="53"/>
      <c r="AH627" s="53"/>
    </row>
    <row r="628" spans="1:34" ht="14" x14ac:dyDescent="0.2">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c r="AB628" s="53"/>
      <c r="AC628" s="53"/>
      <c r="AD628" s="53"/>
      <c r="AE628" s="53"/>
      <c r="AF628" s="53"/>
      <c r="AG628" s="53"/>
      <c r="AH628" s="53"/>
    </row>
    <row r="629" spans="1:34" ht="14" x14ac:dyDescent="0.2">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c r="AB629" s="53"/>
      <c r="AC629" s="53"/>
      <c r="AD629" s="53"/>
      <c r="AE629" s="53"/>
      <c r="AF629" s="53"/>
      <c r="AG629" s="53"/>
      <c r="AH629" s="53"/>
    </row>
    <row r="630" spans="1:34" ht="14" x14ac:dyDescent="0.2">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c r="AB630" s="53"/>
      <c r="AC630" s="53"/>
      <c r="AD630" s="53"/>
      <c r="AE630" s="53"/>
      <c r="AF630" s="53"/>
      <c r="AG630" s="53"/>
      <c r="AH630" s="53"/>
    </row>
    <row r="631" spans="1:34" ht="14" x14ac:dyDescent="0.2">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c r="AB631" s="53"/>
      <c r="AC631" s="53"/>
      <c r="AD631" s="53"/>
      <c r="AE631" s="53"/>
      <c r="AF631" s="53"/>
      <c r="AG631" s="53"/>
      <c r="AH631" s="53"/>
    </row>
    <row r="632" spans="1:34" ht="14" x14ac:dyDescent="0.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c r="AB632" s="53"/>
      <c r="AC632" s="53"/>
      <c r="AD632" s="53"/>
      <c r="AE632" s="53"/>
      <c r="AF632" s="53"/>
      <c r="AG632" s="53"/>
      <c r="AH632" s="53"/>
    </row>
    <row r="633" spans="1:34" ht="14" x14ac:dyDescent="0.2">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c r="AB633" s="53"/>
      <c r="AC633" s="53"/>
      <c r="AD633" s="53"/>
      <c r="AE633" s="53"/>
      <c r="AF633" s="53"/>
      <c r="AG633" s="53"/>
      <c r="AH633" s="53"/>
    </row>
    <row r="634" spans="1:34" ht="14" x14ac:dyDescent="0.2">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c r="AB634" s="53"/>
      <c r="AC634" s="53"/>
      <c r="AD634" s="53"/>
      <c r="AE634" s="53"/>
      <c r="AF634" s="53"/>
      <c r="AG634" s="53"/>
      <c r="AH634" s="53"/>
    </row>
    <row r="635" spans="1:34" ht="14" x14ac:dyDescent="0.2">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c r="AB635" s="53"/>
      <c r="AC635" s="53"/>
      <c r="AD635" s="53"/>
      <c r="AE635" s="53"/>
      <c r="AF635" s="53"/>
      <c r="AG635" s="53"/>
      <c r="AH635" s="53"/>
    </row>
    <row r="636" spans="1:34" ht="14" x14ac:dyDescent="0.2">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53"/>
      <c r="AF636" s="53"/>
      <c r="AG636" s="53"/>
      <c r="AH636" s="53"/>
    </row>
    <row r="637" spans="1:34" ht="14" x14ac:dyDescent="0.2">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53"/>
      <c r="AF637" s="53"/>
      <c r="AG637" s="53"/>
      <c r="AH637" s="53"/>
    </row>
    <row r="638" spans="1:34" ht="14" x14ac:dyDescent="0.2">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53"/>
      <c r="AF638" s="53"/>
      <c r="AG638" s="53"/>
      <c r="AH638" s="53"/>
    </row>
    <row r="639" spans="1:34" ht="14" x14ac:dyDescent="0.2">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53"/>
      <c r="AF639" s="53"/>
      <c r="AG639" s="53"/>
      <c r="AH639" s="53"/>
    </row>
    <row r="640" spans="1:34" ht="14" x14ac:dyDescent="0.2">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c r="AB640" s="53"/>
      <c r="AC640" s="53"/>
      <c r="AD640" s="53"/>
      <c r="AE640" s="53"/>
      <c r="AF640" s="53"/>
      <c r="AG640" s="53"/>
      <c r="AH640" s="53"/>
    </row>
    <row r="641" spans="1:34" ht="14" x14ac:dyDescent="0.2">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c r="AB641" s="53"/>
      <c r="AC641" s="53"/>
      <c r="AD641" s="53"/>
      <c r="AE641" s="53"/>
      <c r="AF641" s="53"/>
      <c r="AG641" s="53"/>
      <c r="AH641" s="53"/>
    </row>
    <row r="642" spans="1:34" ht="14" x14ac:dyDescent="0.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c r="AB642" s="53"/>
      <c r="AC642" s="53"/>
      <c r="AD642" s="53"/>
      <c r="AE642" s="53"/>
      <c r="AF642" s="53"/>
      <c r="AG642" s="53"/>
      <c r="AH642" s="53"/>
    </row>
    <row r="643" spans="1:34" ht="14" x14ac:dyDescent="0.2">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c r="AB643" s="53"/>
      <c r="AC643" s="53"/>
      <c r="AD643" s="53"/>
      <c r="AE643" s="53"/>
      <c r="AF643" s="53"/>
      <c r="AG643" s="53"/>
      <c r="AH643" s="53"/>
    </row>
    <row r="644" spans="1:34" ht="14" x14ac:dyDescent="0.2">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c r="AB644" s="53"/>
      <c r="AC644" s="53"/>
      <c r="AD644" s="53"/>
      <c r="AE644" s="53"/>
      <c r="AF644" s="53"/>
      <c r="AG644" s="53"/>
      <c r="AH644" s="53"/>
    </row>
    <row r="645" spans="1:34" ht="14" x14ac:dyDescent="0.2">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c r="AB645" s="53"/>
      <c r="AC645" s="53"/>
      <c r="AD645" s="53"/>
      <c r="AE645" s="53"/>
      <c r="AF645" s="53"/>
      <c r="AG645" s="53"/>
      <c r="AH645" s="53"/>
    </row>
    <row r="646" spans="1:34" ht="14" x14ac:dyDescent="0.2">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c r="AB646" s="53"/>
      <c r="AC646" s="53"/>
      <c r="AD646" s="53"/>
      <c r="AE646" s="53"/>
      <c r="AF646" s="53"/>
      <c r="AG646" s="53"/>
      <c r="AH646" s="53"/>
    </row>
    <row r="647" spans="1:34" ht="14" x14ac:dyDescent="0.2">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c r="AD647" s="53"/>
      <c r="AE647" s="53"/>
      <c r="AF647" s="53"/>
      <c r="AG647" s="53"/>
      <c r="AH647" s="53"/>
    </row>
    <row r="648" spans="1:34" ht="14" x14ac:dyDescent="0.2">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c r="AB648" s="53"/>
      <c r="AC648" s="53"/>
      <c r="AD648" s="53"/>
      <c r="AE648" s="53"/>
      <c r="AF648" s="53"/>
      <c r="AG648" s="53"/>
      <c r="AH648" s="53"/>
    </row>
    <row r="649" spans="1:34" ht="14" x14ac:dyDescent="0.2">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c r="AB649" s="53"/>
      <c r="AC649" s="53"/>
      <c r="AD649" s="53"/>
      <c r="AE649" s="53"/>
      <c r="AF649" s="53"/>
      <c r="AG649" s="53"/>
      <c r="AH649" s="53"/>
    </row>
    <row r="650" spans="1:34" ht="14" x14ac:dyDescent="0.2">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c r="AD650" s="53"/>
      <c r="AE650" s="53"/>
      <c r="AF650" s="53"/>
      <c r="AG650" s="53"/>
      <c r="AH650" s="53"/>
    </row>
    <row r="651" spans="1:34" ht="14" x14ac:dyDescent="0.2">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c r="AB651" s="53"/>
      <c r="AC651" s="53"/>
      <c r="AD651" s="53"/>
      <c r="AE651" s="53"/>
      <c r="AF651" s="53"/>
      <c r="AG651" s="53"/>
      <c r="AH651" s="53"/>
    </row>
    <row r="652" spans="1:34" ht="14" x14ac:dyDescent="0.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c r="AB652" s="53"/>
      <c r="AC652" s="53"/>
      <c r="AD652" s="53"/>
      <c r="AE652" s="53"/>
      <c r="AF652" s="53"/>
      <c r="AG652" s="53"/>
      <c r="AH652" s="53"/>
    </row>
    <row r="653" spans="1:34" ht="14" x14ac:dyDescent="0.2">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c r="AB653" s="53"/>
      <c r="AC653" s="53"/>
      <c r="AD653" s="53"/>
      <c r="AE653" s="53"/>
      <c r="AF653" s="53"/>
      <c r="AG653" s="53"/>
      <c r="AH653" s="53"/>
    </row>
    <row r="654" spans="1:34" ht="14" x14ac:dyDescent="0.2">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c r="AB654" s="53"/>
      <c r="AC654" s="53"/>
      <c r="AD654" s="53"/>
      <c r="AE654" s="53"/>
      <c r="AF654" s="53"/>
      <c r="AG654" s="53"/>
      <c r="AH654" s="53"/>
    </row>
    <row r="655" spans="1:34" ht="14" x14ac:dyDescent="0.2">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c r="AB655" s="53"/>
      <c r="AC655" s="53"/>
      <c r="AD655" s="53"/>
      <c r="AE655" s="53"/>
      <c r="AF655" s="53"/>
      <c r="AG655" s="53"/>
      <c r="AH655" s="53"/>
    </row>
    <row r="656" spans="1:34" ht="14" x14ac:dyDescent="0.2">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c r="AB656" s="53"/>
      <c r="AC656" s="53"/>
      <c r="AD656" s="53"/>
      <c r="AE656" s="53"/>
      <c r="AF656" s="53"/>
      <c r="AG656" s="53"/>
      <c r="AH656" s="53"/>
    </row>
    <row r="657" spans="1:34" ht="14" x14ac:dyDescent="0.2">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c r="AB657" s="53"/>
      <c r="AC657" s="53"/>
      <c r="AD657" s="53"/>
      <c r="AE657" s="53"/>
      <c r="AF657" s="53"/>
      <c r="AG657" s="53"/>
      <c r="AH657" s="53"/>
    </row>
    <row r="658" spans="1:34" ht="14" x14ac:dyDescent="0.2">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c r="AB658" s="53"/>
      <c r="AC658" s="53"/>
      <c r="AD658" s="53"/>
      <c r="AE658" s="53"/>
      <c r="AF658" s="53"/>
      <c r="AG658" s="53"/>
      <c r="AH658" s="53"/>
    </row>
    <row r="659" spans="1:34" ht="14" x14ac:dyDescent="0.2">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c r="AB659" s="53"/>
      <c r="AC659" s="53"/>
      <c r="AD659" s="53"/>
      <c r="AE659" s="53"/>
      <c r="AF659" s="53"/>
      <c r="AG659" s="53"/>
      <c r="AH659" s="53"/>
    </row>
    <row r="660" spans="1:34" ht="14" x14ac:dyDescent="0.2">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c r="AB660" s="53"/>
      <c r="AC660" s="53"/>
      <c r="AD660" s="53"/>
      <c r="AE660" s="53"/>
      <c r="AF660" s="53"/>
      <c r="AG660" s="53"/>
      <c r="AH660" s="53"/>
    </row>
    <row r="661" spans="1:34" ht="14" x14ac:dyDescent="0.2">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c r="AD661" s="53"/>
      <c r="AE661" s="53"/>
      <c r="AF661" s="53"/>
      <c r="AG661" s="53"/>
      <c r="AH661" s="53"/>
    </row>
    <row r="662" spans="1:34" ht="14" x14ac:dyDescent="0.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c r="AB662" s="53"/>
      <c r="AC662" s="53"/>
      <c r="AD662" s="53"/>
      <c r="AE662" s="53"/>
      <c r="AF662" s="53"/>
      <c r="AG662" s="53"/>
      <c r="AH662" s="53"/>
    </row>
    <row r="663" spans="1:34" ht="14" x14ac:dyDescent="0.2">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c r="AB663" s="53"/>
      <c r="AC663" s="53"/>
      <c r="AD663" s="53"/>
      <c r="AE663" s="53"/>
      <c r="AF663" s="53"/>
      <c r="AG663" s="53"/>
      <c r="AH663" s="53"/>
    </row>
    <row r="664" spans="1:34" ht="14" x14ac:dyDescent="0.2">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c r="AB664" s="53"/>
      <c r="AC664" s="53"/>
      <c r="AD664" s="53"/>
      <c r="AE664" s="53"/>
      <c r="AF664" s="53"/>
      <c r="AG664" s="53"/>
      <c r="AH664" s="53"/>
    </row>
    <row r="665" spans="1:34" ht="14" x14ac:dyDescent="0.2">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c r="AB665" s="53"/>
      <c r="AC665" s="53"/>
      <c r="AD665" s="53"/>
      <c r="AE665" s="53"/>
      <c r="AF665" s="53"/>
      <c r="AG665" s="53"/>
      <c r="AH665" s="53"/>
    </row>
    <row r="666" spans="1:34" ht="14" x14ac:dyDescent="0.2">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c r="AB666" s="53"/>
      <c r="AC666" s="53"/>
      <c r="AD666" s="53"/>
      <c r="AE666" s="53"/>
      <c r="AF666" s="53"/>
      <c r="AG666" s="53"/>
      <c r="AH666" s="53"/>
    </row>
    <row r="667" spans="1:34" ht="14" x14ac:dyDescent="0.2">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c r="AB667" s="53"/>
      <c r="AC667" s="53"/>
      <c r="AD667" s="53"/>
      <c r="AE667" s="53"/>
      <c r="AF667" s="53"/>
      <c r="AG667" s="53"/>
      <c r="AH667" s="53"/>
    </row>
    <row r="668" spans="1:34" ht="14" x14ac:dyDescent="0.2">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c r="AB668" s="53"/>
      <c r="AC668" s="53"/>
      <c r="AD668" s="53"/>
      <c r="AE668" s="53"/>
      <c r="AF668" s="53"/>
      <c r="AG668" s="53"/>
      <c r="AH668" s="53"/>
    </row>
    <row r="669" spans="1:34" ht="14" x14ac:dyDescent="0.2">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c r="AB669" s="53"/>
      <c r="AC669" s="53"/>
      <c r="AD669" s="53"/>
      <c r="AE669" s="53"/>
      <c r="AF669" s="53"/>
      <c r="AG669" s="53"/>
      <c r="AH669" s="53"/>
    </row>
    <row r="670" spans="1:34" ht="14" x14ac:dyDescent="0.2">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c r="AD670" s="53"/>
      <c r="AE670" s="53"/>
      <c r="AF670" s="53"/>
      <c r="AG670" s="53"/>
      <c r="AH670" s="53"/>
    </row>
    <row r="671" spans="1:34" ht="14" x14ac:dyDescent="0.2">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c r="AB671" s="53"/>
      <c r="AC671" s="53"/>
      <c r="AD671" s="53"/>
      <c r="AE671" s="53"/>
      <c r="AF671" s="53"/>
      <c r="AG671" s="53"/>
      <c r="AH671" s="53"/>
    </row>
    <row r="672" spans="1:34" ht="14" x14ac:dyDescent="0.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c r="AB672" s="53"/>
      <c r="AC672" s="53"/>
      <c r="AD672" s="53"/>
      <c r="AE672" s="53"/>
      <c r="AF672" s="53"/>
      <c r="AG672" s="53"/>
      <c r="AH672" s="53"/>
    </row>
    <row r="673" spans="1:34" ht="14" x14ac:dyDescent="0.2">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c r="AB673" s="53"/>
      <c r="AC673" s="53"/>
      <c r="AD673" s="53"/>
      <c r="AE673" s="53"/>
      <c r="AF673" s="53"/>
      <c r="AG673" s="53"/>
      <c r="AH673" s="53"/>
    </row>
    <row r="674" spans="1:34" ht="14" x14ac:dyDescent="0.2">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c r="AD674" s="53"/>
      <c r="AE674" s="53"/>
      <c r="AF674" s="53"/>
      <c r="AG674" s="53"/>
      <c r="AH674" s="53"/>
    </row>
    <row r="675" spans="1:34" ht="14" x14ac:dyDescent="0.2">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c r="AD675" s="53"/>
      <c r="AE675" s="53"/>
      <c r="AF675" s="53"/>
      <c r="AG675" s="53"/>
      <c r="AH675" s="53"/>
    </row>
    <row r="676" spans="1:34" ht="14" x14ac:dyDescent="0.2">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c r="AD676" s="53"/>
      <c r="AE676" s="53"/>
      <c r="AF676" s="53"/>
      <c r="AG676" s="53"/>
      <c r="AH676" s="53"/>
    </row>
    <row r="677" spans="1:34" ht="14" x14ac:dyDescent="0.2">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c r="AD677" s="53"/>
      <c r="AE677" s="53"/>
      <c r="AF677" s="53"/>
      <c r="AG677" s="53"/>
      <c r="AH677" s="53"/>
    </row>
    <row r="678" spans="1:34" ht="14" x14ac:dyDescent="0.2">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c r="AD678" s="53"/>
      <c r="AE678" s="53"/>
      <c r="AF678" s="53"/>
      <c r="AG678" s="53"/>
      <c r="AH678" s="53"/>
    </row>
    <row r="679" spans="1:34" ht="14" x14ac:dyDescent="0.2">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c r="AD679" s="53"/>
      <c r="AE679" s="53"/>
      <c r="AF679" s="53"/>
      <c r="AG679" s="53"/>
      <c r="AH679" s="53"/>
    </row>
    <row r="680" spans="1:34" ht="14" x14ac:dyDescent="0.2">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c r="AD680" s="53"/>
      <c r="AE680" s="53"/>
      <c r="AF680" s="53"/>
      <c r="AG680" s="53"/>
      <c r="AH680" s="53"/>
    </row>
    <row r="681" spans="1:34" ht="14" x14ac:dyDescent="0.2">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c r="AB681" s="53"/>
      <c r="AC681" s="53"/>
      <c r="AD681" s="53"/>
      <c r="AE681" s="53"/>
      <c r="AF681" s="53"/>
      <c r="AG681" s="53"/>
      <c r="AH681" s="53"/>
    </row>
    <row r="682" spans="1:34" ht="14" x14ac:dyDescent="0.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row>
    <row r="683" spans="1:34" ht="14" x14ac:dyDescent="0.2">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c r="AB683" s="53"/>
      <c r="AC683" s="53"/>
      <c r="AD683" s="53"/>
      <c r="AE683" s="53"/>
      <c r="AF683" s="53"/>
      <c r="AG683" s="53"/>
      <c r="AH683" s="53"/>
    </row>
    <row r="684" spans="1:34" ht="14" x14ac:dyDescent="0.2">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c r="AB684" s="53"/>
      <c r="AC684" s="53"/>
      <c r="AD684" s="53"/>
      <c r="AE684" s="53"/>
      <c r="AF684" s="53"/>
      <c r="AG684" s="53"/>
      <c r="AH684" s="53"/>
    </row>
    <row r="685" spans="1:34" ht="14" x14ac:dyDescent="0.2">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c r="AB685" s="53"/>
      <c r="AC685" s="53"/>
      <c r="AD685" s="53"/>
      <c r="AE685" s="53"/>
      <c r="AF685" s="53"/>
      <c r="AG685" s="53"/>
      <c r="AH685" s="53"/>
    </row>
    <row r="686" spans="1:34" ht="14" x14ac:dyDescent="0.2">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c r="AB686" s="53"/>
      <c r="AC686" s="53"/>
      <c r="AD686" s="53"/>
      <c r="AE686" s="53"/>
      <c r="AF686" s="53"/>
      <c r="AG686" s="53"/>
      <c r="AH686" s="53"/>
    </row>
    <row r="687" spans="1:34" ht="14" x14ac:dyDescent="0.2">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c r="AB687" s="53"/>
      <c r="AC687" s="53"/>
      <c r="AD687" s="53"/>
      <c r="AE687" s="53"/>
      <c r="AF687" s="53"/>
      <c r="AG687" s="53"/>
      <c r="AH687" s="53"/>
    </row>
    <row r="688" spans="1:34" ht="14" x14ac:dyDescent="0.2">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c r="AB688" s="53"/>
      <c r="AC688" s="53"/>
      <c r="AD688" s="53"/>
      <c r="AE688" s="53"/>
      <c r="AF688" s="53"/>
      <c r="AG688" s="53"/>
      <c r="AH688" s="53"/>
    </row>
    <row r="689" spans="1:34" ht="14" x14ac:dyDescent="0.2">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c r="AB689" s="53"/>
      <c r="AC689" s="53"/>
      <c r="AD689" s="53"/>
      <c r="AE689" s="53"/>
      <c r="AF689" s="53"/>
      <c r="AG689" s="53"/>
      <c r="AH689" s="53"/>
    </row>
    <row r="690" spans="1:34" ht="14" x14ac:dyDescent="0.2">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c r="AB690" s="53"/>
      <c r="AC690" s="53"/>
      <c r="AD690" s="53"/>
      <c r="AE690" s="53"/>
      <c r="AF690" s="53"/>
      <c r="AG690" s="53"/>
      <c r="AH690" s="53"/>
    </row>
    <row r="691" spans="1:34" ht="14" x14ac:dyDescent="0.2">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c r="AB691" s="53"/>
      <c r="AC691" s="53"/>
      <c r="AD691" s="53"/>
      <c r="AE691" s="53"/>
      <c r="AF691" s="53"/>
      <c r="AG691" s="53"/>
      <c r="AH691" s="53"/>
    </row>
    <row r="692" spans="1:34" ht="14" x14ac:dyDescent="0.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c r="AB692" s="53"/>
      <c r="AC692" s="53"/>
      <c r="AD692" s="53"/>
      <c r="AE692" s="53"/>
      <c r="AF692" s="53"/>
      <c r="AG692" s="53"/>
      <c r="AH692" s="53"/>
    </row>
    <row r="693" spans="1:34" ht="14" x14ac:dyDescent="0.2">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c r="AB693" s="53"/>
      <c r="AC693" s="53"/>
      <c r="AD693" s="53"/>
      <c r="AE693" s="53"/>
      <c r="AF693" s="53"/>
      <c r="AG693" s="53"/>
      <c r="AH693" s="53"/>
    </row>
    <row r="694" spans="1:34" ht="14" x14ac:dyDescent="0.2">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c r="AB694" s="53"/>
      <c r="AC694" s="53"/>
      <c r="AD694" s="53"/>
      <c r="AE694" s="53"/>
      <c r="AF694" s="53"/>
      <c r="AG694" s="53"/>
      <c r="AH694" s="53"/>
    </row>
    <row r="695" spans="1:34" ht="14" x14ac:dyDescent="0.2">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c r="AB695" s="53"/>
      <c r="AC695" s="53"/>
      <c r="AD695" s="53"/>
      <c r="AE695" s="53"/>
      <c r="AF695" s="53"/>
      <c r="AG695" s="53"/>
      <c r="AH695" s="53"/>
    </row>
    <row r="696" spans="1:34" ht="14" x14ac:dyDescent="0.2">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c r="AB696" s="53"/>
      <c r="AC696" s="53"/>
      <c r="AD696" s="53"/>
      <c r="AE696" s="53"/>
      <c r="AF696" s="53"/>
      <c r="AG696" s="53"/>
      <c r="AH696" s="53"/>
    </row>
    <row r="697" spans="1:34" ht="14" x14ac:dyDescent="0.2">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c r="AB697" s="53"/>
      <c r="AC697" s="53"/>
      <c r="AD697" s="53"/>
      <c r="AE697" s="53"/>
      <c r="AF697" s="53"/>
      <c r="AG697" s="53"/>
      <c r="AH697" s="53"/>
    </row>
    <row r="698" spans="1:34" ht="14" x14ac:dyDescent="0.2">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c r="AB698" s="53"/>
      <c r="AC698" s="53"/>
      <c r="AD698" s="53"/>
      <c r="AE698" s="53"/>
      <c r="AF698" s="53"/>
      <c r="AG698" s="53"/>
      <c r="AH698" s="53"/>
    </row>
    <row r="699" spans="1:34" ht="14" x14ac:dyDescent="0.2">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c r="AB699" s="53"/>
      <c r="AC699" s="53"/>
      <c r="AD699" s="53"/>
      <c r="AE699" s="53"/>
      <c r="AF699" s="53"/>
      <c r="AG699" s="53"/>
      <c r="AH699" s="53"/>
    </row>
    <row r="700" spans="1:34" ht="14" x14ac:dyDescent="0.2">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c r="AB700" s="53"/>
      <c r="AC700" s="53"/>
      <c r="AD700" s="53"/>
      <c r="AE700" s="53"/>
      <c r="AF700" s="53"/>
      <c r="AG700" s="53"/>
      <c r="AH700" s="53"/>
    </row>
    <row r="701" spans="1:34" ht="14" x14ac:dyDescent="0.2">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c r="AB701" s="53"/>
      <c r="AC701" s="53"/>
      <c r="AD701" s="53"/>
      <c r="AE701" s="53"/>
      <c r="AF701" s="53"/>
      <c r="AG701" s="53"/>
      <c r="AH701" s="53"/>
    </row>
    <row r="702" spans="1:34" ht="14" x14ac:dyDescent="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c r="AB702" s="53"/>
      <c r="AC702" s="53"/>
      <c r="AD702" s="53"/>
      <c r="AE702" s="53"/>
      <c r="AF702" s="53"/>
      <c r="AG702" s="53"/>
      <c r="AH702" s="53"/>
    </row>
    <row r="703" spans="1:34" ht="14" x14ac:dyDescent="0.2">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c r="AB703" s="53"/>
      <c r="AC703" s="53"/>
      <c r="AD703" s="53"/>
      <c r="AE703" s="53"/>
      <c r="AF703" s="53"/>
      <c r="AG703" s="53"/>
      <c r="AH703" s="53"/>
    </row>
    <row r="704" spans="1:34" ht="14" x14ac:dyDescent="0.2">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c r="AB704" s="53"/>
      <c r="AC704" s="53"/>
      <c r="AD704" s="53"/>
      <c r="AE704" s="53"/>
      <c r="AF704" s="53"/>
      <c r="AG704" s="53"/>
      <c r="AH704" s="53"/>
    </row>
    <row r="705" spans="1:34" ht="14" x14ac:dyDescent="0.2">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c r="AB705" s="53"/>
      <c r="AC705" s="53"/>
      <c r="AD705" s="53"/>
      <c r="AE705" s="53"/>
      <c r="AF705" s="53"/>
      <c r="AG705" s="53"/>
      <c r="AH705" s="53"/>
    </row>
    <row r="706" spans="1:34" ht="14" x14ac:dyDescent="0.2">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row>
    <row r="707" spans="1:34" ht="14" x14ac:dyDescent="0.2">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c r="AD707" s="53"/>
      <c r="AE707" s="53"/>
      <c r="AF707" s="53"/>
      <c r="AG707" s="53"/>
      <c r="AH707" s="53"/>
    </row>
    <row r="708" spans="1:34" ht="14" x14ac:dyDescent="0.2">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c r="AD708" s="53"/>
      <c r="AE708" s="53"/>
      <c r="AF708" s="53"/>
      <c r="AG708" s="53"/>
      <c r="AH708" s="53"/>
    </row>
    <row r="709" spans="1:34" ht="14" x14ac:dyDescent="0.2">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row>
    <row r="710" spans="1:34" ht="14" x14ac:dyDescent="0.2">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c r="AD710" s="53"/>
      <c r="AE710" s="53"/>
      <c r="AF710" s="53"/>
      <c r="AG710" s="53"/>
      <c r="AH710" s="53"/>
    </row>
    <row r="711" spans="1:34" ht="14" x14ac:dyDescent="0.2">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c r="AD711" s="53"/>
      <c r="AE711" s="53"/>
      <c r="AF711" s="53"/>
      <c r="AG711" s="53"/>
      <c r="AH711" s="53"/>
    </row>
    <row r="712" spans="1:34" ht="14" x14ac:dyDescent="0.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row>
    <row r="713" spans="1:34" ht="14" x14ac:dyDescent="0.2">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c r="AD713" s="53"/>
      <c r="AE713" s="53"/>
      <c r="AF713" s="53"/>
      <c r="AG713" s="53"/>
      <c r="AH713" s="53"/>
    </row>
    <row r="714" spans="1:34" ht="14" x14ac:dyDescent="0.2">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c r="AD714" s="53"/>
      <c r="AE714" s="53"/>
      <c r="AF714" s="53"/>
      <c r="AG714" s="53"/>
      <c r="AH714" s="53"/>
    </row>
    <row r="715" spans="1:34" ht="14" x14ac:dyDescent="0.2">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row>
    <row r="716" spans="1:34" ht="14" x14ac:dyDescent="0.2">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c r="AD716" s="53"/>
      <c r="AE716" s="53"/>
      <c r="AF716" s="53"/>
      <c r="AG716" s="53"/>
      <c r="AH716" s="53"/>
    </row>
    <row r="717" spans="1:34" ht="14" x14ac:dyDescent="0.2">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c r="AD717" s="53"/>
      <c r="AE717" s="53"/>
      <c r="AF717" s="53"/>
      <c r="AG717" s="53"/>
      <c r="AH717" s="53"/>
    </row>
    <row r="718" spans="1:34" ht="14" x14ac:dyDescent="0.2">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row>
    <row r="719" spans="1:34" ht="14" x14ac:dyDescent="0.2">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c r="AD719" s="53"/>
      <c r="AE719" s="53"/>
      <c r="AF719" s="53"/>
      <c r="AG719" s="53"/>
      <c r="AH719" s="53"/>
    </row>
    <row r="720" spans="1:34" ht="14" x14ac:dyDescent="0.2">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c r="AD720" s="53"/>
      <c r="AE720" s="53"/>
      <c r="AF720" s="53"/>
      <c r="AG720" s="53"/>
      <c r="AH720" s="53"/>
    </row>
    <row r="721" spans="1:34" ht="14" x14ac:dyDescent="0.2">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row>
    <row r="722" spans="1:34" ht="14" x14ac:dyDescent="0.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c r="AD722" s="53"/>
      <c r="AE722" s="53"/>
      <c r="AF722" s="53"/>
      <c r="AG722" s="53"/>
      <c r="AH722" s="53"/>
    </row>
    <row r="723" spans="1:34" ht="14" x14ac:dyDescent="0.2">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c r="AD723" s="53"/>
      <c r="AE723" s="53"/>
      <c r="AF723" s="53"/>
      <c r="AG723" s="53"/>
      <c r="AH723" s="53"/>
    </row>
    <row r="724" spans="1:34" ht="14" x14ac:dyDescent="0.2">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row>
    <row r="725" spans="1:34" ht="14" x14ac:dyDescent="0.2">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c r="AD725" s="53"/>
      <c r="AE725" s="53"/>
      <c r="AF725" s="53"/>
      <c r="AG725" s="53"/>
      <c r="AH725" s="53"/>
    </row>
    <row r="726" spans="1:34" ht="14" x14ac:dyDescent="0.2">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row>
    <row r="727" spans="1:34" ht="14" x14ac:dyDescent="0.2">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row>
    <row r="728" spans="1:34" ht="14" x14ac:dyDescent="0.2">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c r="AD728" s="53"/>
      <c r="AE728" s="53"/>
      <c r="AF728" s="53"/>
      <c r="AG728" s="53"/>
      <c r="AH728" s="53"/>
    </row>
    <row r="729" spans="1:34" ht="14" x14ac:dyDescent="0.2">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c r="AD729" s="53"/>
      <c r="AE729" s="53"/>
      <c r="AF729" s="53"/>
      <c r="AG729" s="53"/>
      <c r="AH729" s="53"/>
    </row>
    <row r="730" spans="1:34" ht="14" x14ac:dyDescent="0.2">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row>
    <row r="731" spans="1:34" ht="14" x14ac:dyDescent="0.2">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c r="AD731" s="53"/>
      <c r="AE731" s="53"/>
      <c r="AF731" s="53"/>
      <c r="AG731" s="53"/>
      <c r="AH731" s="53"/>
    </row>
    <row r="732" spans="1:34" ht="14" x14ac:dyDescent="0.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53"/>
      <c r="AH732" s="53"/>
    </row>
    <row r="733" spans="1:34" ht="14" x14ac:dyDescent="0.2">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row>
    <row r="734" spans="1:34" ht="14" x14ac:dyDescent="0.2">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53"/>
      <c r="AH734" s="53"/>
    </row>
    <row r="735" spans="1:34" ht="14" x14ac:dyDescent="0.2">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53"/>
      <c r="AH735" s="53"/>
    </row>
    <row r="736" spans="1:34" ht="14" x14ac:dyDescent="0.2">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row>
    <row r="737" spans="1:34" ht="14" x14ac:dyDescent="0.2">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c r="AD737" s="53"/>
      <c r="AE737" s="53"/>
      <c r="AF737" s="53"/>
      <c r="AG737" s="53"/>
      <c r="AH737" s="53"/>
    </row>
    <row r="738" spans="1:34" ht="14" x14ac:dyDescent="0.2">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c r="AD738" s="53"/>
      <c r="AE738" s="53"/>
      <c r="AF738" s="53"/>
      <c r="AG738" s="53"/>
      <c r="AH738" s="53"/>
    </row>
    <row r="739" spans="1:34" ht="14" x14ac:dyDescent="0.2">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row>
    <row r="740" spans="1:34" ht="14" x14ac:dyDescent="0.2">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c r="AD740" s="53"/>
      <c r="AE740" s="53"/>
      <c r="AF740" s="53"/>
      <c r="AG740" s="53"/>
      <c r="AH740" s="53"/>
    </row>
    <row r="741" spans="1:34" ht="14" x14ac:dyDescent="0.2">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c r="AD741" s="53"/>
      <c r="AE741" s="53"/>
      <c r="AF741" s="53"/>
      <c r="AG741" s="53"/>
      <c r="AH741" s="53"/>
    </row>
    <row r="742" spans="1:34" ht="14" x14ac:dyDescent="0.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c r="AD742" s="53"/>
      <c r="AE742" s="53"/>
      <c r="AF742" s="53"/>
      <c r="AG742" s="53"/>
      <c r="AH742" s="53"/>
    </row>
    <row r="743" spans="1:34" ht="14" x14ac:dyDescent="0.2">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c r="AD743" s="53"/>
      <c r="AE743" s="53"/>
      <c r="AF743" s="53"/>
      <c r="AG743" s="53"/>
      <c r="AH743" s="53"/>
    </row>
    <row r="744" spans="1:34" ht="14" x14ac:dyDescent="0.2">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c r="AD744" s="53"/>
      <c r="AE744" s="53"/>
      <c r="AF744" s="53"/>
      <c r="AG744" s="53"/>
      <c r="AH744" s="53"/>
    </row>
    <row r="745" spans="1:34" ht="14" x14ac:dyDescent="0.2">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c r="AD745" s="53"/>
      <c r="AE745" s="53"/>
      <c r="AF745" s="53"/>
      <c r="AG745" s="53"/>
      <c r="AH745" s="53"/>
    </row>
    <row r="746" spans="1:34" ht="14" x14ac:dyDescent="0.2">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c r="AD746" s="53"/>
      <c r="AE746" s="53"/>
      <c r="AF746" s="53"/>
      <c r="AG746" s="53"/>
      <c r="AH746" s="53"/>
    </row>
    <row r="747" spans="1:34" ht="14" x14ac:dyDescent="0.2">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c r="AD747" s="53"/>
      <c r="AE747" s="53"/>
      <c r="AF747" s="53"/>
      <c r="AG747" s="53"/>
      <c r="AH747" s="53"/>
    </row>
    <row r="748" spans="1:34" ht="14" x14ac:dyDescent="0.2">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c r="AD748" s="53"/>
      <c r="AE748" s="53"/>
      <c r="AF748" s="53"/>
      <c r="AG748" s="53"/>
      <c r="AH748" s="53"/>
    </row>
    <row r="749" spans="1:34" ht="14" x14ac:dyDescent="0.2">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c r="AD749" s="53"/>
      <c r="AE749" s="53"/>
      <c r="AF749" s="53"/>
      <c r="AG749" s="53"/>
      <c r="AH749" s="53"/>
    </row>
    <row r="750" spans="1:34" ht="14" x14ac:dyDescent="0.2">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c r="AD750" s="53"/>
      <c r="AE750" s="53"/>
      <c r="AF750" s="53"/>
      <c r="AG750" s="53"/>
      <c r="AH750" s="53"/>
    </row>
    <row r="751" spans="1:34" ht="14" x14ac:dyDescent="0.2">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c r="AD751" s="53"/>
      <c r="AE751" s="53"/>
      <c r="AF751" s="53"/>
      <c r="AG751" s="53"/>
      <c r="AH751" s="53"/>
    </row>
    <row r="752" spans="1:34" ht="14" x14ac:dyDescent="0.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c r="AD752" s="53"/>
      <c r="AE752" s="53"/>
      <c r="AF752" s="53"/>
      <c r="AG752" s="53"/>
      <c r="AH752" s="53"/>
    </row>
    <row r="753" spans="1:34" ht="14" x14ac:dyDescent="0.2">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c r="AD753" s="53"/>
      <c r="AE753" s="53"/>
      <c r="AF753" s="53"/>
      <c r="AG753" s="53"/>
      <c r="AH753" s="53"/>
    </row>
    <row r="754" spans="1:34" ht="14" x14ac:dyDescent="0.2">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c r="AD754" s="53"/>
      <c r="AE754" s="53"/>
      <c r="AF754" s="53"/>
      <c r="AG754" s="53"/>
      <c r="AH754" s="53"/>
    </row>
    <row r="755" spans="1:34" ht="14" x14ac:dyDescent="0.2">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c r="AD755" s="53"/>
      <c r="AE755" s="53"/>
      <c r="AF755" s="53"/>
      <c r="AG755" s="53"/>
      <c r="AH755" s="53"/>
    </row>
    <row r="756" spans="1:34" ht="14" x14ac:dyDescent="0.2">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c r="AD756" s="53"/>
      <c r="AE756" s="53"/>
      <c r="AF756" s="53"/>
      <c r="AG756" s="53"/>
      <c r="AH756" s="53"/>
    </row>
    <row r="757" spans="1:34" ht="14" x14ac:dyDescent="0.2">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c r="AD757" s="53"/>
      <c r="AE757" s="53"/>
      <c r="AF757" s="53"/>
      <c r="AG757" s="53"/>
      <c r="AH757" s="53"/>
    </row>
    <row r="758" spans="1:34" ht="14" x14ac:dyDescent="0.2">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c r="AD758" s="53"/>
      <c r="AE758" s="53"/>
      <c r="AF758" s="53"/>
      <c r="AG758" s="53"/>
      <c r="AH758" s="53"/>
    </row>
    <row r="759" spans="1:34" ht="14" x14ac:dyDescent="0.2">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c r="AD759" s="53"/>
      <c r="AE759" s="53"/>
      <c r="AF759" s="53"/>
      <c r="AG759" s="53"/>
      <c r="AH759" s="53"/>
    </row>
    <row r="760" spans="1:34" ht="14" x14ac:dyDescent="0.2">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c r="AD760" s="53"/>
      <c r="AE760" s="53"/>
      <c r="AF760" s="53"/>
      <c r="AG760" s="53"/>
      <c r="AH760" s="53"/>
    </row>
    <row r="761" spans="1:34" ht="14" x14ac:dyDescent="0.2">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c r="AD761" s="53"/>
      <c r="AE761" s="53"/>
      <c r="AF761" s="53"/>
      <c r="AG761" s="53"/>
      <c r="AH761" s="53"/>
    </row>
    <row r="762" spans="1:34" ht="14" x14ac:dyDescent="0.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c r="AD762" s="53"/>
      <c r="AE762" s="53"/>
      <c r="AF762" s="53"/>
      <c r="AG762" s="53"/>
      <c r="AH762" s="53"/>
    </row>
    <row r="763" spans="1:34" ht="14" x14ac:dyDescent="0.2">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c r="AD763" s="53"/>
      <c r="AE763" s="53"/>
      <c r="AF763" s="53"/>
      <c r="AG763" s="53"/>
      <c r="AH763" s="53"/>
    </row>
    <row r="764" spans="1:34" ht="14" x14ac:dyDescent="0.2">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c r="AD764" s="53"/>
      <c r="AE764" s="53"/>
      <c r="AF764" s="53"/>
      <c r="AG764" s="53"/>
      <c r="AH764" s="53"/>
    </row>
    <row r="765" spans="1:34" ht="14" x14ac:dyDescent="0.2">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c r="AD765" s="53"/>
      <c r="AE765" s="53"/>
      <c r="AF765" s="53"/>
      <c r="AG765" s="53"/>
      <c r="AH765" s="53"/>
    </row>
    <row r="766" spans="1:34" ht="14" x14ac:dyDescent="0.2">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c r="AD766" s="53"/>
      <c r="AE766" s="53"/>
      <c r="AF766" s="53"/>
      <c r="AG766" s="53"/>
      <c r="AH766" s="53"/>
    </row>
    <row r="767" spans="1:34" ht="14" x14ac:dyDescent="0.2">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c r="AD767" s="53"/>
      <c r="AE767" s="53"/>
      <c r="AF767" s="53"/>
      <c r="AG767" s="53"/>
      <c r="AH767" s="53"/>
    </row>
    <row r="768" spans="1:34" ht="14" x14ac:dyDescent="0.2">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c r="AD768" s="53"/>
      <c r="AE768" s="53"/>
      <c r="AF768" s="53"/>
      <c r="AG768" s="53"/>
      <c r="AH768" s="53"/>
    </row>
    <row r="769" spans="1:34" ht="14" x14ac:dyDescent="0.2">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c r="AD769" s="53"/>
      <c r="AE769" s="53"/>
      <c r="AF769" s="53"/>
      <c r="AG769" s="53"/>
      <c r="AH769" s="53"/>
    </row>
    <row r="770" spans="1:34" ht="14" x14ac:dyDescent="0.2">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c r="AD770" s="53"/>
      <c r="AE770" s="53"/>
      <c r="AF770" s="53"/>
      <c r="AG770" s="53"/>
      <c r="AH770" s="53"/>
    </row>
    <row r="771" spans="1:34" ht="14" x14ac:dyDescent="0.2">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c r="AD771" s="53"/>
      <c r="AE771" s="53"/>
      <c r="AF771" s="53"/>
      <c r="AG771" s="53"/>
      <c r="AH771" s="53"/>
    </row>
    <row r="772" spans="1:34" ht="14" x14ac:dyDescent="0.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c r="AD772" s="53"/>
      <c r="AE772" s="53"/>
      <c r="AF772" s="53"/>
      <c r="AG772" s="53"/>
      <c r="AH772" s="53"/>
    </row>
    <row r="773" spans="1:34" ht="14" x14ac:dyDescent="0.2">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c r="AD773" s="53"/>
      <c r="AE773" s="53"/>
      <c r="AF773" s="53"/>
      <c r="AG773" s="53"/>
      <c r="AH773" s="53"/>
    </row>
    <row r="774" spans="1:34" ht="14" x14ac:dyDescent="0.2">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c r="AD774" s="53"/>
      <c r="AE774" s="53"/>
      <c r="AF774" s="53"/>
      <c r="AG774" s="53"/>
      <c r="AH774" s="53"/>
    </row>
    <row r="775" spans="1:34" ht="14" x14ac:dyDescent="0.2">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c r="AD775" s="53"/>
      <c r="AE775" s="53"/>
      <c r="AF775" s="53"/>
      <c r="AG775" s="53"/>
      <c r="AH775" s="53"/>
    </row>
    <row r="776" spans="1:34" ht="14" x14ac:dyDescent="0.2">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c r="AD776" s="53"/>
      <c r="AE776" s="53"/>
      <c r="AF776" s="53"/>
      <c r="AG776" s="53"/>
      <c r="AH776" s="53"/>
    </row>
    <row r="777" spans="1:34" ht="14" x14ac:dyDescent="0.2">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c r="AD777" s="53"/>
      <c r="AE777" s="53"/>
      <c r="AF777" s="53"/>
      <c r="AG777" s="53"/>
      <c r="AH777" s="53"/>
    </row>
    <row r="778" spans="1:34" ht="14" x14ac:dyDescent="0.2">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row>
    <row r="779" spans="1:34" ht="14" x14ac:dyDescent="0.2">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row>
    <row r="780" spans="1:34" ht="14" x14ac:dyDescent="0.2">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c r="AD780" s="53"/>
      <c r="AE780" s="53"/>
      <c r="AF780" s="53"/>
      <c r="AG780" s="53"/>
      <c r="AH780" s="53"/>
    </row>
    <row r="781" spans="1:34" ht="14" x14ac:dyDescent="0.2">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c r="AD781" s="53"/>
      <c r="AE781" s="53"/>
      <c r="AF781" s="53"/>
      <c r="AG781" s="53"/>
      <c r="AH781" s="53"/>
    </row>
    <row r="782" spans="1:34" ht="14" x14ac:dyDescent="0.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c r="AD782" s="53"/>
      <c r="AE782" s="53"/>
      <c r="AF782" s="53"/>
      <c r="AG782" s="53"/>
      <c r="AH782" s="53"/>
    </row>
    <row r="783" spans="1:34" ht="14" x14ac:dyDescent="0.2">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row>
    <row r="784" spans="1:34" ht="14" x14ac:dyDescent="0.2">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row>
    <row r="785" spans="1:34" ht="14" x14ac:dyDescent="0.2">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row>
    <row r="786" spans="1:34" ht="14" x14ac:dyDescent="0.2">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row>
    <row r="787" spans="1:34" ht="14" x14ac:dyDescent="0.2">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c r="AD787" s="53"/>
      <c r="AE787" s="53"/>
      <c r="AF787" s="53"/>
      <c r="AG787" s="53"/>
      <c r="AH787" s="53"/>
    </row>
    <row r="788" spans="1:34" ht="14" x14ac:dyDescent="0.2">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c r="AD788" s="53"/>
      <c r="AE788" s="53"/>
      <c r="AF788" s="53"/>
      <c r="AG788" s="53"/>
      <c r="AH788" s="53"/>
    </row>
    <row r="789" spans="1:34" ht="14" x14ac:dyDescent="0.2">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c r="AD789" s="53"/>
      <c r="AE789" s="53"/>
      <c r="AF789" s="53"/>
      <c r="AG789" s="53"/>
      <c r="AH789" s="53"/>
    </row>
    <row r="790" spans="1:34" ht="14" x14ac:dyDescent="0.2">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row>
    <row r="791" spans="1:34" ht="14" x14ac:dyDescent="0.2">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row>
    <row r="792" spans="1:34" ht="14" x14ac:dyDescent="0.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row>
    <row r="793" spans="1:34" ht="14" x14ac:dyDescent="0.2">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row>
    <row r="794" spans="1:34" ht="14" x14ac:dyDescent="0.2">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c r="AD794" s="53"/>
      <c r="AE794" s="53"/>
      <c r="AF794" s="53"/>
      <c r="AG794" s="53"/>
      <c r="AH794" s="53"/>
    </row>
    <row r="795" spans="1:34" ht="14" x14ac:dyDescent="0.2">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c r="AD795" s="53"/>
      <c r="AE795" s="53"/>
      <c r="AF795" s="53"/>
      <c r="AG795" s="53"/>
      <c r="AH795" s="53"/>
    </row>
    <row r="796" spans="1:34" ht="14" x14ac:dyDescent="0.2">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c r="AD796" s="53"/>
      <c r="AE796" s="53"/>
      <c r="AF796" s="53"/>
      <c r="AG796" s="53"/>
      <c r="AH796" s="53"/>
    </row>
    <row r="797" spans="1:34" ht="14" x14ac:dyDescent="0.2">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c r="AD797" s="53"/>
      <c r="AE797" s="53"/>
      <c r="AF797" s="53"/>
      <c r="AG797" s="53"/>
      <c r="AH797" s="53"/>
    </row>
    <row r="798" spans="1:34" ht="14" x14ac:dyDescent="0.2">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row>
    <row r="799" spans="1:34" ht="14" x14ac:dyDescent="0.2">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row>
    <row r="800" spans="1:34" ht="14" x14ac:dyDescent="0.2">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row>
    <row r="801" spans="1:34" ht="14" x14ac:dyDescent="0.2">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row>
    <row r="802" spans="1:34" ht="14" x14ac:dyDescent="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c r="AD802" s="53"/>
      <c r="AE802" s="53"/>
      <c r="AF802" s="53"/>
      <c r="AG802" s="53"/>
      <c r="AH802" s="53"/>
    </row>
    <row r="803" spans="1:34" ht="14" x14ac:dyDescent="0.2">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c r="AD803" s="53"/>
      <c r="AE803" s="53"/>
      <c r="AF803" s="53"/>
      <c r="AG803" s="53"/>
      <c r="AH803" s="53"/>
    </row>
    <row r="804" spans="1:34" ht="14" x14ac:dyDescent="0.2">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c r="AD804" s="53"/>
      <c r="AE804" s="53"/>
      <c r="AF804" s="53"/>
      <c r="AG804" s="53"/>
      <c r="AH804" s="53"/>
    </row>
    <row r="805" spans="1:34" ht="14" x14ac:dyDescent="0.2">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c r="AD805" s="53"/>
      <c r="AE805" s="53"/>
      <c r="AF805" s="53"/>
      <c r="AG805" s="53"/>
      <c r="AH805" s="53"/>
    </row>
    <row r="806" spans="1:34" ht="14" x14ac:dyDescent="0.2">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c r="AD806" s="53"/>
      <c r="AE806" s="53"/>
      <c r="AF806" s="53"/>
      <c r="AG806" s="53"/>
      <c r="AH806" s="53"/>
    </row>
    <row r="807" spans="1:34" ht="14" x14ac:dyDescent="0.2">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c r="AD807" s="53"/>
      <c r="AE807" s="53"/>
      <c r="AF807" s="53"/>
      <c r="AG807" s="53"/>
      <c r="AH807" s="53"/>
    </row>
    <row r="808" spans="1:34" ht="14" x14ac:dyDescent="0.2">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c r="AD808" s="53"/>
      <c r="AE808" s="53"/>
      <c r="AF808" s="53"/>
      <c r="AG808" s="53"/>
      <c r="AH808" s="53"/>
    </row>
    <row r="809" spans="1:34" ht="14" x14ac:dyDescent="0.2">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row>
    <row r="810" spans="1:34" ht="14" x14ac:dyDescent="0.2">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row>
    <row r="811" spans="1:34" ht="14" x14ac:dyDescent="0.2">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row>
    <row r="812" spans="1:34" ht="14" x14ac:dyDescent="0.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row>
    <row r="813" spans="1:34" ht="14" x14ac:dyDescent="0.2">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row>
    <row r="814" spans="1:34" ht="14" x14ac:dyDescent="0.2">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row>
    <row r="815" spans="1:34" ht="14" x14ac:dyDescent="0.2">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row>
    <row r="816" spans="1:34" ht="14" x14ac:dyDescent="0.2">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row>
    <row r="817" spans="1:34" ht="14" x14ac:dyDescent="0.2">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row>
    <row r="818" spans="1:34" ht="14" x14ac:dyDescent="0.2">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row>
    <row r="819" spans="1:34" ht="14" x14ac:dyDescent="0.2">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row>
    <row r="820" spans="1:34" ht="14" x14ac:dyDescent="0.2">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c r="AD820" s="53"/>
      <c r="AE820" s="53"/>
      <c r="AF820" s="53"/>
      <c r="AG820" s="53"/>
      <c r="AH820" s="53"/>
    </row>
    <row r="821" spans="1:34" ht="14" x14ac:dyDescent="0.2">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c r="AD821" s="53"/>
      <c r="AE821" s="53"/>
      <c r="AF821" s="53"/>
      <c r="AG821" s="53"/>
      <c r="AH821" s="53"/>
    </row>
    <row r="822" spans="1:34" ht="14" x14ac:dyDescent="0.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row>
    <row r="823" spans="1:34" ht="14" x14ac:dyDescent="0.2">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row>
    <row r="824" spans="1:34" ht="14" x14ac:dyDescent="0.2">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row>
    <row r="825" spans="1:34" ht="14" x14ac:dyDescent="0.2">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row>
    <row r="826" spans="1:34" ht="14" x14ac:dyDescent="0.2">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c r="AB826" s="53"/>
      <c r="AC826" s="53"/>
      <c r="AD826" s="53"/>
      <c r="AE826" s="53"/>
      <c r="AF826" s="53"/>
      <c r="AG826" s="53"/>
      <c r="AH826" s="53"/>
    </row>
    <row r="827" spans="1:34" ht="14" x14ac:dyDescent="0.2">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c r="AB827" s="53"/>
      <c r="AC827" s="53"/>
      <c r="AD827" s="53"/>
      <c r="AE827" s="53"/>
      <c r="AF827" s="53"/>
      <c r="AG827" s="53"/>
      <c r="AH827" s="53"/>
    </row>
    <row r="828" spans="1:34" ht="14" x14ac:dyDescent="0.2">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row>
    <row r="829" spans="1:34" ht="14" x14ac:dyDescent="0.2">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row>
    <row r="830" spans="1:34" ht="14" x14ac:dyDescent="0.2">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c r="AB830" s="53"/>
      <c r="AC830" s="53"/>
      <c r="AD830" s="53"/>
      <c r="AE830" s="53"/>
      <c r="AF830" s="53"/>
      <c r="AG830" s="53"/>
      <c r="AH830" s="53"/>
    </row>
    <row r="831" spans="1:34" ht="14" x14ac:dyDescent="0.2">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c r="AB831" s="53"/>
      <c r="AC831" s="53"/>
      <c r="AD831" s="53"/>
      <c r="AE831" s="53"/>
      <c r="AF831" s="53"/>
      <c r="AG831" s="53"/>
      <c r="AH831" s="53"/>
    </row>
    <row r="832" spans="1:34" ht="14" x14ac:dyDescent="0.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row>
    <row r="833" spans="1:34" ht="14" x14ac:dyDescent="0.2">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row>
    <row r="834" spans="1:34" ht="14" x14ac:dyDescent="0.2">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row>
    <row r="835" spans="1:34" ht="14" x14ac:dyDescent="0.2">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row>
    <row r="836" spans="1:34" ht="14" x14ac:dyDescent="0.2">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row>
    <row r="837" spans="1:34" ht="14" x14ac:dyDescent="0.2">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row>
    <row r="838" spans="1:34" ht="14" x14ac:dyDescent="0.2">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c r="AB838" s="53"/>
      <c r="AC838" s="53"/>
      <c r="AD838" s="53"/>
      <c r="AE838" s="53"/>
      <c r="AF838" s="53"/>
      <c r="AG838" s="53"/>
      <c r="AH838" s="53"/>
    </row>
    <row r="839" spans="1:34" ht="14" x14ac:dyDescent="0.2">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c r="AB839" s="53"/>
      <c r="AC839" s="53"/>
      <c r="AD839" s="53"/>
      <c r="AE839" s="53"/>
      <c r="AF839" s="53"/>
      <c r="AG839" s="53"/>
      <c r="AH839" s="53"/>
    </row>
    <row r="840" spans="1:34" ht="14" x14ac:dyDescent="0.2">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row>
    <row r="841" spans="1:34" ht="14" x14ac:dyDescent="0.2">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row>
    <row r="842" spans="1:34" ht="14" x14ac:dyDescent="0.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row>
    <row r="843" spans="1:34" ht="14" x14ac:dyDescent="0.2">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row>
    <row r="844" spans="1:34" ht="14" x14ac:dyDescent="0.2">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row>
    <row r="845" spans="1:34" ht="14" x14ac:dyDescent="0.2">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row>
    <row r="846" spans="1:34" ht="14" x14ac:dyDescent="0.2">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c r="AB846" s="53"/>
      <c r="AC846" s="53"/>
      <c r="AD846" s="53"/>
      <c r="AE846" s="53"/>
      <c r="AF846" s="53"/>
      <c r="AG846" s="53"/>
      <c r="AH846" s="53"/>
    </row>
    <row r="847" spans="1:34" ht="14" x14ac:dyDescent="0.2">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c r="AB847" s="53"/>
      <c r="AC847" s="53"/>
      <c r="AD847" s="53"/>
      <c r="AE847" s="53"/>
      <c r="AF847" s="53"/>
      <c r="AG847" s="53"/>
      <c r="AH847" s="53"/>
    </row>
    <row r="848" spans="1:34" ht="14" x14ac:dyDescent="0.2">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row>
    <row r="849" spans="1:34" ht="14" x14ac:dyDescent="0.2">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row>
    <row r="850" spans="1:34" ht="14" x14ac:dyDescent="0.2">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row>
    <row r="851" spans="1:34" ht="14" x14ac:dyDescent="0.2">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row>
    <row r="852" spans="1:34" ht="14" x14ac:dyDescent="0.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c r="AB852" s="53"/>
      <c r="AC852" s="53"/>
      <c r="AD852" s="53"/>
      <c r="AE852" s="53"/>
      <c r="AF852" s="53"/>
      <c r="AG852" s="53"/>
      <c r="AH852" s="53"/>
    </row>
    <row r="853" spans="1:34" ht="14" x14ac:dyDescent="0.2">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c r="AB853" s="53"/>
      <c r="AC853" s="53"/>
      <c r="AD853" s="53"/>
      <c r="AE853" s="53"/>
      <c r="AF853" s="53"/>
      <c r="AG853" s="53"/>
      <c r="AH853" s="53"/>
    </row>
    <row r="854" spans="1:34" ht="14" x14ac:dyDescent="0.2">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row>
    <row r="855" spans="1:34" ht="14" x14ac:dyDescent="0.2">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row>
    <row r="856" spans="1:34" ht="14" x14ac:dyDescent="0.2">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c r="AB856" s="53"/>
      <c r="AC856" s="53"/>
      <c r="AD856" s="53"/>
      <c r="AE856" s="53"/>
      <c r="AF856" s="53"/>
      <c r="AG856" s="53"/>
      <c r="AH856" s="53"/>
    </row>
    <row r="857" spans="1:34" ht="14" x14ac:dyDescent="0.2">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c r="AB857" s="53"/>
      <c r="AC857" s="53"/>
      <c r="AD857" s="53"/>
      <c r="AE857" s="53"/>
      <c r="AF857" s="53"/>
      <c r="AG857" s="53"/>
      <c r="AH857" s="53"/>
    </row>
    <row r="858" spans="1:34" ht="14" x14ac:dyDescent="0.2">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c r="AB858" s="53"/>
      <c r="AC858" s="53"/>
      <c r="AD858" s="53"/>
      <c r="AE858" s="53"/>
      <c r="AF858" s="53"/>
      <c r="AG858" s="53"/>
      <c r="AH858" s="53"/>
    </row>
    <row r="859" spans="1:34" ht="14" x14ac:dyDescent="0.2">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c r="AB859" s="53"/>
      <c r="AC859" s="53"/>
      <c r="AD859" s="53"/>
      <c r="AE859" s="53"/>
      <c r="AF859" s="53"/>
      <c r="AG859" s="53"/>
      <c r="AH859" s="53"/>
    </row>
    <row r="860" spans="1:34" ht="14" x14ac:dyDescent="0.2">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c r="AB860" s="53"/>
      <c r="AC860" s="53"/>
      <c r="AD860" s="53"/>
      <c r="AE860" s="53"/>
      <c r="AF860" s="53"/>
      <c r="AG860" s="53"/>
      <c r="AH860" s="53"/>
    </row>
    <row r="861" spans="1:34" ht="14" x14ac:dyDescent="0.2">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c r="AB861" s="53"/>
      <c r="AC861" s="53"/>
      <c r="AD861" s="53"/>
      <c r="AE861" s="53"/>
      <c r="AF861" s="53"/>
      <c r="AG861" s="53"/>
      <c r="AH861" s="53"/>
    </row>
    <row r="862" spans="1:34" ht="14" x14ac:dyDescent="0.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c r="AB862" s="53"/>
      <c r="AC862" s="53"/>
      <c r="AD862" s="53"/>
      <c r="AE862" s="53"/>
      <c r="AF862" s="53"/>
      <c r="AG862" s="53"/>
      <c r="AH862" s="53"/>
    </row>
    <row r="863" spans="1:34" ht="14" x14ac:dyDescent="0.2">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c r="AB863" s="53"/>
      <c r="AC863" s="53"/>
      <c r="AD863" s="53"/>
      <c r="AE863" s="53"/>
      <c r="AF863" s="53"/>
      <c r="AG863" s="53"/>
      <c r="AH863" s="53"/>
    </row>
    <row r="864" spans="1:34" ht="14" x14ac:dyDescent="0.2">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c r="AB864" s="53"/>
      <c r="AC864" s="53"/>
      <c r="AD864" s="53"/>
      <c r="AE864" s="53"/>
      <c r="AF864" s="53"/>
      <c r="AG864" s="53"/>
      <c r="AH864" s="53"/>
    </row>
    <row r="865" spans="1:34" ht="14" x14ac:dyDescent="0.2">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c r="AB865" s="53"/>
      <c r="AC865" s="53"/>
      <c r="AD865" s="53"/>
      <c r="AE865" s="53"/>
      <c r="AF865" s="53"/>
      <c r="AG865" s="53"/>
      <c r="AH865" s="53"/>
    </row>
    <row r="866" spans="1:34" ht="14" x14ac:dyDescent="0.2">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c r="AB866" s="53"/>
      <c r="AC866" s="53"/>
      <c r="AD866" s="53"/>
      <c r="AE866" s="53"/>
      <c r="AF866" s="53"/>
      <c r="AG866" s="53"/>
      <c r="AH866" s="53"/>
    </row>
    <row r="867" spans="1:34" ht="14" x14ac:dyDescent="0.2">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c r="AB867" s="53"/>
      <c r="AC867" s="53"/>
      <c r="AD867" s="53"/>
      <c r="AE867" s="53"/>
      <c r="AF867" s="53"/>
      <c r="AG867" s="53"/>
      <c r="AH867" s="53"/>
    </row>
    <row r="868" spans="1:34" ht="14" x14ac:dyDescent="0.2">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c r="AB868" s="53"/>
      <c r="AC868" s="53"/>
      <c r="AD868" s="53"/>
      <c r="AE868" s="53"/>
      <c r="AF868" s="53"/>
      <c r="AG868" s="53"/>
      <c r="AH868" s="53"/>
    </row>
    <row r="869" spans="1:34" ht="14" x14ac:dyDescent="0.2">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c r="AB869" s="53"/>
      <c r="AC869" s="53"/>
      <c r="AD869" s="53"/>
      <c r="AE869" s="53"/>
      <c r="AF869" s="53"/>
      <c r="AG869" s="53"/>
      <c r="AH869" s="53"/>
    </row>
    <row r="870" spans="1:34" ht="14" x14ac:dyDescent="0.2">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c r="AB870" s="53"/>
      <c r="AC870" s="53"/>
      <c r="AD870" s="53"/>
      <c r="AE870" s="53"/>
      <c r="AF870" s="53"/>
      <c r="AG870" s="53"/>
      <c r="AH870" s="53"/>
    </row>
    <row r="871" spans="1:34" ht="14" x14ac:dyDescent="0.2">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c r="AB871" s="53"/>
      <c r="AC871" s="53"/>
      <c r="AD871" s="53"/>
      <c r="AE871" s="53"/>
      <c r="AF871" s="53"/>
      <c r="AG871" s="53"/>
      <c r="AH871" s="53"/>
    </row>
    <row r="872" spans="1:34" ht="14" x14ac:dyDescent="0.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c r="AB872" s="53"/>
      <c r="AC872" s="53"/>
      <c r="AD872" s="53"/>
      <c r="AE872" s="53"/>
      <c r="AF872" s="53"/>
      <c r="AG872" s="53"/>
      <c r="AH872" s="53"/>
    </row>
    <row r="873" spans="1:34" ht="14" x14ac:dyDescent="0.2">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c r="AB873" s="53"/>
      <c r="AC873" s="53"/>
      <c r="AD873" s="53"/>
      <c r="AE873" s="53"/>
      <c r="AF873" s="53"/>
      <c r="AG873" s="53"/>
      <c r="AH873" s="53"/>
    </row>
    <row r="874" spans="1:34" ht="14" x14ac:dyDescent="0.2">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c r="AB874" s="53"/>
      <c r="AC874" s="53"/>
      <c r="AD874" s="53"/>
      <c r="AE874" s="53"/>
      <c r="AF874" s="53"/>
      <c r="AG874" s="53"/>
      <c r="AH874" s="53"/>
    </row>
    <row r="875" spans="1:34" ht="14" x14ac:dyDescent="0.2">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c r="AB875" s="53"/>
      <c r="AC875" s="53"/>
      <c r="AD875" s="53"/>
      <c r="AE875" s="53"/>
      <c r="AF875" s="53"/>
      <c r="AG875" s="53"/>
      <c r="AH875" s="53"/>
    </row>
    <row r="876" spans="1:34" ht="14" x14ac:dyDescent="0.2">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c r="AB876" s="53"/>
      <c r="AC876" s="53"/>
      <c r="AD876" s="53"/>
      <c r="AE876" s="53"/>
      <c r="AF876" s="53"/>
      <c r="AG876" s="53"/>
      <c r="AH876" s="53"/>
    </row>
    <row r="877" spans="1:34" ht="14" x14ac:dyDescent="0.2">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c r="AB877" s="53"/>
      <c r="AC877" s="53"/>
      <c r="AD877" s="53"/>
      <c r="AE877" s="53"/>
      <c r="AF877" s="53"/>
      <c r="AG877" s="53"/>
      <c r="AH877" s="53"/>
    </row>
    <row r="878" spans="1:34" ht="14" x14ac:dyDescent="0.2">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c r="AB878" s="53"/>
      <c r="AC878" s="53"/>
      <c r="AD878" s="53"/>
      <c r="AE878" s="53"/>
      <c r="AF878" s="53"/>
      <c r="AG878" s="53"/>
      <c r="AH878" s="53"/>
    </row>
    <row r="879" spans="1:34" ht="14" x14ac:dyDescent="0.2">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c r="AB879" s="53"/>
      <c r="AC879" s="53"/>
      <c r="AD879" s="53"/>
      <c r="AE879" s="53"/>
      <c r="AF879" s="53"/>
      <c r="AG879" s="53"/>
      <c r="AH879" s="53"/>
    </row>
    <row r="880" spans="1:34" ht="14" x14ac:dyDescent="0.2">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c r="AB880" s="53"/>
      <c r="AC880" s="53"/>
      <c r="AD880" s="53"/>
      <c r="AE880" s="53"/>
      <c r="AF880" s="53"/>
      <c r="AG880" s="53"/>
      <c r="AH880" s="53"/>
    </row>
    <row r="881" spans="1:34" ht="14" x14ac:dyDescent="0.2">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c r="AB881" s="53"/>
      <c r="AC881" s="53"/>
      <c r="AD881" s="53"/>
      <c r="AE881" s="53"/>
      <c r="AF881" s="53"/>
      <c r="AG881" s="53"/>
      <c r="AH881" s="53"/>
    </row>
    <row r="882" spans="1:34" ht="14" x14ac:dyDescent="0.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c r="AB882" s="53"/>
      <c r="AC882" s="53"/>
      <c r="AD882" s="53"/>
      <c r="AE882" s="53"/>
      <c r="AF882" s="53"/>
      <c r="AG882" s="53"/>
      <c r="AH882" s="53"/>
    </row>
    <row r="883" spans="1:34" ht="14" x14ac:dyDescent="0.2">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c r="AB883" s="53"/>
      <c r="AC883" s="53"/>
      <c r="AD883" s="53"/>
      <c r="AE883" s="53"/>
      <c r="AF883" s="53"/>
      <c r="AG883" s="53"/>
      <c r="AH883" s="53"/>
    </row>
    <row r="884" spans="1:34" ht="14" x14ac:dyDescent="0.2">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c r="AB884" s="53"/>
      <c r="AC884" s="53"/>
      <c r="AD884" s="53"/>
      <c r="AE884" s="53"/>
      <c r="AF884" s="53"/>
      <c r="AG884" s="53"/>
      <c r="AH884" s="53"/>
    </row>
    <row r="885" spans="1:34" ht="14" x14ac:dyDescent="0.2">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c r="AB885" s="53"/>
      <c r="AC885" s="53"/>
      <c r="AD885" s="53"/>
      <c r="AE885" s="53"/>
      <c r="AF885" s="53"/>
      <c r="AG885" s="53"/>
      <c r="AH885" s="53"/>
    </row>
    <row r="886" spans="1:34" ht="14" x14ac:dyDescent="0.2">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c r="AB886" s="53"/>
      <c r="AC886" s="53"/>
      <c r="AD886" s="53"/>
      <c r="AE886" s="53"/>
      <c r="AF886" s="53"/>
      <c r="AG886" s="53"/>
      <c r="AH886" s="53"/>
    </row>
    <row r="887" spans="1:34" ht="14" x14ac:dyDescent="0.2">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c r="AB887" s="53"/>
      <c r="AC887" s="53"/>
      <c r="AD887" s="53"/>
      <c r="AE887" s="53"/>
      <c r="AF887" s="53"/>
      <c r="AG887" s="53"/>
      <c r="AH887" s="53"/>
    </row>
    <row r="888" spans="1:34" ht="14" x14ac:dyDescent="0.2">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c r="AB888" s="53"/>
      <c r="AC888" s="53"/>
      <c r="AD888" s="53"/>
      <c r="AE888" s="53"/>
      <c r="AF888" s="53"/>
      <c r="AG888" s="53"/>
      <c r="AH888" s="53"/>
    </row>
    <row r="889" spans="1:34" ht="14" x14ac:dyDescent="0.2">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c r="AB889" s="53"/>
      <c r="AC889" s="53"/>
      <c r="AD889" s="53"/>
      <c r="AE889" s="53"/>
      <c r="AF889" s="53"/>
      <c r="AG889" s="53"/>
      <c r="AH889" s="53"/>
    </row>
    <row r="890" spans="1:34" ht="14" x14ac:dyDescent="0.2">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c r="AB890" s="53"/>
      <c r="AC890" s="53"/>
      <c r="AD890" s="53"/>
      <c r="AE890" s="53"/>
      <c r="AF890" s="53"/>
      <c r="AG890" s="53"/>
      <c r="AH890" s="53"/>
    </row>
    <row r="891" spans="1:34" ht="14" x14ac:dyDescent="0.2">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c r="AB891" s="53"/>
      <c r="AC891" s="53"/>
      <c r="AD891" s="53"/>
      <c r="AE891" s="53"/>
      <c r="AF891" s="53"/>
      <c r="AG891" s="53"/>
      <c r="AH891" s="53"/>
    </row>
    <row r="892" spans="1:34" ht="14" x14ac:dyDescent="0.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c r="AB892" s="53"/>
      <c r="AC892" s="53"/>
      <c r="AD892" s="53"/>
      <c r="AE892" s="53"/>
      <c r="AF892" s="53"/>
      <c r="AG892" s="53"/>
      <c r="AH892" s="53"/>
    </row>
    <row r="893" spans="1:34" ht="14" x14ac:dyDescent="0.2">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c r="AB893" s="53"/>
      <c r="AC893" s="53"/>
      <c r="AD893" s="53"/>
      <c r="AE893" s="53"/>
      <c r="AF893" s="53"/>
      <c r="AG893" s="53"/>
      <c r="AH893" s="53"/>
    </row>
    <row r="894" spans="1:34" ht="14" x14ac:dyDescent="0.2">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c r="AB894" s="53"/>
      <c r="AC894" s="53"/>
      <c r="AD894" s="53"/>
      <c r="AE894" s="53"/>
      <c r="AF894" s="53"/>
      <c r="AG894" s="53"/>
      <c r="AH894" s="53"/>
    </row>
    <row r="895" spans="1:34" ht="14" x14ac:dyDescent="0.2">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c r="AB895" s="53"/>
      <c r="AC895" s="53"/>
      <c r="AD895" s="53"/>
      <c r="AE895" s="53"/>
      <c r="AF895" s="53"/>
      <c r="AG895" s="53"/>
      <c r="AH895" s="53"/>
    </row>
    <row r="896" spans="1:34" ht="14" x14ac:dyDescent="0.2">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c r="AB896" s="53"/>
      <c r="AC896" s="53"/>
      <c r="AD896" s="53"/>
      <c r="AE896" s="53"/>
      <c r="AF896" s="53"/>
      <c r="AG896" s="53"/>
      <c r="AH896" s="53"/>
    </row>
    <row r="897" spans="1:34" ht="14" x14ac:dyDescent="0.2">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c r="AB897" s="53"/>
      <c r="AC897" s="53"/>
      <c r="AD897" s="53"/>
      <c r="AE897" s="53"/>
      <c r="AF897" s="53"/>
      <c r="AG897" s="53"/>
      <c r="AH897" s="53"/>
    </row>
    <row r="898" spans="1:34" ht="14" x14ac:dyDescent="0.2">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c r="AB898" s="53"/>
      <c r="AC898" s="53"/>
      <c r="AD898" s="53"/>
      <c r="AE898" s="53"/>
      <c r="AF898" s="53"/>
      <c r="AG898" s="53"/>
      <c r="AH898" s="53"/>
    </row>
    <row r="899" spans="1:34" ht="14" x14ac:dyDescent="0.2">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c r="AB899" s="53"/>
      <c r="AC899" s="53"/>
      <c r="AD899" s="53"/>
      <c r="AE899" s="53"/>
      <c r="AF899" s="53"/>
      <c r="AG899" s="53"/>
      <c r="AH899" s="53"/>
    </row>
    <row r="900" spans="1:34" ht="14" x14ac:dyDescent="0.2">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c r="AB900" s="53"/>
      <c r="AC900" s="53"/>
      <c r="AD900" s="53"/>
      <c r="AE900" s="53"/>
      <c r="AF900" s="53"/>
      <c r="AG900" s="53"/>
      <c r="AH900" s="53"/>
    </row>
    <row r="901" spans="1:34" ht="14" x14ac:dyDescent="0.2">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c r="AB901" s="53"/>
      <c r="AC901" s="53"/>
      <c r="AD901" s="53"/>
      <c r="AE901" s="53"/>
      <c r="AF901" s="53"/>
      <c r="AG901" s="53"/>
      <c r="AH901" s="53"/>
    </row>
    <row r="902" spans="1:34" ht="14" x14ac:dyDescent="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c r="AB902" s="53"/>
      <c r="AC902" s="53"/>
      <c r="AD902" s="53"/>
      <c r="AE902" s="53"/>
      <c r="AF902" s="53"/>
      <c r="AG902" s="53"/>
      <c r="AH902" s="53"/>
    </row>
    <row r="903" spans="1:34" ht="14" x14ac:dyDescent="0.2">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c r="AB903" s="53"/>
      <c r="AC903" s="53"/>
      <c r="AD903" s="53"/>
      <c r="AE903" s="53"/>
      <c r="AF903" s="53"/>
      <c r="AG903" s="53"/>
      <c r="AH903" s="53"/>
    </row>
    <row r="904" spans="1:34" ht="14" x14ac:dyDescent="0.2">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c r="AB904" s="53"/>
      <c r="AC904" s="53"/>
      <c r="AD904" s="53"/>
      <c r="AE904" s="53"/>
      <c r="AF904" s="53"/>
      <c r="AG904" s="53"/>
      <c r="AH904" s="53"/>
    </row>
  </sheetData>
  <pageMargins left="0.70866141732283472" right="0.70866141732283472" top="0.74803149606299213" bottom="0.74803149606299213" header="0.31496062992125984" footer="0.31496062992125984"/>
  <pageSetup paperSize="9" scale="31" orientation="landscape" horizontalDpi="0" verticalDpi="0"/>
  <ignoredErrors>
    <ignoredError sqref="E17" formulaRange="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DE75-F496-DA4C-9EF1-B6BC1B0ED6C1}">
  <sheetPr>
    <outlinePr summaryBelow="0" summaryRight="0"/>
    <pageSetUpPr fitToPage="1"/>
  </sheetPr>
  <dimension ref="A1:BF1123"/>
  <sheetViews>
    <sheetView zoomScale="120" zoomScaleNormal="120" workbookViewId="0">
      <selection activeCell="AQ215" sqref="AQ215"/>
    </sheetView>
  </sheetViews>
  <sheetFormatPr baseColWidth="10" defaultColWidth="12.6640625" defaultRowHeight="15.75" customHeight="1" x14ac:dyDescent="0.15"/>
  <cols>
    <col min="1" max="1" width="33.33203125" customWidth="1"/>
    <col min="2" max="37" width="15.6640625" customWidth="1"/>
    <col min="38" max="38" width="16.1640625" bestFit="1" customWidth="1"/>
    <col min="39" max="39" width="16.6640625" bestFit="1" customWidth="1"/>
  </cols>
  <sheetData>
    <row r="1" spans="1:51" ht="14" x14ac:dyDescent="0.2">
      <c r="A1" s="1" t="s">
        <v>0</v>
      </c>
      <c r="B1" s="2"/>
      <c r="C1" s="41">
        <v>45323</v>
      </c>
      <c r="D1" s="41">
        <v>45352</v>
      </c>
      <c r="E1" s="41">
        <v>45383</v>
      </c>
      <c r="F1" s="41">
        <v>45413</v>
      </c>
      <c r="G1" s="41">
        <v>45444</v>
      </c>
      <c r="H1" s="41">
        <v>45474</v>
      </c>
      <c r="I1" s="41">
        <v>45505</v>
      </c>
      <c r="J1" s="41">
        <v>45536</v>
      </c>
      <c r="K1" s="41">
        <v>45566</v>
      </c>
      <c r="L1" s="41">
        <v>45597</v>
      </c>
      <c r="M1" s="41">
        <v>45627</v>
      </c>
      <c r="N1" s="2" t="s">
        <v>125</v>
      </c>
      <c r="O1" s="2" t="s">
        <v>126</v>
      </c>
      <c r="P1" s="4"/>
      <c r="Q1" s="42">
        <v>45658</v>
      </c>
      <c r="R1" s="42">
        <v>45689</v>
      </c>
      <c r="S1" s="42">
        <v>45717</v>
      </c>
      <c r="T1" s="42">
        <v>45748</v>
      </c>
      <c r="U1" s="42">
        <v>45778</v>
      </c>
      <c r="V1" s="42">
        <v>45809</v>
      </c>
      <c r="W1" s="42">
        <v>45839</v>
      </c>
      <c r="X1" s="42">
        <v>45870</v>
      </c>
      <c r="Y1" s="42">
        <v>45901</v>
      </c>
      <c r="Z1" s="42">
        <v>45931</v>
      </c>
      <c r="AA1" s="42">
        <v>45962</v>
      </c>
      <c r="AB1" s="42">
        <v>45992</v>
      </c>
      <c r="AC1" s="2" t="s">
        <v>125</v>
      </c>
      <c r="AD1" s="2" t="s">
        <v>126</v>
      </c>
      <c r="AE1" s="2"/>
      <c r="AF1" s="42">
        <v>46023</v>
      </c>
      <c r="AG1" s="42">
        <v>46054</v>
      </c>
      <c r="AH1" s="42">
        <v>46082</v>
      </c>
      <c r="AI1" s="2" t="s">
        <v>166</v>
      </c>
      <c r="AJ1" s="2" t="s">
        <v>167</v>
      </c>
      <c r="AK1" s="2"/>
      <c r="AL1" s="2" t="s">
        <v>126</v>
      </c>
      <c r="AM1" s="2" t="s">
        <v>126</v>
      </c>
      <c r="AP1" s="4"/>
      <c r="AQ1" s="4"/>
      <c r="AR1" s="4"/>
      <c r="AS1" s="4"/>
      <c r="AT1" s="4"/>
      <c r="AU1" s="4"/>
      <c r="AV1" s="4"/>
      <c r="AW1" s="4"/>
      <c r="AX1" s="4"/>
      <c r="AY1" s="4"/>
    </row>
    <row r="2" spans="1:51" ht="8.25" customHeight="1" x14ac:dyDescent="0.2">
      <c r="A2" s="1"/>
      <c r="B2" s="3"/>
      <c r="C2" s="3"/>
      <c r="D2" s="3"/>
      <c r="E2" s="3"/>
      <c r="F2" s="3"/>
      <c r="G2" s="3"/>
      <c r="H2" s="3"/>
      <c r="I2" s="3"/>
      <c r="J2" s="3"/>
      <c r="K2" s="3"/>
      <c r="L2" s="3"/>
      <c r="M2" s="3"/>
      <c r="N2" s="3"/>
      <c r="O2" s="4"/>
      <c r="P2" s="4"/>
      <c r="Q2" s="4"/>
      <c r="R2" s="4"/>
      <c r="S2" s="4"/>
      <c r="T2" s="4"/>
      <c r="U2" s="4"/>
      <c r="V2" s="4"/>
      <c r="W2" s="4"/>
      <c r="X2" s="4"/>
      <c r="Y2" s="4"/>
      <c r="Z2" s="4"/>
      <c r="AA2" s="4"/>
      <c r="AB2" s="4"/>
      <c r="AC2" s="4"/>
      <c r="AD2" s="4"/>
      <c r="AE2" s="4"/>
      <c r="AF2" s="4"/>
      <c r="AG2" s="4"/>
      <c r="AH2" s="4"/>
      <c r="AI2" s="4"/>
      <c r="AJ2" s="4"/>
      <c r="AK2" s="4"/>
      <c r="AL2" s="4"/>
      <c r="AM2" s="4"/>
      <c r="AP2" s="4"/>
      <c r="AQ2" s="4"/>
      <c r="AR2" s="4"/>
      <c r="AS2" s="4"/>
      <c r="AT2" s="4"/>
      <c r="AU2" s="4"/>
      <c r="AV2" s="4"/>
      <c r="AW2" s="4"/>
      <c r="AX2" s="4"/>
      <c r="AY2" s="4"/>
    </row>
    <row r="3" spans="1:51" ht="14" x14ac:dyDescent="0.2">
      <c r="A3" s="1" t="s">
        <v>1</v>
      </c>
      <c r="B3" s="3"/>
      <c r="C3" s="121">
        <f>'Feb 24'!B3</f>
        <v>242579</v>
      </c>
      <c r="D3" s="121">
        <f>'Mar 24'!B3</f>
        <v>242579</v>
      </c>
      <c r="E3" s="121">
        <f>'Apr 24'!B3</f>
        <v>340813</v>
      </c>
      <c r="F3" s="121">
        <f>'May 24'!B3</f>
        <v>340813</v>
      </c>
      <c r="G3" s="121">
        <f>'Jun 24'!B3</f>
        <v>340813</v>
      </c>
      <c r="H3" s="121">
        <f>'Jul 24'!B3</f>
        <v>340813</v>
      </c>
      <c r="I3" s="121">
        <f>'Aug 24'!B3</f>
        <v>340813</v>
      </c>
      <c r="J3" s="121">
        <f>'Sep 24'!B3</f>
        <v>340813</v>
      </c>
      <c r="K3" s="121">
        <f>'Oct 24'!B3</f>
        <v>340813</v>
      </c>
      <c r="L3" s="121">
        <f>'Nov 24'!B3</f>
        <v>340813</v>
      </c>
      <c r="M3" s="121">
        <f>'Dec 24'!B3</f>
        <v>340813</v>
      </c>
      <c r="N3" s="121">
        <f>SUM(C3:M3)</f>
        <v>3552475</v>
      </c>
      <c r="O3" s="4"/>
      <c r="P3" s="4"/>
      <c r="Q3" s="121">
        <f>'Jan 25'!B3</f>
        <v>340813</v>
      </c>
      <c r="R3" s="121">
        <f>'Feb 25'!B3</f>
        <v>340813</v>
      </c>
      <c r="S3" s="121">
        <f>'Mar 25'!B3</f>
        <v>340813</v>
      </c>
      <c r="T3" s="121">
        <f>'April 25'!B3</f>
        <v>340813</v>
      </c>
      <c r="U3" s="121">
        <f>'May 25'!B3</f>
        <v>340813</v>
      </c>
      <c r="V3" s="121">
        <f>'June 25'!B3</f>
        <v>340813</v>
      </c>
      <c r="W3" s="121">
        <f>'July 25'!B3</f>
        <v>340813</v>
      </c>
      <c r="X3" s="119">
        <f>'Aug 25'!B3</f>
        <v>340813</v>
      </c>
      <c r="Y3" s="119">
        <f>'Sep 25'!B3</f>
        <v>340813</v>
      </c>
      <c r="Z3" s="119">
        <f>'Oct 25'!B3</f>
        <v>353061</v>
      </c>
      <c r="AA3" s="119">
        <f>'Nov 25'!B3</f>
        <v>358179</v>
      </c>
      <c r="AB3" s="119">
        <f>'Dec 25'!B3</f>
        <v>378514</v>
      </c>
      <c r="AC3" s="119">
        <f>SUM(Q3:AB3)</f>
        <v>4157071</v>
      </c>
      <c r="AD3" s="119"/>
      <c r="AE3" s="119"/>
      <c r="AF3" s="119">
        <f>'Jan - 26'!B3</f>
        <v>410756</v>
      </c>
      <c r="AG3" s="119">
        <f>'Feb - 26'!B3</f>
        <v>441376</v>
      </c>
      <c r="AH3" s="119">
        <f>'Mar - 26'!B3</f>
        <v>441376</v>
      </c>
      <c r="AI3" s="119">
        <f>+SUM(AF3,AG3,AH3)</f>
        <v>1293508</v>
      </c>
      <c r="AJ3" s="119">
        <f>SUM(N3,AC3,AI3)</f>
        <v>9003054</v>
      </c>
      <c r="AK3" s="43"/>
      <c r="AL3" s="4"/>
      <c r="AM3" s="119">
        <f>SUM(X3:AB3,AF3:AG3)-AM167</f>
        <v>-441376.00000000047</v>
      </c>
      <c r="AP3" s="4"/>
      <c r="AQ3" s="4"/>
      <c r="AR3" s="4"/>
      <c r="AS3" s="4"/>
      <c r="AT3" s="4"/>
      <c r="AU3" s="4"/>
      <c r="AV3" s="4"/>
      <c r="AW3" s="4"/>
      <c r="AX3" s="4"/>
      <c r="AY3" s="4"/>
    </row>
    <row r="4" spans="1:51" ht="14" x14ac:dyDescent="0.2">
      <c r="A4" s="1" t="s">
        <v>2</v>
      </c>
      <c r="B4" s="6"/>
      <c r="C4" s="31">
        <f>'Feb 24'!B4</f>
        <v>4016.25</v>
      </c>
      <c r="D4" s="31">
        <f>'Mar 24'!B4</f>
        <v>4016.25</v>
      </c>
      <c r="E4" s="31">
        <f>'Apr 24'!B4</f>
        <v>5984</v>
      </c>
      <c r="F4" s="31">
        <f>'May 24'!B4</f>
        <v>6256</v>
      </c>
      <c r="G4" s="31">
        <f>'Jun 24'!B4</f>
        <v>5440</v>
      </c>
      <c r="H4" s="31">
        <f>'Jul 24'!B4</f>
        <v>5984</v>
      </c>
      <c r="I4" s="31">
        <f>'Aug 24'!B4</f>
        <v>5984</v>
      </c>
      <c r="J4" s="31">
        <f>'Sep 24'!B4</f>
        <v>5712</v>
      </c>
      <c r="K4" s="31">
        <f>'Oct 24'!B4</f>
        <v>6256</v>
      </c>
      <c r="L4" s="31">
        <f>'Nov 24'!B4</f>
        <v>5712</v>
      </c>
      <c r="M4" s="31">
        <f>'Dec 24'!B4</f>
        <v>5984</v>
      </c>
      <c r="N4" s="31">
        <f>SUM(C4:M4)</f>
        <v>61344.5</v>
      </c>
      <c r="O4" s="4"/>
      <c r="P4" s="4"/>
      <c r="Q4" s="31">
        <f>'Jan 25'!B4</f>
        <v>6256</v>
      </c>
      <c r="R4" s="31">
        <f>'Feb 25'!B4</f>
        <v>5440</v>
      </c>
      <c r="S4" s="31">
        <f>'Mar 25'!B4</f>
        <v>5712</v>
      </c>
      <c r="T4" s="31">
        <f>'April 25'!B4</f>
        <v>5984</v>
      </c>
      <c r="U4" s="31">
        <f>'May 25'!B4</f>
        <v>5984</v>
      </c>
      <c r="V4" s="31">
        <f>'June 25'!B4</f>
        <v>5712</v>
      </c>
      <c r="W4" s="31">
        <f>'July 25'!B4</f>
        <v>6256</v>
      </c>
      <c r="X4" s="31">
        <f>'Aug 25'!B4</f>
        <v>5712</v>
      </c>
      <c r="Y4" s="31">
        <f>'Sep 25'!B4</f>
        <v>5984</v>
      </c>
      <c r="Z4" s="31">
        <f>'Oct 25'!B4</f>
        <v>6549</v>
      </c>
      <c r="AA4" s="31">
        <f>'Nov 25'!B4</f>
        <v>5780</v>
      </c>
      <c r="AB4" s="31">
        <f>'Dec 25'!B4</f>
        <v>7038</v>
      </c>
      <c r="AC4" s="31">
        <f>SUM(Q4:AB4)</f>
        <v>72407</v>
      </c>
      <c r="AD4" s="31"/>
      <c r="AE4" s="31"/>
      <c r="AF4" s="31">
        <f>'Jan - 26'!B4</f>
        <v>7480</v>
      </c>
      <c r="AG4" s="31">
        <f>'Feb - 26'!B4</f>
        <v>7310</v>
      </c>
      <c r="AH4" s="31">
        <f>'Mar - 26'!B4</f>
        <v>8041</v>
      </c>
      <c r="AI4" s="31">
        <f>SUM(AF4,AG4, AH4)</f>
        <v>22831</v>
      </c>
      <c r="AJ4" s="31">
        <f>SUM(N4,AC4,AI4)</f>
        <v>156582.5</v>
      </c>
      <c r="AK4" s="31"/>
      <c r="AL4" s="4"/>
      <c r="AM4" s="128"/>
      <c r="AP4" s="4"/>
      <c r="AQ4" s="4"/>
      <c r="AR4" s="4"/>
      <c r="AS4" s="4"/>
      <c r="AT4" s="4"/>
      <c r="AU4" s="4"/>
      <c r="AV4" s="4"/>
      <c r="AW4" s="4"/>
      <c r="AX4" s="4"/>
      <c r="AY4" s="4"/>
    </row>
    <row r="5" spans="1:51" ht="14" x14ac:dyDescent="0.2">
      <c r="A5" s="1" t="s">
        <v>3</v>
      </c>
      <c r="B5" s="6"/>
      <c r="C5" s="31">
        <f>'Feb 24'!B5</f>
        <v>4220.0599999999995</v>
      </c>
      <c r="D5" s="31">
        <f>'Mar 24'!B5</f>
        <v>4554.1500000000005</v>
      </c>
      <c r="E5" s="31">
        <f>'Apr 24'!B5</f>
        <v>5989.93</v>
      </c>
      <c r="F5" s="31">
        <f>'May 24'!B5</f>
        <v>6256.39</v>
      </c>
      <c r="G5" s="31">
        <f>'Jun 24'!B5</f>
        <v>5445.8600000000006</v>
      </c>
      <c r="H5" s="31">
        <f>'Jul 24'!B5</f>
        <v>6356.8600000000006</v>
      </c>
      <c r="I5" s="31">
        <f>'Aug 24'!B5</f>
        <v>6148.68</v>
      </c>
      <c r="J5" s="31">
        <f>'Sep 24'!B5</f>
        <v>5949.36</v>
      </c>
      <c r="K5" s="31">
        <f>'Oct 24'!B5</f>
        <v>6352.97</v>
      </c>
      <c r="L5" s="31">
        <f>'Nov 24'!B5</f>
        <v>5957.62</v>
      </c>
      <c r="M5" s="31">
        <f>'Dec 24'!B5</f>
        <v>6201.07</v>
      </c>
      <c r="N5" s="31">
        <f>SUM(C5:M5)</f>
        <v>63432.950000000004</v>
      </c>
      <c r="O5" s="40">
        <f>(D10+D61+C74)-N5</f>
        <v>0</v>
      </c>
      <c r="P5" s="4"/>
      <c r="Q5" s="31">
        <f>'Jan 25'!B5</f>
        <v>6266.4500000000007</v>
      </c>
      <c r="R5" s="31">
        <f>'Feb 25'!B5</f>
        <v>5441.07</v>
      </c>
      <c r="S5" s="31">
        <f>'Mar 25'!B5</f>
        <v>5842.5199999999995</v>
      </c>
      <c r="T5" s="31">
        <f>'April 25'!B5</f>
        <v>6140.74</v>
      </c>
      <c r="U5" s="31">
        <f>'May 25'!B5</f>
        <v>6116.7099999999991</v>
      </c>
      <c r="V5" s="31">
        <f>'June 25'!B5</f>
        <v>5955.6399999999994</v>
      </c>
      <c r="W5" s="31">
        <f>'July 25'!B5</f>
        <v>6270.4500000000007</v>
      </c>
      <c r="X5" s="31">
        <f>'Aug 25'!B5</f>
        <v>5714.65</v>
      </c>
      <c r="Y5" s="31">
        <f>'Sep 25'!B5</f>
        <v>5995.92</v>
      </c>
      <c r="Z5" s="31">
        <f>'Oct 25'!B5</f>
        <v>6549.2199999999993</v>
      </c>
      <c r="AA5" s="31">
        <f>'Nov 25'!B5</f>
        <v>5784.7399999999989</v>
      </c>
      <c r="AB5" s="31">
        <f>'Dec 25'!B5</f>
        <v>7065.83</v>
      </c>
      <c r="AC5" s="31">
        <f t="shared" ref="AC5:AC6" si="0">SUM(Q5:AB5)</f>
        <v>73143.94</v>
      </c>
      <c r="AD5" s="31">
        <f>SUM(J10,J61,I74)-AC5</f>
        <v>0</v>
      </c>
      <c r="AE5" s="31"/>
      <c r="AF5" s="31">
        <f>'Jan - 26'!B5</f>
        <v>7539.75</v>
      </c>
      <c r="AG5" s="31">
        <f>'Feb - 26'!B5</f>
        <v>7346.48</v>
      </c>
      <c r="AH5" s="31">
        <f>'Mar - 26'!B5</f>
        <v>8047.0279999999993</v>
      </c>
      <c r="AI5" s="31">
        <f>SUM(AF5,AG5, AH5)</f>
        <v>22933.257999999998</v>
      </c>
      <c r="AJ5" s="31">
        <f>SUM(N5,AC5,AI5)</f>
        <v>159510.14800000002</v>
      </c>
      <c r="AK5" s="31">
        <f>SUM(P10+P61+O74)-AI5</f>
        <v>0</v>
      </c>
      <c r="AL5" s="40">
        <f>SUM(V10,V61,U74)-AJ5</f>
        <v>0</v>
      </c>
      <c r="AM5" s="40"/>
      <c r="AP5" s="4"/>
      <c r="AQ5" s="4"/>
      <c r="AR5" s="4"/>
      <c r="AS5" s="4"/>
      <c r="AT5" s="4"/>
      <c r="AU5" s="4"/>
      <c r="AV5" s="4"/>
      <c r="AW5" s="4"/>
      <c r="AX5" s="4"/>
      <c r="AY5" s="4"/>
    </row>
    <row r="6" spans="1:51" ht="14" x14ac:dyDescent="0.2">
      <c r="A6" s="1" t="s">
        <v>4</v>
      </c>
      <c r="B6" s="3"/>
      <c r="C6" s="31">
        <f>'Feb 24'!B6</f>
        <v>203.80999999999949</v>
      </c>
      <c r="D6" s="31">
        <f>'Mar 24'!B6</f>
        <v>537.90000000000055</v>
      </c>
      <c r="E6" s="31">
        <f>'Apr 24'!B6</f>
        <v>5.930000000000291</v>
      </c>
      <c r="F6" s="31">
        <f>'May 24'!B6</f>
        <v>0.39000000000032742</v>
      </c>
      <c r="G6" s="31">
        <f>'Jun 24'!B6</f>
        <v>5.8600000000005821</v>
      </c>
      <c r="H6" s="31">
        <f>'Jul 24'!B6</f>
        <v>372.86000000000058</v>
      </c>
      <c r="I6" s="31">
        <f>'Aug 24'!B6</f>
        <v>164.68000000000029</v>
      </c>
      <c r="J6" s="6">
        <f>'Sep 24'!B6</f>
        <v>237.35999999999967</v>
      </c>
      <c r="K6" s="6">
        <f>'Oct 24'!B6</f>
        <v>96.970000000000255</v>
      </c>
      <c r="L6" s="6">
        <f>'Nov 24'!B6</f>
        <v>245.61999999999989</v>
      </c>
      <c r="M6" s="6">
        <f>'Dec 24'!B6</f>
        <v>217.06999999999971</v>
      </c>
      <c r="N6" s="31">
        <f>SUM(C6:M6)</f>
        <v>2088.4500000000016</v>
      </c>
      <c r="O6" s="4"/>
      <c r="P6" s="4"/>
      <c r="Q6" s="6">
        <f>'Jan 25'!B6</f>
        <v>10.450000000000728</v>
      </c>
      <c r="R6" s="6">
        <f>'Feb 25'!B6</f>
        <v>1.069999999999709</v>
      </c>
      <c r="S6" s="6">
        <f>'Mar 25'!B6</f>
        <v>130.51999999999953</v>
      </c>
      <c r="T6" s="6">
        <f>'April 25'!B6</f>
        <v>156.73999999999978</v>
      </c>
      <c r="U6" s="6">
        <f>'May 25'!B6</f>
        <v>132.70999999999913</v>
      </c>
      <c r="V6" s="6">
        <f>'June 25'!B6</f>
        <v>243.63999999999942</v>
      </c>
      <c r="W6" s="6">
        <f>'July 25'!B6</f>
        <v>14.450000000000728</v>
      </c>
      <c r="X6" s="6">
        <f>'Aug 25'!B6</f>
        <v>2.6499999999996362</v>
      </c>
      <c r="Y6" s="6">
        <f>'Sep 25'!B6</f>
        <v>11.920000000000073</v>
      </c>
      <c r="Z6" s="6">
        <f>'Oct 25'!B6</f>
        <v>0.21999999999934516</v>
      </c>
      <c r="AA6" s="6">
        <f>'Nov 25'!B6</f>
        <v>4.7399999999988722</v>
      </c>
      <c r="AB6" s="6">
        <f>'Dec 25'!B6</f>
        <v>27.829999999999927</v>
      </c>
      <c r="AC6" s="31">
        <f t="shared" si="0"/>
        <v>736.93999999999687</v>
      </c>
      <c r="AD6" s="6"/>
      <c r="AE6" s="6"/>
      <c r="AF6" s="6">
        <f>'Jan - 26'!B6</f>
        <v>59.75</v>
      </c>
      <c r="AG6" s="6">
        <f>'Feb - 26'!B6</f>
        <v>36.479999999999563</v>
      </c>
      <c r="AH6" s="6">
        <f>'Mar - 26'!B6</f>
        <v>6.0279999999993379</v>
      </c>
      <c r="AI6" s="6">
        <f>SUM(AF6,AG6, AH6)</f>
        <v>102.2579999999989</v>
      </c>
      <c r="AJ6" s="45">
        <f>SUM(N6,AC6,AI6)</f>
        <v>2927.6479999999974</v>
      </c>
      <c r="AK6" s="6"/>
      <c r="AL6" s="4"/>
      <c r="AM6" s="4"/>
      <c r="AP6" s="4"/>
      <c r="AQ6" s="4"/>
      <c r="AR6" s="4"/>
      <c r="AS6" s="4"/>
      <c r="AT6" s="4"/>
      <c r="AU6" s="4"/>
      <c r="AV6" s="4"/>
      <c r="AW6" s="4"/>
      <c r="AX6" s="4"/>
      <c r="AY6" s="4"/>
    </row>
    <row r="7" spans="1:51" ht="14" x14ac:dyDescent="0.2">
      <c r="A7" s="1"/>
      <c r="B7" s="3"/>
      <c r="C7" s="31"/>
      <c r="D7" s="31"/>
      <c r="E7" s="31"/>
      <c r="F7" s="31"/>
      <c r="G7" s="31"/>
      <c r="H7" s="31"/>
      <c r="I7" s="31"/>
      <c r="J7" s="3"/>
      <c r="K7" s="3"/>
      <c r="L7" s="3"/>
      <c r="M7" s="3"/>
      <c r="N7" s="3"/>
      <c r="O7" s="4"/>
      <c r="P7" s="4"/>
      <c r="Q7" s="4"/>
      <c r="R7" s="4"/>
      <c r="S7" s="4"/>
      <c r="T7" s="4"/>
      <c r="U7" s="4"/>
      <c r="V7" s="4"/>
      <c r="W7" s="4"/>
      <c r="X7" s="4"/>
      <c r="Y7" s="4"/>
      <c r="Z7" s="4"/>
      <c r="AA7" s="4"/>
      <c r="AB7" s="4"/>
      <c r="AC7" s="4"/>
      <c r="AD7" s="4"/>
      <c r="AE7" s="4"/>
      <c r="AF7" s="4"/>
      <c r="AG7" s="4"/>
      <c r="AH7" s="4"/>
      <c r="AI7" s="4"/>
      <c r="AJ7" s="6"/>
      <c r="AK7" s="6"/>
      <c r="AL7" s="4"/>
      <c r="AM7" s="4"/>
      <c r="AO7" s="4"/>
      <c r="AP7" s="4"/>
      <c r="AQ7" s="4"/>
      <c r="AR7" s="4"/>
      <c r="AS7" s="4"/>
      <c r="AT7" s="4"/>
      <c r="AU7" s="4"/>
      <c r="AV7" s="4"/>
      <c r="AW7" s="4"/>
      <c r="AX7" s="4"/>
      <c r="AY7" s="4"/>
    </row>
    <row r="8" spans="1:51" ht="7.5" customHeight="1" x14ac:dyDescent="0.2">
      <c r="A8" s="7"/>
      <c r="B8" s="7"/>
      <c r="C8" s="7"/>
      <c r="D8" s="7"/>
      <c r="E8" s="7"/>
      <c r="F8" s="3"/>
      <c r="G8" s="7"/>
      <c r="H8" s="7"/>
      <c r="I8" s="7"/>
      <c r="J8" s="7"/>
      <c r="K8" s="7"/>
      <c r="L8" s="3"/>
      <c r="M8" s="7"/>
      <c r="N8" s="7"/>
      <c r="O8" s="7"/>
      <c r="P8" s="7"/>
      <c r="Q8" s="7"/>
      <c r="R8" s="3"/>
      <c r="S8" s="7"/>
      <c r="T8" s="7"/>
      <c r="U8" s="7"/>
      <c r="V8" s="7"/>
      <c r="W8" s="7"/>
      <c r="X8" s="3"/>
      <c r="Y8" s="3"/>
      <c r="Z8" s="3"/>
      <c r="AA8" s="3"/>
      <c r="AB8" s="3"/>
      <c r="AC8" s="3"/>
      <c r="AD8" s="3"/>
      <c r="AE8" s="3"/>
      <c r="AF8" s="3"/>
      <c r="AG8" s="3"/>
      <c r="AH8" s="3"/>
      <c r="AI8" s="3"/>
      <c r="AJ8" s="3"/>
      <c r="AK8" s="3"/>
      <c r="AL8" s="4"/>
      <c r="AM8" s="4"/>
      <c r="AN8" s="4"/>
      <c r="AO8" s="4"/>
      <c r="AP8" s="4"/>
      <c r="AQ8" s="4"/>
      <c r="AR8" s="4"/>
      <c r="AS8" s="4"/>
      <c r="AT8" s="4"/>
      <c r="AU8" s="4"/>
      <c r="AV8" s="4"/>
      <c r="AW8" s="4"/>
      <c r="AX8" s="4"/>
      <c r="AY8" s="4"/>
    </row>
    <row r="9" spans="1:51" ht="15" x14ac:dyDescent="0.2">
      <c r="A9" s="1" t="s">
        <v>168</v>
      </c>
      <c r="B9" s="8" t="s">
        <v>5</v>
      </c>
      <c r="C9" s="8" t="s">
        <v>6</v>
      </c>
      <c r="D9" s="9" t="s">
        <v>7</v>
      </c>
      <c r="E9" s="8" t="s">
        <v>8</v>
      </c>
      <c r="F9" s="31"/>
      <c r="G9" s="1" t="s">
        <v>173</v>
      </c>
      <c r="H9" s="8" t="s">
        <v>5</v>
      </c>
      <c r="I9" s="8" t="s">
        <v>6</v>
      </c>
      <c r="J9" s="9" t="s">
        <v>7</v>
      </c>
      <c r="K9" s="8" t="s">
        <v>8</v>
      </c>
      <c r="L9" s="3"/>
      <c r="M9" s="1" t="s">
        <v>294</v>
      </c>
      <c r="N9" s="8" t="s">
        <v>5</v>
      </c>
      <c r="O9" s="8" t="s">
        <v>6</v>
      </c>
      <c r="P9" s="9" t="s">
        <v>7</v>
      </c>
      <c r="Q9" s="8" t="s">
        <v>8</v>
      </c>
      <c r="R9" s="8"/>
      <c r="S9" s="1" t="s">
        <v>176</v>
      </c>
      <c r="T9" s="8" t="s">
        <v>5</v>
      </c>
      <c r="U9" s="8" t="s">
        <v>6</v>
      </c>
      <c r="V9" s="9" t="s">
        <v>7</v>
      </c>
      <c r="W9" s="8" t="s">
        <v>8</v>
      </c>
      <c r="X9" s="8"/>
      <c r="Y9" s="8"/>
      <c r="Z9" s="8"/>
      <c r="AA9" s="8"/>
      <c r="AB9" s="8"/>
      <c r="AC9" s="8"/>
      <c r="AD9" s="8"/>
      <c r="AE9" s="8"/>
      <c r="AF9" s="8"/>
      <c r="AG9" s="8"/>
      <c r="AH9" s="8"/>
      <c r="AI9" s="8"/>
      <c r="AJ9" s="8"/>
      <c r="AK9" s="8"/>
      <c r="AL9" s="4"/>
      <c r="AM9" s="4"/>
      <c r="AN9" s="4"/>
      <c r="AO9" s="4"/>
      <c r="AP9" s="4"/>
      <c r="AQ9" s="4"/>
      <c r="AR9" s="4"/>
      <c r="AS9" s="4"/>
      <c r="AT9" s="4"/>
      <c r="AU9" s="4"/>
      <c r="AV9" s="4"/>
      <c r="AW9" s="4"/>
      <c r="AX9" s="4"/>
      <c r="AY9" s="4"/>
    </row>
    <row r="10" spans="1:51" ht="14" x14ac:dyDescent="0.2">
      <c r="A10" s="1"/>
      <c r="B10" s="8"/>
      <c r="C10" s="8"/>
      <c r="D10" s="32">
        <f>SUM('Feb 24'!S13)+('Mar 24'!T13)+('Apr 24'!T13)+('May 24'!T13)+('Jun 24'!T13)+('Jul 24'!T13)+('Aug 24'!T13)+('Sep 24'!T13)+('Oct 24'!T13)+('Nov 24'!T13)+('Dec 24'!T13)</f>
        <v>20948.54</v>
      </c>
      <c r="E10" s="8"/>
      <c r="F10" s="31"/>
      <c r="G10" s="1"/>
      <c r="H10" s="8"/>
      <c r="I10" s="8"/>
      <c r="J10" s="32">
        <f>'Jan 25'!T13+'Feb 25'!T13+'Mar 25'!T13+'April 25'!T13+'May 25'!T13+'June 25'!T13+'July 25'!T13+'Aug 25'!T13+'Sep 25'!T13+'Oct 25'!T13+'Nov 25'!T13+'Dec 25'!T13</f>
        <v>22751.599999999999</v>
      </c>
      <c r="K10" s="8"/>
      <c r="L10" s="3"/>
      <c r="M10" s="1"/>
      <c r="N10" s="8"/>
      <c r="O10" s="8"/>
      <c r="P10" s="32">
        <f>SUM('Jan - 26'!T13, 'Feb - 26'!T13, 'Mar - 26'!T13)</f>
        <v>5595.3580000000002</v>
      </c>
      <c r="Q10" s="8"/>
      <c r="R10" s="8"/>
      <c r="S10" s="1"/>
      <c r="T10" s="8"/>
      <c r="U10" s="8"/>
      <c r="V10" s="32">
        <f>SUM(D10, J10,P10)</f>
        <v>49295.498</v>
      </c>
      <c r="W10" s="8"/>
      <c r="X10" s="8"/>
      <c r="Y10" s="8"/>
      <c r="Z10" s="8"/>
      <c r="AA10" s="8"/>
      <c r="AB10" s="8"/>
      <c r="AC10" s="8"/>
      <c r="AD10" s="8"/>
      <c r="AE10" s="8"/>
      <c r="AF10" s="8"/>
      <c r="AG10" s="8"/>
      <c r="AH10" s="8"/>
      <c r="AI10" s="8"/>
      <c r="AJ10" s="8"/>
      <c r="AK10" s="8"/>
      <c r="AL10" s="4"/>
      <c r="AM10" s="4"/>
      <c r="AN10" s="4"/>
      <c r="AO10" s="4"/>
      <c r="AP10" s="4"/>
      <c r="AQ10" s="4"/>
      <c r="AR10" s="4"/>
      <c r="AS10" s="4"/>
      <c r="AT10" s="4"/>
      <c r="AU10" s="4"/>
      <c r="AV10" s="4"/>
      <c r="AW10" s="4"/>
      <c r="AX10" s="4"/>
      <c r="AY10" s="4"/>
    </row>
    <row r="11" spans="1:51" ht="14" x14ac:dyDescent="0.2">
      <c r="A11" s="1"/>
      <c r="B11" s="8"/>
      <c r="C11" s="8"/>
      <c r="D11" s="32"/>
      <c r="E11" s="8"/>
      <c r="F11" s="31"/>
      <c r="G11" s="1"/>
      <c r="H11" s="8"/>
      <c r="I11" s="8"/>
      <c r="J11" s="32"/>
      <c r="K11" s="8"/>
      <c r="L11" s="3"/>
      <c r="M11" s="1"/>
      <c r="N11" s="8"/>
      <c r="O11" s="8"/>
      <c r="P11" s="32"/>
      <c r="Q11" s="8"/>
      <c r="R11" s="8"/>
      <c r="S11" s="1"/>
      <c r="T11" s="8"/>
      <c r="U11" s="8"/>
      <c r="V11" s="32"/>
      <c r="W11" s="8"/>
      <c r="X11" s="8"/>
      <c r="Y11" s="8"/>
      <c r="Z11" s="8"/>
      <c r="AA11" s="8"/>
      <c r="AB11" s="8"/>
      <c r="AC11" s="8"/>
      <c r="AD11" s="8"/>
      <c r="AE11" s="8"/>
      <c r="AF11" s="8"/>
      <c r="AG11" s="8"/>
      <c r="AH11" s="8"/>
      <c r="AI11" s="8"/>
      <c r="AJ11" s="8"/>
      <c r="AK11" s="8"/>
      <c r="AL11" s="4"/>
      <c r="AM11" s="4"/>
      <c r="AN11" s="4"/>
      <c r="AO11" s="4"/>
      <c r="AP11" s="4"/>
      <c r="AQ11" s="4"/>
      <c r="AR11" s="4"/>
      <c r="AS11" s="4"/>
      <c r="AT11" s="4"/>
      <c r="AU11" s="4"/>
      <c r="AV11" s="4"/>
      <c r="AW11" s="4"/>
      <c r="AX11" s="4"/>
      <c r="AY11" s="4"/>
    </row>
    <row r="12" spans="1:51" ht="14" x14ac:dyDescent="0.2">
      <c r="A12" s="72" t="s">
        <v>264</v>
      </c>
      <c r="B12" s="8"/>
      <c r="C12" s="8"/>
      <c r="D12" s="73">
        <f>SUM('Feb 24'!C13:H13,'Feb 24'!J13)+SUM('Mar 24'!C13:H13,'Mar 24'!J13)+SUM('Apr 24'!C13:H13,'Apr 24'!J13)+SUM('May 24'!C13:H13,'May 24'!J13)+SUM('Jun 24'!C13:H13,'Jun 24'!J13)+SUM('Jul 24'!C13:H13,'Jul 24'!J13)+SUM('Aug 24'!C13:H13,'Aug 24'!J13)+SUM('Sep 24'!C13:H13,'Sep 24'!J13)+SUM('Oct 24'!C13:H13,'Oct 24'!J13)+SUM('Nov 24'!C13:H13,'Nov 24'!J13)+SUM('Dec 24'!C13:H13,'Dec 24'!J13)</f>
        <v>6781.0199999999986</v>
      </c>
      <c r="E12" s="8"/>
      <c r="F12" s="31"/>
      <c r="G12" s="72" t="s">
        <v>264</v>
      </c>
      <c r="H12" s="8"/>
      <c r="I12" s="8"/>
      <c r="J12" s="73">
        <f>SUM('Jan 25'!C13,'Jan 25'!D13,'Jan 25'!E13,'Jan 25'!F13,'Jan 25'!G13,'Jan 25'!H13,'Jan 25'!J13)+
SUM('Feb 25'!C13,'Feb 25'!D13,'Feb 25'!E13,'Feb 25'!F13,'Feb 25'!G13,'Feb 25'!H13,'Feb 25'!J13)+
SUM('Mar 25'!C13,'Mar 25'!D13,'Mar 25'!E13,'Mar 25'!F13,'Mar 25'!G13,'Mar 25'!H13,'Mar 25'!J13)+
SUM('April 25'!C13,'April 25'!D13,'April 25'!E13,'April 25'!F13,'April 25'!G13,'April 25'!H13,'April 25'!J13)+SUM('May 25'!C13,'May 25'!D13,'May 25'!E13,'May 25'!F13,'May 25'!G13,'May 25'!H13,'May 25'!J13)+SUM('June 25'!C13,'June 25'!D13,'June 25'!F13,'June 25'!G13,'June 25'!H13,'June 25'!J13)+SUM('July 25'!C13,'July 25'!D13,'July 25'!E13,'July 25'!F13,'July 25'!G13,'July 25'!H13,'July 25'!J13)+SUM('Aug 25'!C13,'Aug 25'!D13,'Aug 25'!E13,'Aug 25'!F13,'Aug 25'!G13,'Aug 25'!H13,'Aug 25'!J13)+SUM('Sep 25'!C13,'Sep 25'!D13,'Sep 25'!F13,'Sep 25'!G13,'Sep 25'!H13,'Sep 25'!J13)+SUM('Oct 25'!C13,'Oct 25'!D13,'Oct 25'!E13,'Oct 25'!F13,'Oct 25'!G13,'Oct 25'!H13,'Oct 25'!J13)+SUM('Nov 25'!C13,'Nov 25'!D13,'Nov 25'!F13,'Nov 25'!G13,'Nov 25'!H13,'Nov 25'!J13)+SUM('Dec 25'!C13,'Dec 25'!D13,'Dec 25'!E13,'Dec 25'!F13,'Dec 25'!G13,'Dec 25'!H13,'Dec 25'!J13)</f>
        <v>4650.41</v>
      </c>
      <c r="K12" s="8"/>
      <c r="L12" s="3"/>
      <c r="M12" s="72" t="s">
        <v>264</v>
      </c>
      <c r="N12" s="8"/>
      <c r="O12" s="8"/>
      <c r="P12" s="74">
        <f>SUM('Jan - 26'!C13,'Jan - 26'!D13,'Jan - 26'!E13,'Jan - 26'!F13,'Jan - 26'!G13,'Jan - 26'!H13,'Jan - 26'!J13)+SUM('Feb - 26'!C13,'Feb - 26'!D13,'Feb - 26'!E13,'Feb - 26'!F13,'Feb - 26'!G13,'Feb - 26'!H13,'Feb - 26'!J13)+SUM('Mar - 26'!C13,'Mar - 26'!D13,'Mar - 26'!F13,'Mar - 26'!G13,'Mar - 26'!J13)</f>
        <v>1123.2379999999998</v>
      </c>
      <c r="Q12" s="8"/>
      <c r="R12" s="8"/>
      <c r="S12" s="72" t="s">
        <v>264</v>
      </c>
      <c r="T12" s="8"/>
      <c r="U12" s="8"/>
      <c r="V12" s="74">
        <f>SUM(D12, J12+P12)</f>
        <v>12554.667999999998</v>
      </c>
      <c r="W12" s="8"/>
      <c r="X12" s="8"/>
      <c r="Y12" s="8"/>
      <c r="Z12" s="8"/>
      <c r="AA12" s="8"/>
      <c r="AB12" s="8"/>
      <c r="AC12" s="8"/>
      <c r="AD12" s="8"/>
      <c r="AE12" s="8"/>
      <c r="AF12" s="8"/>
      <c r="AG12" s="8"/>
      <c r="AH12" s="8"/>
      <c r="AI12" s="8"/>
      <c r="AJ12" s="8"/>
      <c r="AK12" s="8"/>
      <c r="AL12" s="4"/>
      <c r="AM12" s="4"/>
      <c r="AN12" s="4"/>
      <c r="AO12" s="4"/>
      <c r="AP12" s="4"/>
      <c r="AQ12" s="4"/>
      <c r="AR12" s="4"/>
      <c r="AS12" s="4"/>
      <c r="AT12" s="4"/>
      <c r="AU12" s="4"/>
      <c r="AV12" s="4"/>
      <c r="AW12" s="4"/>
      <c r="AX12" s="4"/>
      <c r="AY12" s="4"/>
    </row>
    <row r="13" spans="1:51" ht="14" x14ac:dyDescent="0.2">
      <c r="A13" s="72" t="s">
        <v>242</v>
      </c>
      <c r="B13" s="8"/>
      <c r="C13" s="8"/>
      <c r="D13" s="32"/>
      <c r="E13" s="8"/>
      <c r="F13" s="31"/>
      <c r="H13" s="8"/>
      <c r="I13" s="8"/>
      <c r="J13" s="32"/>
      <c r="K13" s="8"/>
      <c r="L13" s="3"/>
      <c r="M13" s="1"/>
      <c r="N13" s="8"/>
      <c r="O13" s="8"/>
      <c r="P13" s="74"/>
      <c r="Q13" s="8"/>
      <c r="R13" s="8"/>
      <c r="S13" s="1"/>
      <c r="T13" s="8"/>
      <c r="U13" s="8"/>
      <c r="V13" s="74"/>
      <c r="W13" s="8"/>
      <c r="X13" s="8"/>
      <c r="Y13" s="8"/>
      <c r="Z13" s="8"/>
      <c r="AA13" s="8"/>
      <c r="AB13" s="8"/>
      <c r="AC13" s="8"/>
      <c r="AD13" s="8"/>
      <c r="AE13" s="8"/>
      <c r="AF13" s="8"/>
      <c r="AG13" s="8"/>
      <c r="AH13" s="8"/>
      <c r="AI13" s="8"/>
      <c r="AJ13" s="8"/>
      <c r="AK13" s="8"/>
      <c r="AL13" s="4"/>
      <c r="AM13" s="4"/>
      <c r="AN13" s="4"/>
      <c r="AO13" s="4"/>
      <c r="AP13" s="4"/>
      <c r="AQ13" s="4"/>
      <c r="AR13" s="4"/>
      <c r="AS13" s="4"/>
      <c r="AT13" s="4"/>
      <c r="AU13" s="4"/>
      <c r="AV13" s="4"/>
      <c r="AW13" s="4"/>
      <c r="AX13" s="4"/>
      <c r="AY13" s="4"/>
    </row>
    <row r="14" spans="1:51" ht="14" x14ac:dyDescent="0.2">
      <c r="A14" s="72"/>
      <c r="B14" s="8"/>
      <c r="C14" s="8"/>
      <c r="D14" s="32"/>
      <c r="E14" s="8"/>
      <c r="F14" s="31"/>
      <c r="G14" s="1"/>
      <c r="H14" s="8"/>
      <c r="I14" s="8"/>
      <c r="J14" s="32"/>
      <c r="K14" s="8"/>
      <c r="L14" s="3"/>
      <c r="M14" s="1"/>
      <c r="N14" s="8"/>
      <c r="O14" s="8"/>
      <c r="P14" s="74"/>
      <c r="Q14" s="8"/>
      <c r="R14" s="8"/>
      <c r="S14" s="1"/>
      <c r="T14" s="8"/>
      <c r="U14" s="8"/>
      <c r="V14" s="74"/>
      <c r="W14" s="8"/>
      <c r="X14" s="8"/>
      <c r="Y14" s="8"/>
      <c r="Z14" s="8"/>
      <c r="AA14" s="8"/>
      <c r="AB14" s="8"/>
      <c r="AC14" s="8"/>
      <c r="AD14" s="8"/>
      <c r="AE14" s="8"/>
      <c r="AF14" s="8"/>
      <c r="AG14" s="8"/>
      <c r="AH14" s="8"/>
      <c r="AI14" s="8"/>
      <c r="AJ14" s="8"/>
      <c r="AK14" s="8"/>
      <c r="AL14" s="4"/>
      <c r="AM14" s="4"/>
      <c r="AN14" s="4"/>
      <c r="AO14" s="4"/>
      <c r="AP14" s="4"/>
      <c r="AQ14" s="4"/>
      <c r="AR14" s="4"/>
      <c r="AS14" s="4"/>
      <c r="AT14" s="4"/>
      <c r="AU14" s="4"/>
      <c r="AV14" s="4"/>
      <c r="AW14" s="4"/>
      <c r="AX14" s="4"/>
      <c r="AY14" s="4"/>
    </row>
    <row r="15" spans="1:51" ht="14" x14ac:dyDescent="0.2">
      <c r="A15" s="72" t="s">
        <v>243</v>
      </c>
      <c r="B15" s="8"/>
      <c r="C15" s="8"/>
      <c r="D15" s="74">
        <f>SUM('Feb 24'!I13,'Feb 24'!K13,'Feb 24'!L13,'Feb 24'!M13,'Feb 24'!N13,'Feb 24'!O13,'Feb 24'!P13,'Feb 24'!Q13,'Feb 24'!R13)+SUM('Mar 24'!I13,'Mar 24'!K13,'Mar 24'!L13,'Mar 24'!M13,'Mar 24'!N13,'Mar 24'!O13,'Mar 24'!P13,'Mar 24'!Q13,'Mar 24'!R13,'Mar 24'!S13)+SUM('Apr 24'!I13,'Apr 24'!K13,'Apr 24'!L13,'Apr 24'!M13,'Apr 24'!N13,'Apr 24'!O13,'Apr 24'!P13,'Apr 24'!Q13,'Apr 24'!R13,'Apr 24'!S13)+SUM('May 24'!I13,'May 24'!K13,'May 24'!L13,'May 24'!M13,'May 24'!N13,'May 24'!O13,'May 24'!P13,'May 24'!Q13,'May 24'!R13,'May 24'!S13)+SUM('Jun 24'!I13,'Jun 24'!K13,'Jun 24'!L13,'Jun 24'!M13,'Jun 24'!N13,'Jun 24'!O13,'Jun 24'!P13,'Jun 24'!Q13,'Jun 24'!R13,'Jun 24'!S13)+SUM('Jul 24'!I13,'Jul 24'!K13,'Jul 24'!L13,'Jul 24'!M13,'Jul 24'!N13,'Jul 24'!O13,'Jul 24'!P13,'Jul 24'!Q13,'Jul 24'!R13,'Jul 24'!S13)+SUM('Aug 24'!I13,'Aug 24'!K13,'Aug 24'!L13,'Aug 24'!M13,'Aug 24'!N13,'Aug 24'!O13,'Aug 24'!P13,'Aug 24'!Q13,'Aug 24'!R13,'Aug 24'!S13)+SUM('Sep 24'!I13,'Sep 24'!K13,'Sep 24'!L13,'Sep 24'!M13,'Sep 24'!N13,'Sep 24'!O13,'Sep 24'!P13,'Sep 24'!Q13,'Sep 24'!R13,'Sep 24'!S13)+SUM('Oct 24'!I13,'Oct 24'!K13,'Oct 24'!L13,'Oct 24'!M13,'Oct 24'!N13,'Oct 24'!O13,'Oct 24'!P13,'Oct 24'!Q13,'Oct 24'!R13,'Oct 24'!S13)+SUM('Nov 24'!I13,'Nov 24'!K13,'Nov 24'!L13,'Nov 24'!M13,'Nov 24'!N13,'Nov 24'!O13,'Nov 24'!P13,'Nov 24'!Q13,'Nov 24'!R13,'Nov 24'!S13)+SUM('Dec 24'!I13,'Dec 24'!K13,'Dec 24'!L13,'Dec 24'!M13,'Dec 24'!N13,'Dec 24'!O13,'Dec 24'!P13,'Dec 24'!Q13,'Dec 24'!R13,'Dec 24'!S13)</f>
        <v>14167.52</v>
      </c>
      <c r="E15" s="8"/>
      <c r="F15" s="31"/>
      <c r="G15" s="72" t="s">
        <v>243</v>
      </c>
      <c r="H15" s="8"/>
      <c r="I15" s="8"/>
      <c r="J15" s="73">
        <f>SUM('Jan 25'!I13,'Jan 25'!K13,'Jan 25'!L13,'Jan 25'!M13,'Jan 25'!N13,'Jan 25'!O13,'Jan 25'!P13,'Jan 25'!Q13,'Jan 25'!R13,'Jan 25'!S13)+
SUM('Feb 25'!I13,'Feb 25'!K13,'Feb 25'!L13,'Feb 25'!M13,'Feb 25'!N13,'Feb 25'!O13,'Feb 25'!P13,'Feb 25'!Q13,'Feb 25'!R13,'Feb 25'!S13)+
SUM('Mar 25'!I13,'Mar 25'!K13,'Mar 25'!L13,'Mar 25'!M13,'Mar 25'!N13,'Mar 25'!O13,'Mar 25'!P13,'Mar 25'!Q13,'Mar 25'!R13,'Mar 25'!S13)+
SUM('April 25'!I13,'April 25'!K13,'April 25'!L13,'April 25'!M13,'April 25'!N13,'April 25'!O13,'April 25'!P13,'April 25'!Q13,'April 25'!R13,'April 25'!S13)+SUM('May 25'!I13,'May 25'!K13,'May 25'!L13,'May 25'!M13,'May 25'!N13,'May 25'!O13,'May 25'!P13,'May 25'!Q13,'May 25'!S13)+SUM('June 25'!I13,'June 25'!K13,'June 25'!M13,'June 25'!N13,'June 25'!O13,'June 25'!P13,'June 25'!R13,'June 25'!S13)+SUM('July 25'!I13,'July 25'!K13,'July 25'!L13,'July 25'!M13,'July 25'!N13,'July 25'!O13,'July 25'!P13,'July 25'!Q13,'July 25'!R13,'July 25'!S13)+SUM('Aug 25'!I13,'Aug 25'!K13,'Aug 25'!L13,'Aug 25'!M13,'Aug 25'!N13,'Aug 25'!O13,'Aug 25'!P13,'Aug 25'!Q13,'Aug 25'!R13,'Aug 25'!S13)+SUM('Sep 25'!I13,'Sep 25'!K13,'Sep 25'!L13,'Sep 25'!M13,'Sep 25'!N13,'Sep 25'!O13,'Sep 25'!P13,'Sep 25'!R13,'Sep 25'!S13)+SUM('Oct 25'!I13,'Oct 25'!K13,'Oct 25'!L13,'Oct 25'!M13,'Oct 25'!N13,'Oct 25'!O13,'Oct 25'!P13,'Oct 25'!Q13,'Oct 25'!R13,'Oct 25'!S13)+SUM('Nov 25'!I13,'Nov 25'!K13,'Nov 25'!L13,'Nov 25'!M13,'Nov 25'!N13,'Nov 25'!O13,'Nov 25'!P13,'Nov 25'!R13)+SUM('Dec 25'!I13,'Dec 25'!K13,'Dec 25'!L13,'Dec 25'!M13,'Dec 25'!N13,'Dec 25'!O13,'Dec 25'!P13,'Dec 25'!Q13,'Dec 25'!R13,'Dec 25'!S13)</f>
        <v>18101.189999999995</v>
      </c>
      <c r="K15" s="8"/>
      <c r="L15" s="3"/>
      <c r="M15" s="72" t="s">
        <v>243</v>
      </c>
      <c r="N15" s="8"/>
      <c r="O15" s="8"/>
      <c r="P15" s="74">
        <f>SUM('Jan - 26'!I13,'Jan - 26'!K13,'Jan - 26'!L13,'Jan - 26'!M13,'Jan - 26'!N13,'Jan - 26'!O13,'Jan - 26'!P13,'Jan - 26'!Q13,'Jan - 26'!R13,'Jan - 26'!S13)+SUM('Feb - 26'!I13,'Feb - 26'!K13,'Feb - 26'!L13,'Feb - 26'!M13,'Feb - 26'!N13,'Feb - 26'!O13,'Feb - 26'!P13,'Feb - 26'!Q13,'Feb - 26'!R13,'Feb - 26'!S13)+SUM('Mar - 26'!I13,'Mar - 26'!K13,'Mar - 26'!L13,'Mar - 26'!M13,'Mar - 26'!N13,'Mar - 26'!O13,'Mar - 26'!P13,'Mar - 26'!R13,'Mar - 26'!S13)</f>
        <v>4472.12</v>
      </c>
      <c r="Q15" s="8"/>
      <c r="R15" s="8"/>
      <c r="S15" s="72" t="s">
        <v>243</v>
      </c>
      <c r="T15" s="8"/>
      <c r="U15" s="8"/>
      <c r="V15" s="74">
        <f>SUM(D15, J15,P15)</f>
        <v>36740.829999999994</v>
      </c>
      <c r="W15" s="8"/>
      <c r="X15" s="8"/>
      <c r="Y15" s="8"/>
      <c r="Z15" s="8"/>
      <c r="AA15" s="8"/>
      <c r="AB15" s="8"/>
      <c r="AC15" s="8"/>
      <c r="AD15" s="8"/>
      <c r="AE15" s="8"/>
      <c r="AF15" s="8"/>
      <c r="AG15" s="8"/>
      <c r="AH15" s="8"/>
      <c r="AI15" s="8"/>
      <c r="AJ15" s="8"/>
      <c r="AK15" s="8"/>
      <c r="AL15" s="4"/>
      <c r="AM15" s="4"/>
      <c r="AN15" s="4"/>
      <c r="AO15" s="4"/>
      <c r="AP15" s="4"/>
      <c r="AQ15" s="4"/>
      <c r="AR15" s="4"/>
      <c r="AS15" s="4"/>
      <c r="AT15" s="4"/>
      <c r="AU15" s="4"/>
      <c r="AV15" s="4"/>
      <c r="AW15" s="4"/>
      <c r="AX15" s="4"/>
      <c r="AY15" s="4"/>
    </row>
    <row r="16" spans="1:51" ht="14" x14ac:dyDescent="0.2">
      <c r="A16" s="72" t="s">
        <v>244</v>
      </c>
      <c r="B16" s="8"/>
      <c r="C16" s="8"/>
      <c r="D16" s="32"/>
      <c r="E16" s="8"/>
      <c r="F16" s="31"/>
      <c r="G16" s="1"/>
      <c r="H16" s="8"/>
      <c r="I16" s="8"/>
      <c r="J16" s="32"/>
      <c r="K16" s="8"/>
      <c r="L16" s="3"/>
      <c r="M16" s="1"/>
      <c r="N16" s="8"/>
      <c r="O16" s="8"/>
      <c r="P16" s="32"/>
      <c r="Q16" s="8"/>
      <c r="R16" s="8"/>
      <c r="S16" s="1"/>
      <c r="T16" s="8"/>
      <c r="U16" s="8"/>
      <c r="V16" s="32"/>
      <c r="W16" s="8"/>
      <c r="X16" s="8"/>
      <c r="Y16" s="8"/>
      <c r="Z16" s="8"/>
      <c r="AA16" s="8"/>
      <c r="AB16" s="8"/>
      <c r="AC16" s="8"/>
      <c r="AD16" s="8"/>
      <c r="AE16" s="8"/>
      <c r="AF16" s="8"/>
      <c r="AG16" s="8"/>
      <c r="AH16" s="8"/>
      <c r="AI16" s="8"/>
      <c r="AJ16" s="8"/>
      <c r="AK16" s="8"/>
      <c r="AL16" s="4"/>
      <c r="AM16" s="4"/>
      <c r="AN16" s="4"/>
      <c r="AO16" s="4"/>
      <c r="AP16" s="4"/>
      <c r="AQ16" s="4"/>
      <c r="AR16" s="4"/>
      <c r="AS16" s="4"/>
      <c r="AT16" s="4"/>
      <c r="AU16" s="4"/>
      <c r="AV16" s="4"/>
      <c r="AW16" s="4"/>
      <c r="AX16" s="4"/>
      <c r="AY16" s="4"/>
    </row>
    <row r="17" spans="1:51" ht="14" x14ac:dyDescent="0.2">
      <c r="A17" s="1"/>
      <c r="B17" s="3"/>
      <c r="C17" s="75" t="s">
        <v>126</v>
      </c>
      <c r="D17" s="76">
        <f>SUM(D12,D15)-D10</f>
        <v>0</v>
      </c>
      <c r="E17" s="31"/>
      <c r="F17" s="31"/>
      <c r="G17" s="1"/>
      <c r="H17" s="3"/>
      <c r="I17" s="75" t="s">
        <v>126</v>
      </c>
      <c r="J17" s="31">
        <f>SUM(J15,J12)-J10</f>
        <v>0</v>
      </c>
      <c r="K17" s="31"/>
      <c r="L17" s="3"/>
      <c r="M17" s="1"/>
      <c r="N17" s="3"/>
      <c r="O17" s="75" t="s">
        <v>126</v>
      </c>
      <c r="P17" s="31">
        <f>SUM(P15+P12)-P10</f>
        <v>0</v>
      </c>
      <c r="Q17" s="31"/>
      <c r="R17" s="31"/>
      <c r="S17" s="1"/>
      <c r="T17" s="3"/>
      <c r="U17" s="75" t="s">
        <v>126</v>
      </c>
      <c r="V17" s="31">
        <f>SUM(V15+V12)-V10</f>
        <v>0</v>
      </c>
      <c r="W17" s="31"/>
      <c r="X17" s="31"/>
      <c r="Y17" s="31"/>
      <c r="Z17" s="31"/>
      <c r="AA17" s="31"/>
      <c r="AB17" s="31"/>
      <c r="AC17" s="31"/>
      <c r="AD17" s="31"/>
      <c r="AE17" s="31"/>
      <c r="AF17" s="31"/>
      <c r="AG17" s="31"/>
      <c r="AH17" s="31"/>
      <c r="AI17" s="31"/>
      <c r="AJ17" s="31"/>
      <c r="AK17" s="31"/>
      <c r="AL17" s="4"/>
      <c r="AM17" s="4"/>
      <c r="AN17" s="4"/>
      <c r="AO17" s="4"/>
      <c r="AP17" s="4"/>
      <c r="AQ17" s="4"/>
      <c r="AR17" s="4"/>
      <c r="AS17" s="4"/>
      <c r="AT17" s="4"/>
      <c r="AU17" s="4"/>
      <c r="AV17" s="4"/>
      <c r="AW17" s="4"/>
      <c r="AX17" s="4"/>
      <c r="AY17" s="4"/>
    </row>
    <row r="18" spans="1:51" ht="14"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4"/>
      <c r="AM18" s="4"/>
      <c r="AN18" s="4"/>
      <c r="AO18" s="4"/>
      <c r="AP18" s="4"/>
      <c r="AQ18" s="4"/>
      <c r="AR18" s="4"/>
      <c r="AS18" s="4"/>
      <c r="AT18" s="4"/>
      <c r="AU18" s="4"/>
      <c r="AV18" s="4"/>
      <c r="AW18" s="4"/>
      <c r="AX18" s="4"/>
      <c r="AY18" s="4"/>
    </row>
    <row r="19" spans="1:51" ht="7.5" customHeight="1" x14ac:dyDescent="0.2">
      <c r="A19" s="7"/>
      <c r="B19" s="7"/>
      <c r="C19" s="7"/>
      <c r="D19" s="7"/>
      <c r="E19" s="7"/>
      <c r="F19" s="3"/>
      <c r="G19" s="7"/>
      <c r="H19" s="7"/>
      <c r="I19" s="7"/>
      <c r="J19" s="7"/>
      <c r="K19" s="7"/>
      <c r="L19" s="3"/>
      <c r="M19" s="7"/>
      <c r="N19" s="7"/>
      <c r="O19" s="7"/>
      <c r="P19" s="7"/>
      <c r="Q19" s="7"/>
      <c r="R19" s="3"/>
      <c r="S19" s="7"/>
      <c r="T19" s="7"/>
      <c r="U19" s="7"/>
      <c r="V19" s="7"/>
      <c r="W19" s="7"/>
      <c r="X19" s="3"/>
      <c r="Y19" s="3"/>
      <c r="Z19" s="3"/>
      <c r="AA19" s="3"/>
      <c r="AB19" s="3"/>
      <c r="AC19" s="3"/>
      <c r="AD19" s="3"/>
      <c r="AE19" s="3"/>
      <c r="AF19" s="3"/>
      <c r="AG19" s="3"/>
      <c r="AH19" s="3"/>
      <c r="AI19" s="3"/>
      <c r="AJ19" s="3"/>
      <c r="AK19" s="3"/>
      <c r="AL19" s="4"/>
      <c r="AM19" s="4"/>
      <c r="AN19" s="4"/>
      <c r="AO19" s="4"/>
      <c r="AP19" s="4"/>
      <c r="AQ19" s="4"/>
      <c r="AR19" s="4"/>
      <c r="AS19" s="4"/>
      <c r="AT19" s="4"/>
      <c r="AU19" s="4"/>
      <c r="AV19" s="4"/>
      <c r="AW19" s="4"/>
      <c r="AX19" s="4"/>
      <c r="AY19" s="4"/>
    </row>
    <row r="20" spans="1:51" ht="15" x14ac:dyDescent="0.2">
      <c r="A20" s="1" t="s">
        <v>169</v>
      </c>
      <c r="B20" s="8" t="s">
        <v>5</v>
      </c>
      <c r="C20" s="8" t="s">
        <v>6</v>
      </c>
      <c r="D20" s="9" t="s">
        <v>7</v>
      </c>
      <c r="E20" s="8" t="s">
        <v>8</v>
      </c>
      <c r="F20" s="8"/>
      <c r="G20" s="1" t="s">
        <v>174</v>
      </c>
      <c r="H20" s="8" t="s">
        <v>5</v>
      </c>
      <c r="I20" s="8" t="s">
        <v>6</v>
      </c>
      <c r="J20" s="9" t="s">
        <v>7</v>
      </c>
      <c r="K20" s="8" t="s">
        <v>8</v>
      </c>
      <c r="L20" s="8"/>
      <c r="M20" s="1" t="s">
        <v>296</v>
      </c>
      <c r="N20" s="8" t="s">
        <v>5</v>
      </c>
      <c r="O20" s="8" t="s">
        <v>6</v>
      </c>
      <c r="P20" s="9" t="s">
        <v>7</v>
      </c>
      <c r="Q20" s="8" t="s">
        <v>8</v>
      </c>
      <c r="R20" s="8"/>
      <c r="S20" s="1" t="s">
        <v>177</v>
      </c>
      <c r="T20" s="8" t="s">
        <v>5</v>
      </c>
      <c r="U20" s="8" t="s">
        <v>6</v>
      </c>
      <c r="V20" s="9" t="s">
        <v>7</v>
      </c>
      <c r="W20" s="8" t="s">
        <v>8</v>
      </c>
      <c r="X20" s="8"/>
      <c r="Y20" s="8"/>
      <c r="Z20" s="8"/>
      <c r="AA20" s="8"/>
      <c r="AB20" s="8"/>
      <c r="AC20" s="8"/>
      <c r="AD20" s="8"/>
      <c r="AE20" s="8"/>
      <c r="AF20" s="8"/>
      <c r="AG20" s="8"/>
      <c r="AH20" s="8"/>
      <c r="AI20" s="8"/>
      <c r="AJ20" s="8"/>
      <c r="AK20" s="8"/>
      <c r="AL20" s="4"/>
      <c r="AM20" s="4"/>
      <c r="AN20" s="4"/>
      <c r="AO20" s="4"/>
      <c r="AP20" s="4"/>
      <c r="AQ20" s="4"/>
      <c r="AR20" s="4"/>
      <c r="AS20" s="4"/>
      <c r="AT20" s="4"/>
      <c r="AU20" s="4"/>
      <c r="AV20" s="4"/>
      <c r="AW20" s="4"/>
      <c r="AX20" s="4"/>
      <c r="AY20" s="4"/>
    </row>
    <row r="21" spans="1:51" ht="14" x14ac:dyDescent="0.2">
      <c r="A21" s="3" t="s">
        <v>9</v>
      </c>
      <c r="B21" s="3" t="s">
        <v>129</v>
      </c>
      <c r="C21" s="3"/>
      <c r="D21" s="31">
        <f>'Feb 24'!J17+'Mar 24'!J17+'Apr 24'!J17+'May 24'!J17+'Jun 24'!J17+'Jul 24'!J17+'Aug 24'!J17+'Sep 24'!J17+'Oct 24'!J17+'Nov 24'!J17+'Dec 24'!J17</f>
        <v>511.58</v>
      </c>
      <c r="E21" s="3"/>
      <c r="F21" s="3"/>
      <c r="G21" s="3" t="s">
        <v>9</v>
      </c>
      <c r="H21" s="3" t="s">
        <v>129</v>
      </c>
      <c r="I21" s="3"/>
      <c r="J21" s="31">
        <f>'Jan 25'!J17+'Feb 25'!J17+'Mar 25'!J17+'April 25'!J17+'May 25'!J17+'June 25'!J17+'July 25'!J17+'Aug 25'!J17+'Sep 25'!J17+'Oct 25'!J17+'Nov 25'!J17+'Dec 25'!J17</f>
        <v>0</v>
      </c>
      <c r="K21" s="3"/>
      <c r="L21" s="3"/>
      <c r="M21" s="3" t="s">
        <v>9</v>
      </c>
      <c r="N21" s="3" t="s">
        <v>129</v>
      </c>
      <c r="O21" s="3"/>
      <c r="P21" s="31">
        <f>SUM('Jan - 26'!J17, 'Feb - 26'!J17,'Mar - 26'!J17)</f>
        <v>0</v>
      </c>
      <c r="Q21" s="3"/>
      <c r="R21" s="3"/>
      <c r="S21" s="3" t="s">
        <v>9</v>
      </c>
      <c r="T21" s="3" t="s">
        <v>129</v>
      </c>
      <c r="U21" s="3"/>
      <c r="V21" s="31">
        <f>SUM(D21,J21,P21)</f>
        <v>511.58</v>
      </c>
      <c r="W21" s="3"/>
      <c r="X21" s="3"/>
      <c r="Y21" s="3"/>
      <c r="Z21" s="3"/>
      <c r="AA21" s="3"/>
      <c r="AB21" s="3"/>
      <c r="AC21" s="3"/>
      <c r="AD21" s="3"/>
      <c r="AE21" s="3"/>
      <c r="AF21" s="3"/>
      <c r="AG21" s="3"/>
      <c r="AH21" s="3"/>
      <c r="AI21" s="3"/>
      <c r="AJ21" s="3"/>
      <c r="AK21" s="3"/>
      <c r="AL21" s="4"/>
      <c r="AM21" s="4"/>
      <c r="AN21" s="4"/>
      <c r="AO21" s="4"/>
      <c r="AP21" s="4"/>
      <c r="AQ21" s="4"/>
      <c r="AR21" s="4"/>
      <c r="AS21" s="4"/>
      <c r="AT21" s="4"/>
      <c r="AU21" s="4"/>
      <c r="AV21" s="4"/>
      <c r="AW21" s="4"/>
      <c r="AX21" s="4"/>
      <c r="AY21" s="4"/>
    </row>
    <row r="22" spans="1:51" ht="15" x14ac:dyDescent="0.2">
      <c r="A22" s="3" t="s">
        <v>10</v>
      </c>
      <c r="B22" s="36" t="s">
        <v>130</v>
      </c>
      <c r="C22" s="3"/>
      <c r="D22" s="31">
        <f>'Feb 24'!J18+'Mar 24'!J18+'Apr 24'!J18+'May 24'!J18+'Jun 24'!J18+'Jul 24'!J18+'Aug 24'!J18+'Sep 24'!J18+'Oct 24'!J18+'Nov 24'!J18+'Dec 24'!J18</f>
        <v>2038.8699999999997</v>
      </c>
      <c r="E22" s="3"/>
      <c r="F22" s="3"/>
      <c r="G22" s="3" t="s">
        <v>10</v>
      </c>
      <c r="H22" s="36" t="s">
        <v>130</v>
      </c>
      <c r="I22" s="3"/>
      <c r="J22" s="31">
        <f>'Jan 25'!J18+'Feb 25'!J18+'Mar 25'!J18+'April 25'!J18+'May 25'!J18+'June 25'!J18+'July 25'!J18+'Aug 25'!J18+'Sep 25'!J18+'Oct 25'!J18+'Nov 25'!J18+'Dec 25'!J18</f>
        <v>2693.56</v>
      </c>
      <c r="K22" s="3"/>
      <c r="L22" s="3"/>
      <c r="M22" s="3" t="s">
        <v>10</v>
      </c>
      <c r="N22" s="36" t="s">
        <v>130</v>
      </c>
      <c r="O22" s="3"/>
      <c r="P22" s="31">
        <f>SUM('Jan - 26'!J18, 'Feb - 26'!J18,'Mar - 26'!J18)</f>
        <v>246.66000000000003</v>
      </c>
      <c r="Q22" s="3"/>
      <c r="R22" s="3"/>
      <c r="S22" s="3" t="s">
        <v>10</v>
      </c>
      <c r="T22" s="36" t="s">
        <v>130</v>
      </c>
      <c r="U22" s="3"/>
      <c r="V22" s="31">
        <f t="shared" ref="V22:V60" si="1">SUM(D22,J22,P22)</f>
        <v>4979.0899999999992</v>
      </c>
      <c r="W22" s="3"/>
      <c r="X22" s="3"/>
      <c r="Y22" s="3"/>
      <c r="Z22" s="3"/>
      <c r="AA22" s="3"/>
      <c r="AB22" s="3"/>
      <c r="AC22" s="3"/>
      <c r="AD22" s="3"/>
      <c r="AE22" s="3"/>
      <c r="AF22" s="3"/>
      <c r="AG22" s="3"/>
      <c r="AH22" s="3"/>
      <c r="AI22" s="3"/>
      <c r="AJ22" s="3"/>
      <c r="AK22" s="3"/>
      <c r="AL22" s="4"/>
      <c r="AM22" s="4"/>
      <c r="AN22" s="4"/>
      <c r="AO22" s="4"/>
      <c r="AP22" s="4"/>
      <c r="AQ22" s="4"/>
      <c r="AR22" s="4"/>
      <c r="AS22" s="4"/>
      <c r="AT22" s="4"/>
      <c r="AU22" s="4"/>
      <c r="AV22" s="4"/>
      <c r="AW22" s="4"/>
      <c r="AX22" s="4"/>
      <c r="AY22" s="4"/>
    </row>
    <row r="23" spans="1:51" ht="14" x14ac:dyDescent="0.2">
      <c r="A23" s="3" t="s">
        <v>287</v>
      </c>
      <c r="B23" s="36"/>
      <c r="C23" s="3"/>
      <c r="D23" s="31">
        <f>'Feb 24'!J19+'Mar 24'!J19+'Apr 24'!J19+'May 24'!J19+'Jun 24'!J19+'Jul 24'!J19+'Aug 24'!J19+'Sep 24'!J19+'Oct 24'!J19+'Nov 24'!J19+'Dec 24'!J19</f>
        <v>0</v>
      </c>
      <c r="E23" s="3"/>
      <c r="F23" s="3"/>
      <c r="G23" s="3" t="s">
        <v>287</v>
      </c>
      <c r="H23" s="36"/>
      <c r="I23" s="3"/>
      <c r="J23" s="31">
        <f>'Jan 25'!J19+'Feb 25'!J19+'Mar 25'!J19+'April 25'!J19+'May 25'!J19+'June 25'!J19+'July 25'!J19+'Aug 25'!J19+'Sep 25'!J19+'Oct 25'!J19+'Nov 25'!J19+'Dec 25'!J19</f>
        <v>65.33</v>
      </c>
      <c r="K23" s="3"/>
      <c r="L23" s="3"/>
      <c r="M23" s="3" t="s">
        <v>287</v>
      </c>
      <c r="N23" s="36"/>
      <c r="O23" s="3"/>
      <c r="P23" s="31">
        <f>SUM('Jan - 26'!J19, 'Feb - 26'!J19,'Mar - 26'!J19)</f>
        <v>0</v>
      </c>
      <c r="Q23" s="3"/>
      <c r="R23" s="3"/>
      <c r="S23" s="3" t="s">
        <v>287</v>
      </c>
      <c r="T23" s="36"/>
      <c r="U23" s="3"/>
      <c r="V23" s="31">
        <f t="shared" si="1"/>
        <v>65.33</v>
      </c>
      <c r="W23" s="3"/>
      <c r="X23" s="3"/>
      <c r="Y23" s="3"/>
      <c r="Z23" s="3"/>
      <c r="AA23" s="3"/>
      <c r="AB23" s="3"/>
      <c r="AC23" s="3"/>
      <c r="AD23" s="3"/>
      <c r="AE23" s="3"/>
      <c r="AF23" s="3"/>
      <c r="AG23" s="3"/>
      <c r="AH23" s="3"/>
      <c r="AI23" s="3"/>
      <c r="AJ23" s="3"/>
      <c r="AK23" s="3"/>
      <c r="AL23" s="4"/>
      <c r="AM23" s="4"/>
      <c r="AN23" s="4"/>
      <c r="AO23" s="4"/>
      <c r="AP23" s="4"/>
      <c r="AQ23" s="4"/>
      <c r="AR23" s="4"/>
      <c r="AS23" s="4"/>
      <c r="AT23" s="4"/>
      <c r="AU23" s="4"/>
      <c r="AV23" s="4"/>
      <c r="AW23" s="4"/>
      <c r="AX23" s="4"/>
      <c r="AY23" s="4"/>
    </row>
    <row r="24" spans="1:51" ht="14" x14ac:dyDescent="0.2">
      <c r="A24" s="3" t="s">
        <v>11</v>
      </c>
      <c r="B24" s="3" t="s">
        <v>131</v>
      </c>
      <c r="C24" s="3"/>
      <c r="D24" s="31">
        <f>'Feb 24'!J20+'Mar 24'!J20+'Apr 24'!J20+'May 24'!J20+'Jun 24'!J20+'Jul 24'!J20+'Aug 24'!J20+'Sep 24'!J20+'Oct 24'!J20+'Nov 24'!J20+'Dec 24'!J20</f>
        <v>418.91</v>
      </c>
      <c r="E24" s="3"/>
      <c r="F24" s="3"/>
      <c r="G24" s="3" t="s">
        <v>11</v>
      </c>
      <c r="H24" s="3" t="s">
        <v>131</v>
      </c>
      <c r="I24" s="3"/>
      <c r="J24" s="31">
        <f>'Jan 25'!J20+'Feb 25'!J20+'Mar 25'!J20+'April 25'!J20+'May 25'!J20+'June 25'!J20+'July 25'!J20+'Aug 25'!J20+'Sep 25'!J20+'Oct 25'!J20+'Nov 25'!J20+'Dec 25'!J20</f>
        <v>43.42</v>
      </c>
      <c r="K24" s="3"/>
      <c r="L24" s="3"/>
      <c r="M24" s="3" t="s">
        <v>11</v>
      </c>
      <c r="N24" s="3" t="s">
        <v>131</v>
      </c>
      <c r="O24" s="3"/>
      <c r="P24" s="31">
        <f>SUM('Jan - 26'!J20, 'Feb - 26'!J20,'Mar - 26'!J20)</f>
        <v>1.25</v>
      </c>
      <c r="Q24" s="3"/>
      <c r="R24" s="3"/>
      <c r="S24" s="3" t="s">
        <v>11</v>
      </c>
      <c r="T24" s="3" t="s">
        <v>131</v>
      </c>
      <c r="U24" s="3"/>
      <c r="V24" s="31">
        <f t="shared" si="1"/>
        <v>463.58000000000004</v>
      </c>
      <c r="W24" s="3"/>
      <c r="X24" s="3"/>
      <c r="Y24" s="3"/>
      <c r="Z24" s="3"/>
      <c r="AA24" s="3"/>
      <c r="AB24" s="3"/>
      <c r="AC24" s="3"/>
      <c r="AD24" s="3"/>
      <c r="AE24" s="3"/>
      <c r="AF24" s="3"/>
      <c r="AG24" s="3"/>
      <c r="AH24" s="3"/>
      <c r="AI24" s="3"/>
      <c r="AJ24" s="3"/>
      <c r="AK24" s="3"/>
      <c r="AL24" s="4"/>
      <c r="AM24" s="4"/>
      <c r="AN24" s="4"/>
      <c r="AO24" s="4"/>
      <c r="AP24" s="4"/>
      <c r="AQ24" s="4"/>
      <c r="AR24" s="4"/>
      <c r="AS24" s="4"/>
      <c r="AT24" s="4"/>
      <c r="AU24" s="4"/>
      <c r="AV24" s="4"/>
      <c r="AW24" s="4"/>
      <c r="AX24" s="4"/>
      <c r="AY24" s="4"/>
    </row>
    <row r="25" spans="1:51" ht="14" x14ac:dyDescent="0.2">
      <c r="A25" s="3" t="s">
        <v>12</v>
      </c>
      <c r="B25" s="3" t="s">
        <v>129</v>
      </c>
      <c r="C25" s="3"/>
      <c r="D25" s="31">
        <f>'Feb 24'!J21+'Mar 24'!J21+'Apr 24'!J21+'May 24'!J21+'Jun 24'!J21+'Jul 24'!J21+'Aug 24'!J21+'Sep 24'!J21+'Oct 24'!J21+'Nov 24'!J21+'Dec 24'!J21</f>
        <v>1786.8400000000001</v>
      </c>
      <c r="E25" s="3"/>
      <c r="F25" s="3"/>
      <c r="G25" s="3" t="s">
        <v>12</v>
      </c>
      <c r="H25" s="3" t="s">
        <v>129</v>
      </c>
      <c r="I25" s="3"/>
      <c r="J25" s="31">
        <f>'Jan 25'!J21+'Feb 25'!J21+'Mar 25'!J21+'April 25'!J21+'May 25'!J21+'June 25'!J21+'July 25'!J21+'Aug 25'!J21+'Sep 25'!J21+'Oct 25'!J21+'Nov 25'!J21+'Dec 25'!J21</f>
        <v>1.75</v>
      </c>
      <c r="K25" s="3"/>
      <c r="L25" s="3"/>
      <c r="M25" s="3" t="s">
        <v>12</v>
      </c>
      <c r="N25" s="3" t="s">
        <v>129</v>
      </c>
      <c r="O25" s="3"/>
      <c r="P25" s="31">
        <f>SUM('Jan - 26'!J21, 'Feb - 26'!J21,'Mar - 26'!J21)</f>
        <v>0</v>
      </c>
      <c r="Q25" s="3"/>
      <c r="R25" s="3"/>
      <c r="S25" s="3" t="s">
        <v>12</v>
      </c>
      <c r="T25" s="3" t="s">
        <v>129</v>
      </c>
      <c r="U25" s="3"/>
      <c r="V25" s="31">
        <f t="shared" si="1"/>
        <v>1788.5900000000001</v>
      </c>
      <c r="W25" s="3"/>
      <c r="X25" s="3"/>
      <c r="Y25" s="3"/>
      <c r="Z25" s="3"/>
      <c r="AA25" s="3"/>
      <c r="AB25" s="3"/>
      <c r="AC25" s="3"/>
      <c r="AD25" s="3"/>
      <c r="AE25" s="3"/>
      <c r="AF25" s="3"/>
      <c r="AG25" s="3"/>
      <c r="AH25" s="3"/>
      <c r="AI25" s="3"/>
      <c r="AJ25" s="3"/>
      <c r="AK25" s="3"/>
      <c r="AL25" s="4"/>
      <c r="AM25" s="4"/>
      <c r="AN25" s="4"/>
      <c r="AO25" s="4"/>
      <c r="AP25" s="4"/>
      <c r="AQ25" s="4"/>
      <c r="AR25" s="4"/>
      <c r="AS25" s="4"/>
      <c r="AT25" s="4"/>
      <c r="AU25" s="4"/>
      <c r="AV25" s="4"/>
      <c r="AW25" s="4"/>
      <c r="AX25" s="4"/>
      <c r="AY25" s="4"/>
    </row>
    <row r="26" spans="1:51" ht="14" x14ac:dyDescent="0.2">
      <c r="A26" s="3" t="s">
        <v>13</v>
      </c>
      <c r="B26" s="3" t="s">
        <v>132</v>
      </c>
      <c r="C26" s="3"/>
      <c r="D26" s="31">
        <f>'Feb 24'!J22+'Mar 24'!J22+'Apr 24'!J22+'May 24'!J22+'Jun 24'!J22+'Jul 24'!J22+'Aug 24'!J22+'Sep 24'!J22+'Oct 24'!J22+'Nov 24'!J22+'Dec 24'!J22</f>
        <v>1152.32</v>
      </c>
      <c r="E26" s="3"/>
      <c r="F26" s="3"/>
      <c r="G26" s="3" t="s">
        <v>13</v>
      </c>
      <c r="H26" s="3" t="s">
        <v>132</v>
      </c>
      <c r="I26" s="3"/>
      <c r="J26" s="31">
        <f>'Jan 25'!J22+'Feb 25'!J22+'Mar 25'!J22+'April 25'!J22+'May 25'!J22+'June 25'!J22+'July 25'!J22+'Aug 25'!J22+'Sep 25'!J22+'Oct 25'!J22+'Nov 25'!J22+'Dec 25'!J22</f>
        <v>1261.2</v>
      </c>
      <c r="K26" s="3"/>
      <c r="L26" s="3"/>
      <c r="M26" s="3" t="s">
        <v>13</v>
      </c>
      <c r="N26" s="3" t="s">
        <v>132</v>
      </c>
      <c r="O26" s="3"/>
      <c r="P26" s="31">
        <f>SUM('Jan - 26'!J22, 'Feb - 26'!J22,'Mar - 26'!J22)</f>
        <v>34</v>
      </c>
      <c r="Q26" s="3"/>
      <c r="R26" s="3"/>
      <c r="S26" s="3" t="s">
        <v>13</v>
      </c>
      <c r="T26" s="3" t="s">
        <v>132</v>
      </c>
      <c r="U26" s="3"/>
      <c r="V26" s="31">
        <f t="shared" si="1"/>
        <v>2447.52</v>
      </c>
      <c r="W26" s="3"/>
      <c r="X26" s="3"/>
      <c r="Y26" s="3"/>
      <c r="Z26" s="3"/>
      <c r="AA26" s="3"/>
      <c r="AB26" s="3"/>
      <c r="AC26" s="3"/>
      <c r="AD26" s="3"/>
      <c r="AE26" s="3"/>
      <c r="AF26" s="3"/>
      <c r="AG26" s="3"/>
      <c r="AH26" s="3"/>
      <c r="AI26" s="3"/>
      <c r="AJ26" s="3"/>
      <c r="AK26" s="3"/>
      <c r="AL26" s="4"/>
      <c r="AM26" s="4"/>
      <c r="AN26" s="4"/>
      <c r="AO26" s="4"/>
      <c r="AP26" s="4"/>
      <c r="AQ26" s="4"/>
      <c r="AR26" s="4"/>
      <c r="AS26" s="4"/>
      <c r="AT26" s="4"/>
      <c r="AU26" s="4"/>
      <c r="AV26" s="4"/>
      <c r="AW26" s="4"/>
      <c r="AX26" s="4"/>
      <c r="AY26" s="4"/>
    </row>
    <row r="27" spans="1:51" ht="14" x14ac:dyDescent="0.2">
      <c r="A27" s="3" t="s">
        <v>416</v>
      </c>
      <c r="B27" s="3"/>
      <c r="C27" s="3"/>
      <c r="D27" s="31">
        <f>'Feb 24'!J23+'Mar 24'!J23+'Apr 24'!J23+'May 24'!J23+'Jun 24'!J23+'Jul 24'!J23+'Aug 24'!J23+'Sep 24'!J23+'Oct 24'!J23+'Nov 24'!J23+'Dec 24'!J23</f>
        <v>0</v>
      </c>
      <c r="E27" s="3"/>
      <c r="F27" s="3"/>
      <c r="G27" s="3" t="s">
        <v>416</v>
      </c>
      <c r="H27" s="3"/>
      <c r="I27" s="3"/>
      <c r="J27" s="31">
        <f>'Jan 25'!J23+'Feb 25'!J23+'Mar 25'!J23+'April 25'!J23+'May 25'!J23+'June 25'!J23+'July 25'!J23+'Aug 25'!J23+'Sep 25'!J23+'Oct 25'!J23+'Nov 25'!J23+'Dec 25'!J23</f>
        <v>0</v>
      </c>
      <c r="K27" s="3"/>
      <c r="L27" s="3"/>
      <c r="M27" s="3" t="s">
        <v>416</v>
      </c>
      <c r="N27" s="3"/>
      <c r="O27" s="3"/>
      <c r="P27" s="31">
        <f>SUM('Jan - 26'!J23, 'Feb - 26'!J23,'Mar - 26'!J23)</f>
        <v>137.82999999999998</v>
      </c>
      <c r="Q27" s="3"/>
      <c r="R27" s="3"/>
      <c r="S27" s="3" t="s">
        <v>416</v>
      </c>
      <c r="T27" s="3"/>
      <c r="U27" s="3"/>
      <c r="V27" s="31">
        <f t="shared" si="1"/>
        <v>137.82999999999998</v>
      </c>
      <c r="W27" s="3"/>
      <c r="X27" s="3"/>
      <c r="Y27" s="3"/>
      <c r="Z27" s="3"/>
      <c r="AA27" s="3"/>
      <c r="AB27" s="3"/>
      <c r="AC27" s="3"/>
      <c r="AD27" s="3"/>
      <c r="AE27" s="3"/>
      <c r="AF27" s="3"/>
      <c r="AG27" s="3"/>
      <c r="AH27" s="3"/>
      <c r="AI27" s="3"/>
      <c r="AJ27" s="3"/>
      <c r="AK27" s="3"/>
      <c r="AL27" s="4"/>
      <c r="AM27" s="4"/>
      <c r="AN27" s="4"/>
      <c r="AO27" s="4"/>
      <c r="AP27" s="4"/>
      <c r="AQ27" s="4"/>
      <c r="AR27" s="4"/>
      <c r="AS27" s="4"/>
      <c r="AT27" s="4"/>
      <c r="AU27" s="4"/>
      <c r="AV27" s="4"/>
      <c r="AW27" s="4"/>
      <c r="AX27" s="4"/>
      <c r="AY27" s="4"/>
    </row>
    <row r="28" spans="1:51" ht="14" x14ac:dyDescent="0.2">
      <c r="A28" s="3" t="s">
        <v>417</v>
      </c>
      <c r="B28" s="3"/>
      <c r="C28" s="3"/>
      <c r="D28" s="31">
        <f>'Feb 24'!J24+'Mar 24'!J24+'Apr 24'!J24+'May 24'!J24+'Jun 24'!J24+'Jul 24'!J24+'Aug 24'!J24+'Sep 24'!J24+'Oct 24'!J24+'Nov 24'!J24+'Dec 24'!J24</f>
        <v>0</v>
      </c>
      <c r="E28" s="3"/>
      <c r="F28" s="3"/>
      <c r="G28" s="3" t="s">
        <v>417</v>
      </c>
      <c r="H28" s="3"/>
      <c r="I28" s="3"/>
      <c r="J28" s="31">
        <f>'Jan 25'!J24+'Feb 25'!J24+'Mar 25'!J24+'April 25'!J24+'May 25'!J24+'June 25'!J24+'July 25'!J24+'Aug 25'!J24+'Sep 25'!J24+'Oct 25'!J24+'Nov 25'!J24+'Dec 25'!J24</f>
        <v>0</v>
      </c>
      <c r="K28" s="3"/>
      <c r="L28" s="3"/>
      <c r="M28" s="3" t="s">
        <v>417</v>
      </c>
      <c r="N28" s="3"/>
      <c r="O28" s="3"/>
      <c r="P28" s="31">
        <f>SUM('Jan - 26'!J24, 'Feb - 26'!J24,'Mar - 26'!J24)</f>
        <v>493.40999999999997</v>
      </c>
      <c r="Q28" s="3"/>
      <c r="R28" s="3"/>
      <c r="S28" s="3" t="s">
        <v>417</v>
      </c>
      <c r="T28" s="3"/>
      <c r="U28" s="3"/>
      <c r="V28" s="31">
        <f t="shared" si="1"/>
        <v>493.40999999999997</v>
      </c>
      <c r="W28" s="3"/>
      <c r="X28" s="3"/>
      <c r="Y28" s="3"/>
      <c r="Z28" s="3"/>
      <c r="AA28" s="3"/>
      <c r="AB28" s="3"/>
      <c r="AC28" s="3"/>
      <c r="AD28" s="3"/>
      <c r="AE28" s="3"/>
      <c r="AF28" s="3"/>
      <c r="AG28" s="3"/>
      <c r="AH28" s="3"/>
      <c r="AI28" s="3"/>
      <c r="AJ28" s="3"/>
      <c r="AK28" s="3"/>
      <c r="AL28" s="4"/>
      <c r="AM28" s="4"/>
      <c r="AN28" s="4"/>
      <c r="AO28" s="4"/>
      <c r="AP28" s="4"/>
      <c r="AQ28" s="4"/>
      <c r="AR28" s="4"/>
      <c r="AS28" s="4"/>
      <c r="AT28" s="4"/>
      <c r="AU28" s="4"/>
      <c r="AV28" s="4"/>
      <c r="AW28" s="4"/>
      <c r="AX28" s="4"/>
      <c r="AY28" s="4"/>
    </row>
    <row r="29" spans="1:51" ht="14" x14ac:dyDescent="0.2">
      <c r="A29" s="3" t="s">
        <v>14</v>
      </c>
      <c r="B29" s="3" t="s">
        <v>133</v>
      </c>
      <c r="C29" s="3"/>
      <c r="D29" s="31">
        <f>'Feb 24'!J25+'Mar 24'!J25+'Apr 24'!J25+'May 24'!J25+'Jun 24'!J25+'Jul 24'!J25+'Aug 24'!J25+'Sep 24'!J25+'Oct 24'!J25+'Nov 24'!J25+'Dec 24'!J25</f>
        <v>15632.11</v>
      </c>
      <c r="E29" s="3"/>
      <c r="F29" s="3"/>
      <c r="G29" s="3" t="s">
        <v>14</v>
      </c>
      <c r="H29" s="3" t="s">
        <v>133</v>
      </c>
      <c r="I29" s="3"/>
      <c r="J29" s="31">
        <f>'Jan 25'!J25+'Feb 25'!J25+'Mar 25'!J25+'April 25'!J25+'May 25'!J25+'June 25'!J25+'July 25'!J25+'Aug 25'!J25+'Sep 25'!J25+'Oct 25'!J25+'Nov 25'!J25+'Dec 25'!J25</f>
        <v>11613.939999999999</v>
      </c>
      <c r="K29" s="3"/>
      <c r="L29" s="3"/>
      <c r="M29" s="3" t="s">
        <v>14</v>
      </c>
      <c r="N29" s="3" t="s">
        <v>133</v>
      </c>
      <c r="O29" s="3"/>
      <c r="P29" s="31">
        <f>SUM('Jan - 26'!J25, 'Feb - 26'!J25,'Mar - 26'!J25)</f>
        <v>4297.95</v>
      </c>
      <c r="Q29" s="3"/>
      <c r="R29" s="3"/>
      <c r="S29" s="3" t="s">
        <v>14</v>
      </c>
      <c r="T29" s="3" t="s">
        <v>133</v>
      </c>
      <c r="U29" s="3"/>
      <c r="V29" s="31">
        <f t="shared" si="1"/>
        <v>31544</v>
      </c>
      <c r="W29" s="3"/>
      <c r="X29" s="3"/>
      <c r="Y29" s="3"/>
      <c r="Z29" s="3"/>
      <c r="AA29" s="3"/>
      <c r="AB29" s="3"/>
      <c r="AC29" s="3"/>
      <c r="AD29" s="3"/>
      <c r="AE29" s="3"/>
      <c r="AF29" s="3"/>
      <c r="AG29" s="3"/>
      <c r="AH29" s="3"/>
      <c r="AI29" s="3"/>
      <c r="AJ29" s="3"/>
      <c r="AK29" s="3"/>
      <c r="AL29" s="4"/>
      <c r="AM29" s="4"/>
      <c r="AN29" s="4"/>
      <c r="AO29" s="4"/>
      <c r="AP29" s="4"/>
      <c r="AQ29" s="4"/>
      <c r="AR29" s="4"/>
      <c r="AS29" s="4"/>
      <c r="AT29" s="4"/>
      <c r="AU29" s="4"/>
      <c r="AV29" s="4"/>
      <c r="AW29" s="4"/>
      <c r="AX29" s="4"/>
      <c r="AY29" s="4"/>
    </row>
    <row r="30" spans="1:51" ht="14" x14ac:dyDescent="0.2">
      <c r="A30" s="3" t="s">
        <v>277</v>
      </c>
      <c r="B30" s="3"/>
      <c r="C30" s="3"/>
      <c r="D30" s="31">
        <f>'Feb 24'!J26+'Mar 24'!J26+'Apr 24'!J26+'May 24'!J26+'Jun 24'!J26+'Jul 24'!J26+'Aug 24'!J26+'Sep 24'!J26+'Oct 24'!J26+'Nov 24'!J26+'Dec 24'!J26</f>
        <v>0</v>
      </c>
      <c r="E30" s="3"/>
      <c r="F30" s="3"/>
      <c r="G30" s="3" t="s">
        <v>277</v>
      </c>
      <c r="H30" s="3"/>
      <c r="I30" s="3"/>
      <c r="J30" s="31">
        <f>'Jan 25'!J26+'Feb 25'!J26+'Mar 25'!J26+'April 25'!J26+'May 25'!J26+'June 25'!J26+'July 25'!J26+'Aug 25'!J26+'Sep 25'!J26+'Oct 25'!J26+'Nov 25'!J26+'Dec 25'!J26</f>
        <v>938.24000000000024</v>
      </c>
      <c r="K30" s="3"/>
      <c r="L30" s="3"/>
      <c r="M30" s="3" t="s">
        <v>277</v>
      </c>
      <c r="N30" s="3"/>
      <c r="O30" s="3"/>
      <c r="P30" s="31">
        <f>SUM('Jan - 26'!J26, 'Feb - 26'!J26,'Mar - 26'!J26)</f>
        <v>843.93999999999983</v>
      </c>
      <c r="Q30" s="3"/>
      <c r="R30" s="3"/>
      <c r="S30" s="3" t="s">
        <v>277</v>
      </c>
      <c r="T30" s="3"/>
      <c r="U30" s="3"/>
      <c r="V30" s="31">
        <f t="shared" si="1"/>
        <v>1782.18</v>
      </c>
      <c r="W30" s="3"/>
      <c r="X30" s="3"/>
      <c r="Y30" s="3"/>
      <c r="Z30" s="3"/>
      <c r="AA30" s="3"/>
      <c r="AB30" s="3"/>
      <c r="AC30" s="3"/>
      <c r="AD30" s="3"/>
      <c r="AE30" s="3"/>
      <c r="AF30" s="3"/>
      <c r="AG30" s="3"/>
      <c r="AH30" s="3"/>
      <c r="AI30" s="3"/>
      <c r="AJ30" s="3"/>
      <c r="AK30" s="3"/>
      <c r="AL30" s="4"/>
      <c r="AM30" s="4"/>
      <c r="AN30" s="4"/>
      <c r="AO30" s="4"/>
      <c r="AP30" s="4"/>
      <c r="AQ30" s="4"/>
      <c r="AR30" s="4"/>
      <c r="AS30" s="4"/>
      <c r="AT30" s="4"/>
      <c r="AU30" s="4"/>
      <c r="AV30" s="4"/>
      <c r="AW30" s="4"/>
      <c r="AX30" s="4"/>
      <c r="AY30" s="4"/>
    </row>
    <row r="31" spans="1:51" ht="14" x14ac:dyDescent="0.2">
      <c r="A31" s="3" t="s">
        <v>421</v>
      </c>
      <c r="B31" s="3"/>
      <c r="C31" s="3"/>
      <c r="D31" s="31">
        <f>'Feb 24'!J27+'Mar 24'!J27+'Apr 24'!J27+'May 24'!J27+'Jun 24'!J27+'Jul 24'!J27+'Aug 24'!J27+'Sep 24'!J27+'Oct 24'!J27+'Nov 24'!J27+'Dec 24'!J27</f>
        <v>0</v>
      </c>
      <c r="E31" s="3"/>
      <c r="F31" s="3"/>
      <c r="G31" s="3" t="s">
        <v>421</v>
      </c>
      <c r="H31" s="3"/>
      <c r="I31" s="3"/>
      <c r="J31" s="31">
        <f>'Jan 25'!J27+'Feb 25'!J27+'Mar 25'!J27+'April 25'!J27+'May 25'!J27+'June 25'!J27+'July 25'!J27+'Aug 25'!J27+'Sep 25'!J27+'Oct 25'!J27+'Nov 25'!J27+'Dec 25'!J27</f>
        <v>0</v>
      </c>
      <c r="K31" s="3"/>
      <c r="L31" s="3"/>
      <c r="M31" s="3" t="s">
        <v>421</v>
      </c>
      <c r="N31" s="3"/>
      <c r="O31" s="3"/>
      <c r="P31" s="31">
        <f>SUM('Jan - 26'!J27, 'Feb - 26'!J27,'Mar - 26'!J27)</f>
        <v>0</v>
      </c>
      <c r="Q31" s="3"/>
      <c r="R31" s="3"/>
      <c r="S31" s="3" t="s">
        <v>421</v>
      </c>
      <c r="T31" s="3"/>
      <c r="U31" s="3"/>
      <c r="V31" s="31">
        <f t="shared" si="1"/>
        <v>0</v>
      </c>
      <c r="W31" s="3"/>
      <c r="X31" s="3"/>
      <c r="Y31" s="3"/>
      <c r="Z31" s="3"/>
      <c r="AA31" s="3"/>
      <c r="AB31" s="3"/>
      <c r="AC31" s="3"/>
      <c r="AD31" s="3"/>
      <c r="AE31" s="3"/>
      <c r="AF31" s="3"/>
      <c r="AG31" s="3"/>
      <c r="AH31" s="3"/>
      <c r="AI31" s="3"/>
      <c r="AJ31" s="3"/>
      <c r="AK31" s="3"/>
      <c r="AL31" s="4"/>
      <c r="AM31" s="4"/>
      <c r="AN31" s="4"/>
      <c r="AO31" s="4"/>
      <c r="AP31" s="4"/>
      <c r="AQ31" s="4"/>
      <c r="AR31" s="4"/>
      <c r="AS31" s="4"/>
      <c r="AT31" s="4"/>
      <c r="AU31" s="4"/>
      <c r="AV31" s="4"/>
      <c r="AW31" s="4"/>
      <c r="AX31" s="4"/>
      <c r="AY31" s="4"/>
    </row>
    <row r="32" spans="1:51" ht="14" x14ac:dyDescent="0.2">
      <c r="A32" s="3" t="s">
        <v>122</v>
      </c>
      <c r="B32" s="3" t="s">
        <v>134</v>
      </c>
      <c r="C32" s="3"/>
      <c r="D32" s="31">
        <f>'Feb 24'!J28+'Mar 24'!J28+'Apr 24'!J28+'May 24'!J28+'Jun 24'!J28+'Jul 24'!J28+'Aug 24'!J28+'Sep 24'!J28+'Oct 24'!J28+'Nov 24'!J28+'Dec 24'!J28</f>
        <v>624.27</v>
      </c>
      <c r="E32" s="3"/>
      <c r="F32" s="3"/>
      <c r="G32" s="3" t="s">
        <v>122</v>
      </c>
      <c r="H32" s="3" t="s">
        <v>134</v>
      </c>
      <c r="I32" s="3"/>
      <c r="J32" s="31">
        <f>'Jan 25'!J28+'Feb 25'!J28+'Mar 25'!J28+'April 25'!J28+'May 25'!J28+'June 25'!J28+'July 25'!J28+'Aug 25'!J28+'Sep 25'!J28+'Oct 25'!J28+'Nov 25'!J28+'Dec 25'!J28</f>
        <v>2846.7799999999997</v>
      </c>
      <c r="K32" s="3"/>
      <c r="L32" s="3"/>
      <c r="M32" s="3" t="s">
        <v>122</v>
      </c>
      <c r="N32" s="3" t="s">
        <v>134</v>
      </c>
      <c r="O32" s="3"/>
      <c r="P32" s="31">
        <f>SUM('Jan - 26'!J28, 'Feb - 26'!J28,'Mar - 26'!J28)</f>
        <v>0</v>
      </c>
      <c r="Q32" s="3"/>
      <c r="R32" s="3"/>
      <c r="S32" s="3" t="s">
        <v>122</v>
      </c>
      <c r="T32" s="3" t="s">
        <v>134</v>
      </c>
      <c r="U32" s="3"/>
      <c r="V32" s="31">
        <f t="shared" si="1"/>
        <v>3471.0499999999997</v>
      </c>
      <c r="W32" s="3"/>
      <c r="X32" s="3"/>
      <c r="Y32" s="3"/>
      <c r="Z32" s="3"/>
      <c r="AA32" s="3"/>
      <c r="AB32" s="3"/>
      <c r="AC32" s="3"/>
      <c r="AD32" s="3"/>
      <c r="AE32" s="3"/>
      <c r="AF32" s="3"/>
      <c r="AG32" s="3"/>
      <c r="AH32" s="3"/>
      <c r="AI32" s="3"/>
      <c r="AJ32" s="3"/>
      <c r="AK32" s="3"/>
      <c r="AL32" s="4"/>
      <c r="AM32" s="4"/>
      <c r="AN32" s="4"/>
      <c r="AO32" s="4"/>
      <c r="AP32" s="4"/>
      <c r="AQ32" s="4"/>
      <c r="AR32" s="4"/>
      <c r="AS32" s="4"/>
      <c r="AT32" s="4"/>
      <c r="AU32" s="4"/>
      <c r="AV32" s="4"/>
      <c r="AW32" s="4"/>
      <c r="AX32" s="4"/>
      <c r="AY32" s="4"/>
    </row>
    <row r="33" spans="1:51" ht="14" x14ac:dyDescent="0.2">
      <c r="A33" s="3" t="s">
        <v>183</v>
      </c>
      <c r="B33" s="3"/>
      <c r="C33" s="3"/>
      <c r="D33" s="31">
        <f>'Feb 24'!J29+'Mar 24'!J29+'Apr 24'!J29+'May 24'!J29+'Jun 24'!J29+'Jul 24'!J29+'Aug 24'!J29+'Sep 24'!J29+'Oct 24'!J29+'Nov 24'!J29+'Dec 24'!J29</f>
        <v>0</v>
      </c>
      <c r="E33" s="3"/>
      <c r="F33" s="3"/>
      <c r="G33" s="3" t="s">
        <v>183</v>
      </c>
      <c r="H33" s="3"/>
      <c r="I33" s="3"/>
      <c r="J33" s="31">
        <f>'Jan 25'!J29+'Feb 25'!J29+'Mar 25'!J29+'April 25'!J29+'May 25'!J29+'June 25'!J29+'July 25'!J29+'Aug 25'!J29+'Sep 25'!J29+'Oct 25'!J29+'Nov 25'!J29+'Dec 25'!J29</f>
        <v>341.17</v>
      </c>
      <c r="K33" s="3"/>
      <c r="L33" s="3"/>
      <c r="M33" s="3" t="s">
        <v>183</v>
      </c>
      <c r="N33" s="3"/>
      <c r="O33" s="3"/>
      <c r="P33" s="31">
        <f>SUM('Jan - 26'!J29, 'Feb - 26'!J29,'Mar - 26'!J29)</f>
        <v>221.43</v>
      </c>
      <c r="Q33" s="3"/>
      <c r="R33" s="3"/>
      <c r="S33" s="3" t="s">
        <v>183</v>
      </c>
      <c r="T33" s="3"/>
      <c r="U33" s="3"/>
      <c r="V33" s="31">
        <f t="shared" si="1"/>
        <v>562.6</v>
      </c>
      <c r="W33" s="3"/>
      <c r="X33" s="3"/>
      <c r="Y33" s="3"/>
      <c r="Z33" s="3"/>
      <c r="AA33" s="3"/>
      <c r="AB33" s="3"/>
      <c r="AC33" s="3"/>
      <c r="AD33" s="3"/>
      <c r="AE33" s="3"/>
      <c r="AF33" s="3"/>
      <c r="AG33" s="3"/>
      <c r="AH33" s="3"/>
      <c r="AI33" s="3"/>
      <c r="AJ33" s="3"/>
      <c r="AK33" s="3"/>
      <c r="AL33" s="4"/>
      <c r="AM33" s="4"/>
      <c r="AN33" s="4"/>
      <c r="AO33" s="4"/>
      <c r="AP33" s="4"/>
      <c r="AQ33" s="4"/>
      <c r="AR33" s="4"/>
      <c r="AS33" s="4"/>
      <c r="AT33" s="4"/>
      <c r="AU33" s="4"/>
      <c r="AV33" s="4"/>
      <c r="AW33" s="4"/>
      <c r="AX33" s="4"/>
      <c r="AY33" s="4"/>
    </row>
    <row r="34" spans="1:51" ht="14" x14ac:dyDescent="0.2">
      <c r="A34" s="3" t="s">
        <v>123</v>
      </c>
      <c r="B34" s="3" t="s">
        <v>135</v>
      </c>
      <c r="C34" s="3"/>
      <c r="D34" s="31">
        <f>'Feb 24'!J30+'Mar 24'!J30+'Apr 24'!J30+'May 24'!J30+'Jun 24'!J30+'Jul 24'!J30+'Aug 24'!J30+'Sep 24'!J30+'Oct 24'!J30+'Nov 24'!J30+'Dec 24'!J30</f>
        <v>63.25</v>
      </c>
      <c r="E34" s="3"/>
      <c r="F34" s="3"/>
      <c r="G34" s="3" t="s">
        <v>123</v>
      </c>
      <c r="H34" s="3" t="s">
        <v>135</v>
      </c>
      <c r="I34" s="3"/>
      <c r="J34" s="31">
        <f>'Jan 25'!J30+'Feb 25'!J30+'Mar 25'!J30+'April 25'!J30+'May 25'!J30+'June 25'!J30+'July 25'!J30+'Aug 25'!J30+'Sep 25'!J30+'Oct 25'!J30+'Nov 25'!J30+'Dec 25'!J30</f>
        <v>128.1</v>
      </c>
      <c r="K34" s="3"/>
      <c r="L34" s="3"/>
      <c r="M34" s="3" t="s">
        <v>123</v>
      </c>
      <c r="N34" s="3" t="s">
        <v>135</v>
      </c>
      <c r="O34" s="3"/>
      <c r="P34" s="31">
        <f>SUM('Jan - 26'!J30, 'Feb - 26'!J30,'Mar - 26'!J30)</f>
        <v>77.34</v>
      </c>
      <c r="Q34" s="3"/>
      <c r="R34" s="3"/>
      <c r="S34" s="3" t="s">
        <v>123</v>
      </c>
      <c r="T34" s="3" t="s">
        <v>135</v>
      </c>
      <c r="U34" s="3"/>
      <c r="V34" s="31">
        <f t="shared" si="1"/>
        <v>268.69</v>
      </c>
      <c r="W34" s="3"/>
      <c r="X34" s="3"/>
      <c r="Y34" s="3"/>
      <c r="Z34" s="3"/>
      <c r="AA34" s="3"/>
      <c r="AB34" s="3"/>
      <c r="AC34" s="3"/>
      <c r="AD34" s="3"/>
      <c r="AE34" s="3"/>
      <c r="AF34" s="3"/>
      <c r="AG34" s="3"/>
      <c r="AH34" s="3"/>
      <c r="AI34" s="3"/>
      <c r="AJ34" s="3"/>
      <c r="AK34" s="3"/>
      <c r="AL34" s="4"/>
      <c r="AM34" s="4"/>
      <c r="AN34" s="4"/>
      <c r="AO34" s="4"/>
      <c r="AP34" s="4"/>
      <c r="AQ34" s="4"/>
      <c r="AR34" s="4"/>
      <c r="AS34" s="4"/>
      <c r="AT34" s="4"/>
      <c r="AU34" s="4"/>
      <c r="AV34" s="4"/>
      <c r="AW34" s="4"/>
      <c r="AX34" s="4"/>
      <c r="AY34" s="4"/>
    </row>
    <row r="35" spans="1:51" ht="14" x14ac:dyDescent="0.2">
      <c r="A35" s="3" t="s">
        <v>113</v>
      </c>
      <c r="B35" s="3" t="s">
        <v>136</v>
      </c>
      <c r="C35" s="3"/>
      <c r="D35" s="31">
        <f>'Feb 24'!J31+'Mar 24'!J31+'Apr 24'!J31+'May 24'!J31+'Jun 24'!J31+'Jul 24'!J31+'Aug 24'!J31+'Sep 24'!J31+'Oct 24'!J31+'Nov 24'!J31+'Dec 24'!J31</f>
        <v>601.92999999999995</v>
      </c>
      <c r="E35" s="3"/>
      <c r="F35" s="3"/>
      <c r="G35" s="3" t="s">
        <v>113</v>
      </c>
      <c r="H35" s="3" t="s">
        <v>136</v>
      </c>
      <c r="I35" s="3"/>
      <c r="J35" s="31">
        <f>'Jan 25'!J31+'Feb 25'!J31+'Mar 25'!J31+'April 25'!J31+'May 25'!J31+'June 25'!J31+'July 25'!J31+'Aug 25'!J31+'Sep 25'!J31+'Oct 25'!J31+'Nov 25'!J31+'Dec 25'!J31</f>
        <v>1714.44</v>
      </c>
      <c r="K35" s="3"/>
      <c r="L35" s="3"/>
      <c r="M35" s="3" t="s">
        <v>113</v>
      </c>
      <c r="N35" s="3" t="s">
        <v>136</v>
      </c>
      <c r="O35" s="3"/>
      <c r="P35" s="31">
        <f>SUM('Jan - 26'!J31, 'Feb - 26'!J31,'Mar - 26'!J31)</f>
        <v>433.08</v>
      </c>
      <c r="Q35" s="3"/>
      <c r="R35" s="3"/>
      <c r="S35" s="3" t="s">
        <v>113</v>
      </c>
      <c r="T35" s="3" t="s">
        <v>136</v>
      </c>
      <c r="U35" s="3"/>
      <c r="V35" s="31">
        <f t="shared" si="1"/>
        <v>2749.45</v>
      </c>
      <c r="W35" s="3"/>
      <c r="X35" s="3"/>
      <c r="Y35" s="3"/>
      <c r="Z35" s="3"/>
      <c r="AA35" s="3"/>
      <c r="AB35" s="3"/>
      <c r="AC35" s="3"/>
      <c r="AD35" s="3"/>
      <c r="AE35" s="3"/>
      <c r="AF35" s="3"/>
      <c r="AG35" s="3"/>
      <c r="AH35" s="3"/>
      <c r="AI35" s="3"/>
      <c r="AJ35" s="3"/>
      <c r="AK35" s="3"/>
      <c r="AL35" s="4"/>
      <c r="AM35" s="4"/>
      <c r="AN35" s="4"/>
      <c r="AO35" s="4"/>
      <c r="AP35" s="4"/>
      <c r="AQ35" s="4"/>
      <c r="AR35" s="4"/>
      <c r="AS35" s="4"/>
      <c r="AT35" s="4"/>
      <c r="AU35" s="4"/>
      <c r="AV35" s="4"/>
      <c r="AW35" s="4"/>
      <c r="AX35" s="4"/>
      <c r="AY35" s="4"/>
    </row>
    <row r="36" spans="1:51" ht="14" x14ac:dyDescent="0.2">
      <c r="A36" s="3" t="s">
        <v>15</v>
      </c>
      <c r="B36" s="3" t="s">
        <v>137</v>
      </c>
      <c r="C36" s="3"/>
      <c r="D36" s="31">
        <f>'Feb 24'!J32+'Mar 24'!J32+'Apr 24'!J32+'May 24'!J32+'Jun 24'!J32+'Jul 24'!J32+'Aug 24'!J32+'Sep 24'!J32+'Oct 24'!J32+'Nov 24'!J32+'Dec 24'!J32</f>
        <v>243.93</v>
      </c>
      <c r="E36" s="3"/>
      <c r="F36" s="3"/>
      <c r="G36" s="3" t="s">
        <v>15</v>
      </c>
      <c r="H36" s="3" t="s">
        <v>137</v>
      </c>
      <c r="I36" s="3"/>
      <c r="J36" s="31">
        <f>'Jan 25'!J32+'Feb 25'!J32+'Mar 25'!J32+'April 25'!J32+'May 25'!J32+'June 25'!J32+'July 25'!J32+'Aug 25'!J32+'Sep 25'!J32+'Oct 25'!J32+'Nov 25'!J32+'Dec 25'!J32</f>
        <v>0</v>
      </c>
      <c r="K36" s="3"/>
      <c r="L36" s="3"/>
      <c r="M36" s="3" t="s">
        <v>15</v>
      </c>
      <c r="N36" s="3" t="s">
        <v>137</v>
      </c>
      <c r="O36" s="3"/>
      <c r="P36" s="31">
        <f>SUM('Jan - 26'!J32, 'Feb - 26'!J32,'Mar - 26'!J32)</f>
        <v>0</v>
      </c>
      <c r="Q36" s="3"/>
      <c r="R36" s="3"/>
      <c r="S36" s="3" t="s">
        <v>15</v>
      </c>
      <c r="T36" s="3" t="s">
        <v>137</v>
      </c>
      <c r="U36" s="3"/>
      <c r="V36" s="31">
        <f t="shared" si="1"/>
        <v>243.93</v>
      </c>
      <c r="W36" s="3"/>
      <c r="X36" s="3"/>
      <c r="Y36" s="3"/>
      <c r="Z36" s="3"/>
      <c r="AA36" s="3"/>
      <c r="AB36" s="3"/>
      <c r="AC36" s="3"/>
      <c r="AD36" s="3"/>
      <c r="AE36" s="3"/>
      <c r="AF36" s="3"/>
      <c r="AG36" s="3"/>
      <c r="AH36" s="3"/>
      <c r="AI36" s="3"/>
      <c r="AJ36" s="3"/>
      <c r="AK36" s="3"/>
      <c r="AL36" s="4"/>
      <c r="AM36" s="4"/>
      <c r="AN36" s="4"/>
      <c r="AO36" s="4"/>
      <c r="AP36" s="4"/>
      <c r="AQ36" s="4"/>
      <c r="AR36" s="4"/>
      <c r="AS36" s="4"/>
      <c r="AT36" s="4"/>
      <c r="AU36" s="4"/>
      <c r="AV36" s="4"/>
      <c r="AW36" s="4"/>
      <c r="AX36" s="4"/>
      <c r="AY36" s="4"/>
    </row>
    <row r="37" spans="1:51" ht="14" x14ac:dyDescent="0.2">
      <c r="A37" s="3" t="s">
        <v>16</v>
      </c>
      <c r="B37" s="3"/>
      <c r="C37" s="3"/>
      <c r="D37" s="31">
        <f>'Feb 24'!J33+'Mar 24'!J33+'Apr 24'!J33+'May 24'!J33+'Jun 24'!J33+'Jul 24'!J33+'Aug 24'!J33+'Sep 24'!J33+'Oct 24'!J33+'Nov 24'!J33+'Dec 24'!J33</f>
        <v>1064.7800000000002</v>
      </c>
      <c r="E37" s="3"/>
      <c r="F37" s="3"/>
      <c r="G37" s="3" t="s">
        <v>16</v>
      </c>
      <c r="H37" s="3"/>
      <c r="I37" s="3"/>
      <c r="J37" s="31">
        <f>'Jan 25'!J33+'Feb 25'!J33+'Mar 25'!J33+'April 25'!J33+'May 25'!J33+'June 25'!J33+'July 25'!J33+'Aug 25'!J33+'Sep 25'!J33+'Oct 25'!J33+'Nov 25'!J33+'Dec 25'!J33</f>
        <v>4007.58</v>
      </c>
      <c r="K37" s="3"/>
      <c r="L37" s="3"/>
      <c r="M37" s="3" t="s">
        <v>16</v>
      </c>
      <c r="N37" s="3"/>
      <c r="O37" s="3"/>
      <c r="P37" s="31">
        <f>SUM('Jan - 26'!J33, 'Feb - 26'!J33,'Mar - 26'!J33)</f>
        <v>915.71999999999991</v>
      </c>
      <c r="Q37" s="3"/>
      <c r="R37" s="3"/>
      <c r="S37" s="3" t="s">
        <v>16</v>
      </c>
      <c r="T37" s="3"/>
      <c r="U37" s="3"/>
      <c r="V37" s="31">
        <f t="shared" si="1"/>
        <v>5988.0800000000008</v>
      </c>
      <c r="W37" s="3"/>
      <c r="X37" s="3"/>
      <c r="Y37" s="3"/>
      <c r="Z37" s="3"/>
      <c r="AA37" s="3"/>
      <c r="AB37" s="3"/>
      <c r="AC37" s="3"/>
      <c r="AD37" s="3"/>
      <c r="AE37" s="3"/>
      <c r="AF37" s="3"/>
      <c r="AG37" s="3"/>
      <c r="AH37" s="3"/>
      <c r="AI37" s="3"/>
      <c r="AJ37" s="3"/>
      <c r="AK37" s="3"/>
      <c r="AL37" s="4"/>
      <c r="AM37" s="4"/>
      <c r="AN37" s="4"/>
      <c r="AO37" s="4"/>
      <c r="AP37" s="4"/>
      <c r="AQ37" s="4"/>
      <c r="AR37" s="4"/>
      <c r="AS37" s="4"/>
      <c r="AT37" s="4"/>
      <c r="AU37" s="4"/>
      <c r="AV37" s="4"/>
      <c r="AW37" s="4"/>
      <c r="AX37" s="4"/>
      <c r="AY37" s="4"/>
    </row>
    <row r="38" spans="1:51" ht="14" x14ac:dyDescent="0.2">
      <c r="A38" s="3" t="s">
        <v>161</v>
      </c>
      <c r="B38" s="3"/>
      <c r="C38" s="3"/>
      <c r="D38" s="31">
        <f>'Feb 24'!J34+'Mar 24'!J34+'Apr 24'!J34+'May 24'!J34+'Jun 24'!J34+'Jul 24'!J34+'Aug 24'!J34+'Sep 24'!J34+'Oct 24'!J34+'Nov 24'!J34+'Dec 24'!J34</f>
        <v>1.5</v>
      </c>
      <c r="E38" s="3"/>
      <c r="F38" s="3"/>
      <c r="G38" s="3" t="s">
        <v>161</v>
      </c>
      <c r="H38" s="3"/>
      <c r="I38" s="3"/>
      <c r="J38" s="31">
        <f>'Jan 25'!J34+'Feb 25'!J34+'Mar 25'!J34+'April 25'!J34+'May 25'!J34+'June 25'!J34+'July 25'!J34+'Aug 25'!J34+'Sep 25'!J34+'Oct 25'!J34+'Nov 25'!J34+'Dec 25'!J34</f>
        <v>264.61</v>
      </c>
      <c r="K38" s="3"/>
      <c r="L38" s="3"/>
      <c r="M38" s="3" t="s">
        <v>161</v>
      </c>
      <c r="N38" s="3"/>
      <c r="O38" s="3"/>
      <c r="P38" s="31">
        <f>SUM('Jan - 26'!J34, 'Feb - 26'!J34,'Mar - 26'!J34)</f>
        <v>1821.89</v>
      </c>
      <c r="Q38" s="3"/>
      <c r="R38" s="3"/>
      <c r="S38" s="3" t="s">
        <v>161</v>
      </c>
      <c r="T38" s="3"/>
      <c r="U38" s="3"/>
      <c r="V38" s="31">
        <f t="shared" si="1"/>
        <v>2088</v>
      </c>
      <c r="W38" s="3"/>
      <c r="X38" s="3"/>
      <c r="Y38" s="3"/>
      <c r="Z38" s="3"/>
      <c r="AA38" s="3"/>
      <c r="AB38" s="3"/>
      <c r="AC38" s="3"/>
      <c r="AD38" s="3"/>
      <c r="AE38" s="3"/>
      <c r="AF38" s="3"/>
      <c r="AG38" s="3"/>
      <c r="AH38" s="3"/>
      <c r="AI38" s="3"/>
      <c r="AJ38" s="3"/>
      <c r="AK38" s="3"/>
      <c r="AL38" s="4"/>
      <c r="AM38" s="4"/>
      <c r="AN38" s="4"/>
      <c r="AO38" s="4"/>
      <c r="AP38" s="4"/>
      <c r="AQ38" s="4"/>
      <c r="AR38" s="4"/>
      <c r="AS38" s="4"/>
      <c r="AT38" s="4"/>
      <c r="AU38" s="4"/>
      <c r="AV38" s="4"/>
      <c r="AW38" s="4"/>
      <c r="AX38" s="4"/>
      <c r="AY38" s="4"/>
    </row>
    <row r="39" spans="1:51" ht="14" x14ac:dyDescent="0.2">
      <c r="A39" s="3" t="s">
        <v>162</v>
      </c>
      <c r="B39" s="3"/>
      <c r="C39" s="3"/>
      <c r="D39" s="31">
        <f>'Feb 24'!J35+'Mar 24'!J35+'Apr 24'!J35+'May 24'!J35+'Jun 24'!J35+'Jul 24'!J35+'Aug 24'!J35+'Sep 24'!J35+'Oct 24'!J35+'Nov 24'!J35+'Dec 24'!J35</f>
        <v>2</v>
      </c>
      <c r="E39" s="3"/>
      <c r="F39" s="3"/>
      <c r="G39" s="3" t="s">
        <v>162</v>
      </c>
      <c r="H39" s="3"/>
      <c r="I39" s="3"/>
      <c r="J39" s="31">
        <f>'Jan 25'!J35+'Feb 25'!J35+'Mar 25'!J35+'April 25'!J35+'May 25'!J35+'June 25'!J35+'July 25'!J35+'Aug 25'!J35+'Sep 25'!J35+'Oct 25'!J35+'Nov 25'!J35+'Dec 25'!J35</f>
        <v>52.25</v>
      </c>
      <c r="K39" s="3"/>
      <c r="L39" s="3"/>
      <c r="M39" s="3" t="s">
        <v>162</v>
      </c>
      <c r="N39" s="3"/>
      <c r="O39" s="3"/>
      <c r="P39" s="31">
        <f>SUM('Jan - 26'!J35, 'Feb - 26'!J35,'Mar - 26'!J35)</f>
        <v>153.72999999999999</v>
      </c>
      <c r="Q39" s="3"/>
      <c r="R39" s="3"/>
      <c r="S39" s="3" t="s">
        <v>162</v>
      </c>
      <c r="T39" s="3"/>
      <c r="U39" s="3"/>
      <c r="V39" s="31">
        <f t="shared" si="1"/>
        <v>207.98</v>
      </c>
      <c r="W39" s="3"/>
      <c r="X39" s="3"/>
      <c r="Y39" s="3"/>
      <c r="Z39" s="3"/>
      <c r="AA39" s="3"/>
      <c r="AB39" s="3"/>
      <c r="AC39" s="3"/>
      <c r="AD39" s="3"/>
      <c r="AE39" s="3"/>
      <c r="AF39" s="3"/>
      <c r="AG39" s="3"/>
      <c r="AH39" s="3"/>
      <c r="AI39" s="3"/>
      <c r="AJ39" s="3"/>
      <c r="AK39" s="3"/>
      <c r="AL39" s="4"/>
      <c r="AM39" s="4"/>
      <c r="AN39" s="4"/>
      <c r="AO39" s="4"/>
      <c r="AP39" s="4"/>
      <c r="AQ39" s="4"/>
      <c r="AR39" s="4"/>
      <c r="AS39" s="4"/>
      <c r="AT39" s="4"/>
      <c r="AU39" s="4"/>
      <c r="AV39" s="4"/>
      <c r="AW39" s="4"/>
      <c r="AX39" s="4"/>
      <c r="AY39" s="4"/>
    </row>
    <row r="40" spans="1:51" ht="14" x14ac:dyDescent="0.2">
      <c r="A40" s="3" t="s">
        <v>434</v>
      </c>
      <c r="B40" s="3"/>
      <c r="C40" s="3"/>
      <c r="D40" s="31">
        <f>'Feb 24'!J36+'Mar 24'!J36+'Apr 24'!J36+'May 24'!J36+'Jun 24'!J36+'Jul 24'!J36+'Aug 24'!J36+'Sep 24'!J36+'Oct 24'!J36+'Nov 24'!J36+'Dec 24'!J36</f>
        <v>0</v>
      </c>
      <c r="E40" s="3"/>
      <c r="F40" s="3"/>
      <c r="G40" s="3" t="s">
        <v>434</v>
      </c>
      <c r="H40" s="3"/>
      <c r="I40" s="3"/>
      <c r="J40" s="31">
        <f>'Jan 25'!J36+'Feb 25'!J36+'Mar 25'!J36+'April 25'!J36+'May 25'!J36+'June 25'!J36+'July 25'!J36+'Aug 25'!J36+'Sep 25'!J36+'Oct 25'!J36+'Nov 25'!J36+'Dec 25'!J36</f>
        <v>0</v>
      </c>
      <c r="K40" s="3"/>
      <c r="L40" s="3"/>
      <c r="M40" s="3" t="s">
        <v>434</v>
      </c>
      <c r="N40" s="3"/>
      <c r="O40" s="3"/>
      <c r="P40" s="31">
        <f>SUM('Jan - 26'!J36, 'Feb - 26'!J36,'Mar - 26'!J36)</f>
        <v>114.33</v>
      </c>
      <c r="Q40" s="3"/>
      <c r="R40" s="3"/>
      <c r="S40" s="3" t="s">
        <v>434</v>
      </c>
      <c r="T40" s="3"/>
      <c r="U40" s="3"/>
      <c r="V40" s="31">
        <f t="shared" si="1"/>
        <v>114.33</v>
      </c>
      <c r="W40" s="3"/>
      <c r="X40" s="3"/>
      <c r="Y40" s="3"/>
      <c r="Z40" s="3"/>
      <c r="AA40" s="3"/>
      <c r="AB40" s="3"/>
      <c r="AC40" s="3"/>
      <c r="AD40" s="3"/>
      <c r="AE40" s="3"/>
      <c r="AF40" s="3"/>
      <c r="AG40" s="3"/>
      <c r="AH40" s="3"/>
      <c r="AI40" s="3"/>
      <c r="AJ40" s="3"/>
      <c r="AK40" s="3"/>
      <c r="AL40" s="4"/>
      <c r="AM40" s="4"/>
      <c r="AN40" s="4"/>
      <c r="AO40" s="4"/>
      <c r="AP40" s="4"/>
      <c r="AQ40" s="4"/>
      <c r="AR40" s="4"/>
      <c r="AS40" s="4"/>
      <c r="AT40" s="4"/>
      <c r="AU40" s="4"/>
      <c r="AV40" s="4"/>
      <c r="AW40" s="4"/>
      <c r="AX40" s="4"/>
      <c r="AY40" s="4"/>
    </row>
    <row r="41" spans="1:51" ht="14" x14ac:dyDescent="0.2">
      <c r="A41" s="3" t="s">
        <v>172</v>
      </c>
      <c r="B41" s="3"/>
      <c r="C41" s="3"/>
      <c r="D41" s="31">
        <f>'Feb 24'!J37+'Mar 24'!J37+'Apr 24'!J37+'May 24'!J37+'Jun 24'!J37+'Jul 24'!J37+'Aug 24'!J37+'Sep 24'!J37+'Oct 24'!J37+'Nov 24'!J37+'Dec 24'!J37</f>
        <v>0</v>
      </c>
      <c r="E41" s="3"/>
      <c r="F41" s="3"/>
      <c r="G41" s="3" t="s">
        <v>172</v>
      </c>
      <c r="H41" s="3"/>
      <c r="I41" s="3"/>
      <c r="J41" s="31">
        <f>'Jan 25'!J37+'Feb 25'!J37+'Mar 25'!J37+'April 25'!J37+'May 25'!J37+'June 25'!J37+'July 25'!J37+'Aug 25'!J37+'Sep 25'!J37+'Oct 25'!J37+'Nov 25'!J37+'Dec 25'!J37</f>
        <v>122.18</v>
      </c>
      <c r="K41" s="3"/>
      <c r="L41" s="3"/>
      <c r="M41" s="3" t="s">
        <v>172</v>
      </c>
      <c r="N41" s="3"/>
      <c r="O41" s="3"/>
      <c r="P41" s="31">
        <f>SUM('Jan - 26'!J37, 'Feb - 26'!J37,'Mar - 26'!J37)</f>
        <v>15.75</v>
      </c>
      <c r="Q41" s="3"/>
      <c r="R41" s="3"/>
      <c r="S41" s="3" t="s">
        <v>172</v>
      </c>
      <c r="T41" s="3"/>
      <c r="U41" s="3"/>
      <c r="V41" s="31">
        <f t="shared" si="1"/>
        <v>137.93</v>
      </c>
      <c r="W41" s="3"/>
      <c r="X41" s="3"/>
      <c r="Y41" s="3"/>
      <c r="Z41" s="3"/>
      <c r="AA41" s="3"/>
      <c r="AB41" s="3"/>
      <c r="AC41" s="3"/>
      <c r="AD41" s="3"/>
      <c r="AE41" s="3"/>
      <c r="AF41" s="3"/>
      <c r="AG41" s="3"/>
      <c r="AH41" s="3"/>
      <c r="AI41" s="3"/>
      <c r="AJ41" s="3"/>
      <c r="AK41" s="3"/>
      <c r="AL41" s="4"/>
      <c r="AM41" s="4"/>
      <c r="AN41" s="4"/>
      <c r="AO41" s="4"/>
      <c r="AP41" s="4"/>
      <c r="AQ41" s="4"/>
      <c r="AR41" s="4"/>
      <c r="AS41" s="4"/>
      <c r="AT41" s="4"/>
      <c r="AU41" s="4"/>
      <c r="AV41" s="4"/>
      <c r="AW41" s="4"/>
      <c r="AX41" s="4"/>
      <c r="AY41" s="4"/>
    </row>
    <row r="42" spans="1:51" ht="14" x14ac:dyDescent="0.2">
      <c r="A42" s="3" t="s">
        <v>124</v>
      </c>
      <c r="B42" s="3" t="s">
        <v>139</v>
      </c>
      <c r="C42" s="3"/>
      <c r="D42" s="31">
        <f>'Feb 24'!J38+'Mar 24'!J38+'Apr 24'!J38+'May 24'!J38+'Jun 24'!J38+'Jul 24'!J38+'Aug 24'!J38+'Sep 24'!J38+'Oct 24'!J38+'Nov 24'!J38+'Dec 24'!J38</f>
        <v>3.5</v>
      </c>
      <c r="E42" s="3"/>
      <c r="F42" s="3"/>
      <c r="G42" s="3" t="s">
        <v>124</v>
      </c>
      <c r="H42" s="3" t="s">
        <v>139</v>
      </c>
      <c r="I42" s="3"/>
      <c r="J42" s="31">
        <f>'Jan 25'!J38+'Feb 25'!J38+'Mar 25'!J38+'April 25'!J38+'May 25'!J38+'June 25'!J38+'July 25'!J38+'Aug 25'!J38+'Sep 25'!J38+'Oct 25'!J38+'Nov 25'!J38+'Dec 25'!J38</f>
        <v>0</v>
      </c>
      <c r="K42" s="3"/>
      <c r="L42" s="3"/>
      <c r="M42" s="3" t="s">
        <v>124</v>
      </c>
      <c r="N42" s="3" t="s">
        <v>139</v>
      </c>
      <c r="O42" s="3"/>
      <c r="P42" s="31">
        <f>SUM('Jan - 26'!J38, 'Feb - 26'!J38,'Mar - 26'!J38)</f>
        <v>0</v>
      </c>
      <c r="Q42" s="3"/>
      <c r="R42" s="3"/>
      <c r="S42" s="3" t="s">
        <v>124</v>
      </c>
      <c r="T42" s="3" t="s">
        <v>139</v>
      </c>
      <c r="U42" s="3"/>
      <c r="V42" s="31">
        <f t="shared" si="1"/>
        <v>3.5</v>
      </c>
      <c r="W42" s="3"/>
      <c r="X42" s="3"/>
      <c r="Y42" s="3"/>
      <c r="Z42" s="3"/>
      <c r="AA42" s="3"/>
      <c r="AB42" s="3"/>
      <c r="AC42" s="3"/>
      <c r="AD42" s="3"/>
      <c r="AE42" s="3"/>
      <c r="AF42" s="3"/>
      <c r="AG42" s="3"/>
      <c r="AH42" s="3"/>
      <c r="AI42" s="3"/>
      <c r="AJ42" s="3"/>
      <c r="AK42" s="3"/>
      <c r="AL42" s="4"/>
      <c r="AM42" s="4"/>
      <c r="AN42" s="4"/>
      <c r="AO42" s="4"/>
      <c r="AP42" s="4"/>
      <c r="AQ42" s="4"/>
      <c r="AR42" s="4"/>
      <c r="AS42" s="4"/>
      <c r="AT42" s="4"/>
      <c r="AU42" s="4"/>
      <c r="AV42" s="4"/>
      <c r="AW42" s="4"/>
      <c r="AX42" s="4"/>
      <c r="AY42" s="4"/>
    </row>
    <row r="43" spans="1:51" ht="14" x14ac:dyDescent="0.2">
      <c r="A43" s="3" t="s">
        <v>107</v>
      </c>
      <c r="B43" s="3" t="s">
        <v>140</v>
      </c>
      <c r="C43" s="3"/>
      <c r="D43" s="31">
        <f>'Feb 24'!J39+'Mar 24'!J39+'Apr 24'!J39+'May 24'!J39+'Jun 24'!J39+'Jul 24'!J39+'Aug 24'!J39+'Sep 24'!J39+'Oct 24'!J39+'Nov 24'!J39+'Dec 24'!J39</f>
        <v>1188.7900000000002</v>
      </c>
      <c r="E43" s="3"/>
      <c r="F43" s="3"/>
      <c r="G43" s="3" t="s">
        <v>107</v>
      </c>
      <c r="H43" s="3" t="s">
        <v>140</v>
      </c>
      <c r="I43" s="3"/>
      <c r="J43" s="31">
        <f>'Jan 25'!J39+'Feb 25'!J39+'Mar 25'!J39+'April 25'!J39+'May 25'!J39+'June 25'!J39+'July 25'!J39+'Aug 25'!J39+'Sep 25'!J39+'Oct 25'!J39+'Nov 25'!J39+'Dec 25'!J39</f>
        <v>2370.59</v>
      </c>
      <c r="K43" s="3"/>
      <c r="L43" s="3"/>
      <c r="M43" s="3" t="s">
        <v>107</v>
      </c>
      <c r="N43" s="3" t="s">
        <v>140</v>
      </c>
      <c r="O43" s="3"/>
      <c r="P43" s="31">
        <f>SUM('Jan - 26'!J39, 'Feb - 26'!J39,'Mar - 26'!J39)</f>
        <v>792.65</v>
      </c>
      <c r="Q43" s="3"/>
      <c r="R43" s="3"/>
      <c r="S43" s="3" t="s">
        <v>107</v>
      </c>
      <c r="T43" s="3" t="s">
        <v>140</v>
      </c>
      <c r="U43" s="3"/>
      <c r="V43" s="31">
        <f t="shared" si="1"/>
        <v>4352.03</v>
      </c>
      <c r="W43" s="3"/>
      <c r="X43" s="3"/>
      <c r="Y43" s="3"/>
      <c r="Z43" s="3"/>
      <c r="AA43" s="3"/>
      <c r="AB43" s="3"/>
      <c r="AC43" s="3"/>
      <c r="AD43" s="3"/>
      <c r="AE43" s="3"/>
      <c r="AF43" s="3"/>
      <c r="AG43" s="3"/>
      <c r="AH43" s="3"/>
      <c r="AI43" s="3"/>
      <c r="AJ43" s="3"/>
      <c r="AK43" s="3"/>
      <c r="AL43" s="4"/>
      <c r="AM43" s="4"/>
      <c r="AN43" s="4"/>
      <c r="AO43" s="4"/>
      <c r="AP43" s="4"/>
      <c r="AQ43" s="4"/>
      <c r="AR43" s="4"/>
      <c r="AS43" s="4"/>
      <c r="AT43" s="4"/>
      <c r="AU43" s="4"/>
      <c r="AV43" s="4"/>
      <c r="AW43" s="4"/>
      <c r="AX43" s="4"/>
      <c r="AY43" s="4"/>
    </row>
    <row r="44" spans="1:51" ht="14" x14ac:dyDescent="0.2">
      <c r="A44" s="3" t="s">
        <v>165</v>
      </c>
      <c r="B44" s="3"/>
      <c r="C44" s="3"/>
      <c r="D44" s="31">
        <f>'Feb 24'!J40+'Mar 24'!J40+'Apr 24'!J40+'May 24'!J40+'Jun 24'!J40+'Jul 24'!J40+'Aug 24'!J40+'Sep 24'!J40+'Oct 24'!J40+'Nov 24'!J40+'Dec 24'!J40</f>
        <v>15.5</v>
      </c>
      <c r="E44" s="3"/>
      <c r="F44" s="3"/>
      <c r="G44" s="3" t="s">
        <v>165</v>
      </c>
      <c r="H44" s="3"/>
      <c r="I44" s="3"/>
      <c r="J44" s="31">
        <f>'Jan 25'!J40+'Feb 25'!J40+'Mar 25'!J40+'April 25'!J40+'May 25'!J40+'June 25'!J40+'July 25'!J40+'Aug 25'!J40+'Sep 25'!J40+'Oct 25'!J40+'Nov 25'!J40+'Dec 25'!J40</f>
        <v>302.92</v>
      </c>
      <c r="K44" s="3"/>
      <c r="L44" s="3"/>
      <c r="M44" s="3" t="s">
        <v>165</v>
      </c>
      <c r="N44" s="3"/>
      <c r="O44" s="3"/>
      <c r="P44" s="31">
        <f>SUM('Jan - 26'!J40, 'Feb - 26'!J40,'Mar - 26'!J40)</f>
        <v>29.5</v>
      </c>
      <c r="Q44" s="3"/>
      <c r="R44" s="3"/>
      <c r="S44" s="3" t="s">
        <v>165</v>
      </c>
      <c r="T44" s="3"/>
      <c r="U44" s="3"/>
      <c r="V44" s="31">
        <f t="shared" si="1"/>
        <v>347.92</v>
      </c>
      <c r="W44" s="3"/>
      <c r="X44" s="3"/>
      <c r="Y44" s="3"/>
      <c r="Z44" s="3"/>
      <c r="AA44" s="3"/>
      <c r="AB44" s="3"/>
      <c r="AC44" s="3"/>
      <c r="AD44" s="3"/>
      <c r="AE44" s="3"/>
      <c r="AF44" s="3"/>
      <c r="AG44" s="3"/>
      <c r="AH44" s="3"/>
      <c r="AI44" s="3"/>
      <c r="AJ44" s="3"/>
      <c r="AK44" s="3"/>
      <c r="AL44" s="4"/>
      <c r="AM44" s="4"/>
      <c r="AN44" s="4"/>
      <c r="AO44" s="4"/>
      <c r="AP44" s="4"/>
      <c r="AQ44" s="4"/>
      <c r="AR44" s="4"/>
      <c r="AS44" s="4"/>
      <c r="AT44" s="4"/>
      <c r="AU44" s="4"/>
      <c r="AV44" s="4"/>
      <c r="AW44" s="4"/>
      <c r="AX44" s="4"/>
      <c r="AY44" s="4"/>
    </row>
    <row r="45" spans="1:51" ht="14" x14ac:dyDescent="0.2">
      <c r="A45" s="3" t="s">
        <v>418</v>
      </c>
      <c r="B45" s="3"/>
      <c r="C45" s="3"/>
      <c r="D45" s="31">
        <f>'Feb 24'!J41+'Mar 24'!J41+'Apr 24'!J41+'May 24'!J41+'Jun 24'!J41+'Jul 24'!J41+'Aug 24'!J41+'Sep 24'!J41+'Oct 24'!J41+'Nov 24'!J41+'Dec 24'!J41</f>
        <v>0</v>
      </c>
      <c r="E45" s="3"/>
      <c r="F45" s="3"/>
      <c r="G45" s="3" t="s">
        <v>418</v>
      </c>
      <c r="H45" s="3"/>
      <c r="I45" s="3"/>
      <c r="J45" s="31">
        <f>'Jan 25'!J41+'Feb 25'!J41+'Mar 25'!J41+'April 25'!J41+'May 25'!J41+'June 25'!J41+'July 25'!J41+'Aug 25'!J41+'Sep 25'!J41+'Oct 25'!J41+'Nov 25'!J41+'Dec 25'!J41</f>
        <v>0</v>
      </c>
      <c r="K45" s="3"/>
      <c r="L45" s="3"/>
      <c r="M45" s="3" t="s">
        <v>418</v>
      </c>
      <c r="N45" s="3"/>
      <c r="O45" s="3"/>
      <c r="P45" s="31">
        <f>SUM('Jan - 26'!J41, 'Feb - 26'!J41,'Mar - 26'!J41)</f>
        <v>444.42</v>
      </c>
      <c r="Q45" s="3"/>
      <c r="R45" s="3"/>
      <c r="S45" s="3" t="s">
        <v>418</v>
      </c>
      <c r="T45" s="3"/>
      <c r="U45" s="3"/>
      <c r="V45" s="31">
        <f t="shared" si="1"/>
        <v>444.42</v>
      </c>
      <c r="W45" s="3"/>
      <c r="X45" s="3"/>
      <c r="Y45" s="3"/>
      <c r="Z45" s="3"/>
      <c r="AA45" s="3"/>
      <c r="AB45" s="3"/>
      <c r="AC45" s="3"/>
      <c r="AD45" s="3"/>
      <c r="AE45" s="3"/>
      <c r="AF45" s="3"/>
      <c r="AG45" s="3"/>
      <c r="AH45" s="3"/>
      <c r="AI45" s="3"/>
      <c r="AJ45" s="3"/>
      <c r="AK45" s="3"/>
      <c r="AL45" s="4"/>
      <c r="AM45" s="4"/>
      <c r="AN45" s="4"/>
      <c r="AO45" s="4"/>
      <c r="AP45" s="4"/>
      <c r="AQ45" s="4"/>
      <c r="AR45" s="4"/>
      <c r="AS45" s="4"/>
      <c r="AT45" s="4"/>
      <c r="AU45" s="4"/>
      <c r="AV45" s="4"/>
      <c r="AW45" s="4"/>
      <c r="AX45" s="4"/>
      <c r="AY45" s="4"/>
    </row>
    <row r="46" spans="1:51" ht="14" x14ac:dyDescent="0.2">
      <c r="A46" s="3" t="s">
        <v>371</v>
      </c>
      <c r="B46" s="3" t="s">
        <v>141</v>
      </c>
      <c r="C46" s="3"/>
      <c r="D46" s="31">
        <f>'Feb 24'!J42+'Mar 24'!J42+'Apr 24'!J42+'May 24'!J42+'Jun 24'!J42+'Jul 24'!J42+'Aug 24'!J42+'Sep 24'!J42+'Oct 24'!J42+'Nov 24'!J42+'Dec 24'!J42</f>
        <v>355.08</v>
      </c>
      <c r="E46" s="3"/>
      <c r="F46" s="3"/>
      <c r="G46" s="3" t="s">
        <v>371</v>
      </c>
      <c r="H46" s="3" t="s">
        <v>141</v>
      </c>
      <c r="I46" s="3"/>
      <c r="J46" s="31">
        <f>'Jan 25'!J42+'Feb 25'!J42+'Mar 25'!J42+'April 25'!J42+'May 25'!J42+'June 25'!J42+'July 25'!J42+'Aug 25'!J42+'Sep 25'!J42+'Oct 25'!J42+'Nov 25'!J42+'Dec 25'!J42</f>
        <v>313.64</v>
      </c>
      <c r="K46" s="3"/>
      <c r="L46" s="3"/>
      <c r="M46" s="3" t="s">
        <v>371</v>
      </c>
      <c r="N46" s="3" t="s">
        <v>141</v>
      </c>
      <c r="O46" s="3"/>
      <c r="P46" s="31">
        <f>SUM('Jan - 26'!J42, 'Feb - 26'!J42,'Mar - 26'!J42)</f>
        <v>450.99</v>
      </c>
      <c r="Q46" s="3"/>
      <c r="R46" s="3"/>
      <c r="S46" s="3" t="s">
        <v>371</v>
      </c>
      <c r="T46" s="3" t="s">
        <v>141</v>
      </c>
      <c r="U46" s="3"/>
      <c r="V46" s="31">
        <f t="shared" si="1"/>
        <v>1119.71</v>
      </c>
      <c r="W46" s="3"/>
      <c r="X46" s="3"/>
      <c r="Y46" s="3"/>
      <c r="Z46" s="3"/>
      <c r="AA46" s="3"/>
      <c r="AB46" s="3"/>
      <c r="AC46" s="3"/>
      <c r="AD46" s="3"/>
      <c r="AE46" s="3"/>
      <c r="AF46" s="3"/>
      <c r="AG46" s="3"/>
      <c r="AH46" s="3"/>
      <c r="AI46" s="3"/>
      <c r="AJ46" s="3"/>
      <c r="AK46" s="3"/>
      <c r="AL46" s="4"/>
      <c r="AM46" s="4"/>
      <c r="AN46" s="4"/>
      <c r="AO46" s="4"/>
      <c r="AP46" s="4"/>
      <c r="AQ46" s="4"/>
      <c r="AR46" s="4"/>
      <c r="AS46" s="4"/>
      <c r="AT46" s="4"/>
      <c r="AU46" s="4"/>
      <c r="AV46" s="4"/>
      <c r="AW46" s="4"/>
      <c r="AX46" s="4"/>
      <c r="AY46" s="4"/>
    </row>
    <row r="47" spans="1:51" ht="14" x14ac:dyDescent="0.2">
      <c r="A47" s="3" t="s">
        <v>17</v>
      </c>
      <c r="B47" s="3" t="s">
        <v>142</v>
      </c>
      <c r="C47" s="1"/>
      <c r="D47" s="31">
        <f>'Feb 24'!J43+'Mar 24'!J43+'Apr 24'!J43+'May 24'!J43+'Jun 24'!J43+'Jul 24'!J43+'Aug 24'!J43+'Sep 24'!J43+'Oct 24'!J43+'Nov 24'!J43+'Dec 24'!J43</f>
        <v>46.5</v>
      </c>
      <c r="E47" s="1"/>
      <c r="F47" s="1"/>
      <c r="G47" s="3" t="s">
        <v>17</v>
      </c>
      <c r="H47" s="3" t="s">
        <v>142</v>
      </c>
      <c r="I47" s="1"/>
      <c r="J47" s="31">
        <f>'Jan 25'!J43+'Feb 25'!J43+'Mar 25'!J43+'April 25'!J43+'May 25'!J43+'June 25'!J43+'July 25'!J43+'Aug 25'!J43+'Sep 25'!J43+'Oct 25'!J43+'Nov 25'!J43+'Dec 25'!J43</f>
        <v>0</v>
      </c>
      <c r="K47" s="1"/>
      <c r="L47" s="1"/>
      <c r="M47" s="3" t="s">
        <v>17</v>
      </c>
      <c r="N47" s="3" t="s">
        <v>142</v>
      </c>
      <c r="O47" s="1"/>
      <c r="P47" s="31">
        <f>SUM('Jan - 26'!J43, 'Feb - 26'!J43,'Mar - 26'!J43)</f>
        <v>0</v>
      </c>
      <c r="Q47" s="1"/>
      <c r="R47" s="1"/>
      <c r="S47" s="3" t="s">
        <v>17</v>
      </c>
      <c r="T47" s="3" t="s">
        <v>142</v>
      </c>
      <c r="U47" s="1"/>
      <c r="V47" s="31">
        <f t="shared" si="1"/>
        <v>46.5</v>
      </c>
      <c r="W47" s="1"/>
      <c r="X47" s="1"/>
      <c r="Y47" s="1"/>
      <c r="Z47" s="1"/>
      <c r="AA47" s="1"/>
      <c r="AB47" s="1"/>
      <c r="AC47" s="1"/>
      <c r="AD47" s="1"/>
      <c r="AE47" s="1"/>
      <c r="AF47" s="1"/>
      <c r="AG47" s="1"/>
      <c r="AH47" s="1"/>
      <c r="AI47" s="1"/>
      <c r="AJ47" s="1"/>
      <c r="AK47" s="1"/>
      <c r="AL47" s="4"/>
      <c r="AM47" s="4"/>
      <c r="AN47" s="4"/>
      <c r="AO47" s="4"/>
      <c r="AP47" s="4"/>
      <c r="AQ47" s="4"/>
      <c r="AR47" s="4"/>
      <c r="AS47" s="4"/>
      <c r="AT47" s="4"/>
      <c r="AU47" s="4"/>
      <c r="AV47" s="4"/>
      <c r="AW47" s="4"/>
      <c r="AX47" s="4"/>
      <c r="AY47" s="4"/>
    </row>
    <row r="48" spans="1:51" ht="14" x14ac:dyDescent="0.2">
      <c r="A48" s="3" t="s">
        <v>18</v>
      </c>
      <c r="B48" s="3" t="s">
        <v>143</v>
      </c>
      <c r="C48" s="1"/>
      <c r="D48" s="31">
        <f>'Feb 24'!J44+'Mar 24'!J44+'Apr 24'!J44+'May 24'!J44+'Jun 24'!J44+'Jul 24'!J44+'Aug 24'!J44+'Sep 24'!J44+'Oct 24'!J44+'Nov 24'!J44+'Dec 24'!J44</f>
        <v>7125.79</v>
      </c>
      <c r="E48" s="1"/>
      <c r="F48" s="1"/>
      <c r="G48" s="3" t="s">
        <v>18</v>
      </c>
      <c r="H48" s="3" t="s">
        <v>143</v>
      </c>
      <c r="I48" s="1"/>
      <c r="J48" s="31">
        <f>'Jan 25'!J44+'Feb 25'!J44+'Mar 25'!J44+'April 25'!J44+'May 25'!J44+'June 25'!J44+'July 25'!J44+'Aug 25'!J44+'Sep 25'!J44+'Oct 25'!J44+'Nov 25'!J44+'Dec 25'!J44</f>
        <v>8645.9</v>
      </c>
      <c r="K48" s="1"/>
      <c r="L48" s="1"/>
      <c r="M48" s="3" t="s">
        <v>18</v>
      </c>
      <c r="N48" s="3" t="s">
        <v>143</v>
      </c>
      <c r="O48" s="1"/>
      <c r="P48" s="31">
        <f>SUM('Jan - 26'!J44, 'Feb - 26'!J44,'Mar - 26'!J44)</f>
        <v>1756.8999999999999</v>
      </c>
      <c r="Q48" s="1"/>
      <c r="R48" s="1"/>
      <c r="S48" s="3" t="s">
        <v>18</v>
      </c>
      <c r="T48" s="3" t="s">
        <v>143</v>
      </c>
      <c r="U48" s="1"/>
      <c r="V48" s="31">
        <f t="shared" si="1"/>
        <v>17528.59</v>
      </c>
      <c r="W48" s="1"/>
      <c r="X48" s="1"/>
      <c r="Y48" s="1"/>
      <c r="Z48" s="1"/>
      <c r="AA48" s="1"/>
      <c r="AB48" s="1"/>
      <c r="AC48" s="1"/>
      <c r="AD48" s="1"/>
      <c r="AE48" s="1"/>
      <c r="AF48" s="1"/>
      <c r="AG48" s="1"/>
      <c r="AH48" s="1"/>
      <c r="AI48" s="1"/>
      <c r="AJ48" s="1"/>
      <c r="AK48" s="1"/>
      <c r="AL48" s="4"/>
      <c r="AM48" s="4"/>
      <c r="AN48" s="4"/>
      <c r="AO48" s="4"/>
      <c r="AP48" s="4"/>
      <c r="AQ48" s="4"/>
      <c r="AR48" s="4"/>
      <c r="AS48" s="4"/>
      <c r="AT48" s="4"/>
      <c r="AU48" s="4"/>
      <c r="AV48" s="4"/>
      <c r="AW48" s="4"/>
      <c r="AX48" s="4"/>
      <c r="AY48" s="4"/>
    </row>
    <row r="49" spans="1:51" ht="14" x14ac:dyDescent="0.2">
      <c r="A49" s="3" t="s">
        <v>19</v>
      </c>
      <c r="B49" s="3" t="s">
        <v>144</v>
      </c>
      <c r="C49" s="1"/>
      <c r="D49" s="31">
        <f>'Feb 24'!J45+'Mar 24'!J45+'Apr 24'!J45+'May 24'!J45+'Jun 24'!J45+'Jul 24'!J45+'Aug 24'!J45+'Sep 24'!J45+'Oct 24'!J45+'Nov 24'!J45+'Dec 24'!J45</f>
        <v>5547.0099999999993</v>
      </c>
      <c r="E49" s="1"/>
      <c r="F49" s="1"/>
      <c r="G49" s="3" t="s">
        <v>19</v>
      </c>
      <c r="H49" s="3" t="s">
        <v>144</v>
      </c>
      <c r="I49" s="1"/>
      <c r="J49" s="31">
        <f>'Jan 25'!J45+'Feb 25'!J45+'Mar 25'!J45+'April 25'!J45+'May 25'!J45+'June 25'!J45+'July 25'!J45+'Aug 25'!J45+'Sep 25'!J45+'Oct 25'!J45+'Nov 25'!J45+'Dec 25'!J45</f>
        <v>4461.1399999999994</v>
      </c>
      <c r="K49" s="1"/>
      <c r="L49" s="1"/>
      <c r="M49" s="3" t="s">
        <v>19</v>
      </c>
      <c r="N49" s="3" t="s">
        <v>144</v>
      </c>
      <c r="O49" s="1"/>
      <c r="P49" s="31">
        <f>SUM('Jan - 26'!J45, 'Feb - 26'!J45,'Mar - 26'!J45)</f>
        <v>2014.3500000000004</v>
      </c>
      <c r="Q49" s="1"/>
      <c r="R49" s="1"/>
      <c r="S49" s="3" t="s">
        <v>19</v>
      </c>
      <c r="T49" s="3" t="s">
        <v>144</v>
      </c>
      <c r="U49" s="1"/>
      <c r="V49" s="31">
        <f t="shared" si="1"/>
        <v>12022.499999999998</v>
      </c>
      <c r="W49" s="1"/>
      <c r="X49" s="1"/>
      <c r="Y49" s="1"/>
      <c r="Z49" s="1"/>
      <c r="AA49" s="1"/>
      <c r="AB49" s="1"/>
      <c r="AC49" s="1"/>
      <c r="AD49" s="1"/>
      <c r="AE49" s="1"/>
      <c r="AF49" s="1"/>
      <c r="AG49" s="1"/>
      <c r="AH49" s="1"/>
      <c r="AI49" s="1"/>
      <c r="AJ49" s="1"/>
      <c r="AK49" s="1"/>
      <c r="AL49" s="4"/>
      <c r="AM49" s="4"/>
      <c r="AN49" s="4"/>
      <c r="AO49" s="4"/>
      <c r="AP49" s="4"/>
      <c r="AQ49" s="4"/>
      <c r="AR49" s="4"/>
      <c r="AS49" s="4"/>
      <c r="AT49" s="4"/>
      <c r="AU49" s="4"/>
      <c r="AV49" s="4"/>
      <c r="AW49" s="4"/>
      <c r="AX49" s="4"/>
      <c r="AY49" s="4"/>
    </row>
    <row r="50" spans="1:51" ht="14" x14ac:dyDescent="0.2">
      <c r="A50" s="3" t="s">
        <v>422</v>
      </c>
      <c r="B50" s="3"/>
      <c r="C50" s="1"/>
      <c r="D50" s="31">
        <f>'Feb 24'!J46+'Mar 24'!J46+'Apr 24'!J46+'May 24'!J46+'Jun 24'!J46+'Jul 24'!J46+'Aug 24'!J46+'Sep 24'!J46+'Oct 24'!J46+'Nov 24'!J46+'Dec 24'!J46</f>
        <v>0</v>
      </c>
      <c r="E50" s="1"/>
      <c r="F50" s="1"/>
      <c r="G50" s="3" t="s">
        <v>422</v>
      </c>
      <c r="H50" s="3"/>
      <c r="I50" s="1"/>
      <c r="J50" s="31">
        <f>'Jan 25'!J46+'Feb 25'!J46+'Mar 25'!J46+'April 25'!J46+'May 25'!J46+'June 25'!J46+'July 25'!J46+'Aug 25'!J46+'Sep 25'!J46+'Oct 25'!J46+'Nov 25'!J46+'Dec 25'!J46</f>
        <v>0</v>
      </c>
      <c r="K50" s="1"/>
      <c r="L50" s="1"/>
      <c r="M50" s="3" t="s">
        <v>422</v>
      </c>
      <c r="N50" s="3"/>
      <c r="O50" s="1"/>
      <c r="P50" s="31">
        <f>SUM('Jan - 26'!J46, 'Feb - 26'!J46,'Mar - 26'!J46)</f>
        <v>0</v>
      </c>
      <c r="Q50" s="1"/>
      <c r="R50" s="1"/>
      <c r="S50" s="3" t="s">
        <v>422</v>
      </c>
      <c r="T50" s="3"/>
      <c r="U50" s="1"/>
      <c r="V50" s="31">
        <f t="shared" si="1"/>
        <v>0</v>
      </c>
      <c r="W50" s="1"/>
      <c r="X50" s="1"/>
      <c r="Y50" s="1"/>
      <c r="Z50" s="1"/>
      <c r="AA50" s="1"/>
      <c r="AB50" s="1"/>
      <c r="AC50" s="1"/>
      <c r="AD50" s="1"/>
      <c r="AE50" s="1"/>
      <c r="AF50" s="1"/>
      <c r="AG50" s="1"/>
      <c r="AH50" s="1"/>
      <c r="AI50" s="1"/>
      <c r="AJ50" s="1"/>
      <c r="AK50" s="1"/>
      <c r="AL50" s="4"/>
      <c r="AM50" s="4"/>
      <c r="AN50" s="4"/>
      <c r="AO50" s="4"/>
      <c r="AP50" s="4"/>
      <c r="AQ50" s="4"/>
      <c r="AR50" s="4"/>
      <c r="AS50" s="4"/>
      <c r="AT50" s="4"/>
      <c r="AU50" s="4"/>
      <c r="AV50" s="4"/>
      <c r="AW50" s="4"/>
      <c r="AX50" s="4"/>
      <c r="AY50" s="4"/>
    </row>
    <row r="51" spans="1:51" ht="14" x14ac:dyDescent="0.2">
      <c r="A51" s="3" t="s">
        <v>187</v>
      </c>
      <c r="B51" s="3"/>
      <c r="C51" s="1"/>
      <c r="D51" s="31">
        <f>'Feb 24'!J47+'Mar 24'!J47+'Apr 24'!J47+'May 24'!J47+'Jun 24'!J47+'Jul 24'!J47+'Aug 24'!J47+'Sep 24'!J47+'Oct 24'!J47+'Nov 24'!J47+'Dec 24'!J47</f>
        <v>0</v>
      </c>
      <c r="E51" s="1"/>
      <c r="F51" s="1"/>
      <c r="G51" s="3" t="s">
        <v>187</v>
      </c>
      <c r="H51" s="3"/>
      <c r="I51" s="1"/>
      <c r="J51" s="31">
        <f>'Jan 25'!J47+'Feb 25'!J47+'Mar 25'!J47+'April 25'!J47+'May 25'!J47+'June 25'!J47+'July 25'!J47+'Aug 25'!J47+'Sep 25'!J47+'Oct 25'!J47+'Nov 25'!J47+'Dec 25'!J47</f>
        <v>59.6</v>
      </c>
      <c r="K51" s="1"/>
      <c r="L51" s="1"/>
      <c r="M51" s="3" t="s">
        <v>187</v>
      </c>
      <c r="N51" s="3"/>
      <c r="O51" s="1"/>
      <c r="P51" s="31">
        <f>SUM('Jan - 26'!J47, 'Feb - 26'!J47,'Mar - 26'!J47)</f>
        <v>64.16</v>
      </c>
      <c r="Q51" s="1"/>
      <c r="R51" s="1"/>
      <c r="S51" s="3" t="s">
        <v>187</v>
      </c>
      <c r="T51" s="3"/>
      <c r="U51" s="1"/>
      <c r="V51" s="31">
        <f t="shared" si="1"/>
        <v>123.75999999999999</v>
      </c>
      <c r="W51" s="1"/>
      <c r="X51" s="1"/>
      <c r="Y51" s="1"/>
      <c r="Z51" s="1"/>
      <c r="AA51" s="1"/>
      <c r="AB51" s="1"/>
      <c r="AC51" s="1"/>
      <c r="AD51" s="1"/>
      <c r="AE51" s="1"/>
      <c r="AF51" s="1"/>
      <c r="AG51" s="1"/>
      <c r="AH51" s="1"/>
      <c r="AI51" s="1"/>
      <c r="AJ51" s="1"/>
      <c r="AK51" s="1"/>
      <c r="AL51" s="4"/>
      <c r="AM51" s="4"/>
      <c r="AN51" s="4"/>
      <c r="AO51" s="4"/>
      <c r="AP51" s="4"/>
      <c r="AQ51" s="4"/>
      <c r="AR51" s="4"/>
      <c r="AS51" s="4"/>
      <c r="AT51" s="4"/>
      <c r="AU51" s="4"/>
      <c r="AV51" s="4"/>
      <c r="AW51" s="4"/>
      <c r="AX51" s="4"/>
      <c r="AY51" s="4"/>
    </row>
    <row r="52" spans="1:51" ht="14" x14ac:dyDescent="0.2">
      <c r="A52" s="3" t="s">
        <v>288</v>
      </c>
      <c r="B52" s="3"/>
      <c r="C52" s="1"/>
      <c r="D52" s="31">
        <f>'Feb 24'!J48+'Mar 24'!J48+'Apr 24'!J48+'May 24'!J48+'Jun 24'!J48+'Jul 24'!J48+'Aug 24'!J48+'Sep 24'!J48+'Oct 24'!J48+'Nov 24'!J48+'Dec 24'!J48</f>
        <v>0</v>
      </c>
      <c r="E52" s="1"/>
      <c r="F52" s="1"/>
      <c r="G52" s="3" t="s">
        <v>288</v>
      </c>
      <c r="H52" s="3"/>
      <c r="I52" s="1"/>
      <c r="J52" s="31">
        <f>'Jan 25'!J48+'Feb 25'!J48+'Mar 25'!J48+'April 25'!J48+'May 25'!J48+'June 25'!J48+'July 25'!J48+'Aug 25'!J48+'Sep 25'!J48+'Oct 25'!J48+'Nov 25'!J48+'Dec 25'!J48</f>
        <v>51.75</v>
      </c>
      <c r="K52" s="1"/>
      <c r="L52" s="1"/>
      <c r="M52" s="3" t="s">
        <v>288</v>
      </c>
      <c r="N52" s="3"/>
      <c r="O52" s="1"/>
      <c r="P52" s="31">
        <f>SUM('Jan - 26'!J48, 'Feb - 26'!J48,'Mar - 26'!J48)</f>
        <v>95.75</v>
      </c>
      <c r="Q52" s="1"/>
      <c r="R52" s="1"/>
      <c r="S52" s="3" t="s">
        <v>288</v>
      </c>
      <c r="T52" s="3"/>
      <c r="U52" s="1"/>
      <c r="V52" s="31">
        <f t="shared" si="1"/>
        <v>147.5</v>
      </c>
      <c r="W52" s="1"/>
      <c r="X52" s="1"/>
      <c r="Y52" s="1"/>
      <c r="Z52" s="1"/>
      <c r="AA52" s="1"/>
      <c r="AB52" s="1"/>
      <c r="AC52" s="1"/>
      <c r="AD52" s="1"/>
      <c r="AE52" s="1"/>
      <c r="AF52" s="1"/>
      <c r="AG52" s="1"/>
      <c r="AH52" s="1"/>
      <c r="AI52" s="1"/>
      <c r="AJ52" s="1"/>
      <c r="AK52" s="1"/>
      <c r="AL52" s="4"/>
      <c r="AM52" s="4"/>
      <c r="AN52" s="4"/>
      <c r="AO52" s="4"/>
      <c r="AP52" s="4"/>
      <c r="AQ52" s="4"/>
      <c r="AR52" s="4"/>
      <c r="AS52" s="4"/>
      <c r="AT52" s="4"/>
      <c r="AU52" s="4"/>
      <c r="AV52" s="4"/>
      <c r="AW52" s="4"/>
      <c r="AX52" s="4"/>
      <c r="AY52" s="4"/>
    </row>
    <row r="53" spans="1:51" ht="14" x14ac:dyDescent="0.2">
      <c r="A53" s="3" t="s">
        <v>184</v>
      </c>
      <c r="B53" s="3"/>
      <c r="C53" s="1"/>
      <c r="D53" s="31">
        <f>'Feb 24'!J49+'Mar 24'!J49+'Apr 24'!J49+'May 24'!J49+'Jun 24'!J49+'Jul 24'!J49+'Aug 24'!J49+'Sep 24'!J49+'Oct 24'!J49+'Nov 24'!J49+'Dec 24'!J49</f>
        <v>0</v>
      </c>
      <c r="E53" s="1"/>
      <c r="F53" s="1"/>
      <c r="G53" s="3" t="s">
        <v>184</v>
      </c>
      <c r="H53" s="3"/>
      <c r="I53" s="1"/>
      <c r="J53" s="31">
        <f>'Jan 25'!J49+'Feb 25'!J49+'Mar 25'!J49+'April 25'!J49+'May 25'!J49+'June 25'!J49+'July 25'!J49+'Aug 25'!J49+'Sep 25'!J49+'Oct 25'!J49+'Nov 25'!J49+'Dec 25'!J49</f>
        <v>89.67</v>
      </c>
      <c r="K53" s="1"/>
      <c r="L53" s="1"/>
      <c r="M53" s="3" t="s">
        <v>184</v>
      </c>
      <c r="N53" s="3"/>
      <c r="O53" s="1"/>
      <c r="P53" s="31">
        <f>SUM('Jan - 26'!J49, 'Feb - 26'!J49,'Mar - 26'!J49)</f>
        <v>0</v>
      </c>
      <c r="Q53" s="1"/>
      <c r="R53" s="1"/>
      <c r="S53" s="3" t="s">
        <v>184</v>
      </c>
      <c r="T53" s="3"/>
      <c r="U53" s="1"/>
      <c r="V53" s="31">
        <f t="shared" si="1"/>
        <v>89.67</v>
      </c>
      <c r="W53" s="1"/>
      <c r="X53" s="1"/>
      <c r="Y53" s="1"/>
      <c r="Z53" s="1"/>
      <c r="AA53" s="1"/>
      <c r="AB53" s="1"/>
      <c r="AC53" s="1"/>
      <c r="AD53" s="1"/>
      <c r="AE53" s="1"/>
      <c r="AF53" s="1"/>
      <c r="AG53" s="1"/>
      <c r="AH53" s="1"/>
      <c r="AI53" s="1"/>
      <c r="AJ53" s="1"/>
      <c r="AK53" s="1"/>
      <c r="AL53" s="4"/>
      <c r="AM53" s="4"/>
      <c r="AN53" s="4"/>
      <c r="AO53" s="4"/>
      <c r="AP53" s="4"/>
      <c r="AQ53" s="4"/>
      <c r="AR53" s="4"/>
      <c r="AS53" s="4"/>
      <c r="AT53" s="4"/>
      <c r="AU53" s="4"/>
      <c r="AV53" s="4"/>
      <c r="AW53" s="4"/>
      <c r="AX53" s="4"/>
      <c r="AY53" s="4"/>
    </row>
    <row r="54" spans="1:51" ht="14" x14ac:dyDescent="0.2">
      <c r="A54" s="3" t="s">
        <v>157</v>
      </c>
      <c r="B54" s="3" t="s">
        <v>159</v>
      </c>
      <c r="C54" s="1"/>
      <c r="D54" s="31">
        <f>'Feb 24'!J50+'Mar 24'!J50+'Apr 24'!J50+'May 24'!J50+'Jun 24'!J50+'Jul 24'!J50+'Aug 24'!J50+'Sep 24'!J50+'Oct 24'!J50+'Nov 24'!J50+'Dec 24'!J50</f>
        <v>35.92</v>
      </c>
      <c r="E54" s="1"/>
      <c r="F54" s="1"/>
      <c r="G54" s="3" t="s">
        <v>157</v>
      </c>
      <c r="H54" s="3" t="s">
        <v>159</v>
      </c>
      <c r="I54" s="1"/>
      <c r="J54" s="31">
        <f>'Jan 25'!J50+'Feb 25'!J50+'Mar 25'!J50+'April 25'!J50+'May 25'!J50+'June 25'!J50+'July 25'!J50+'Aug 25'!J50+'Sep 25'!J50+'Oct 25'!J50+'Nov 25'!J50+'Dec 25'!J50</f>
        <v>0</v>
      </c>
      <c r="K54" s="1"/>
      <c r="L54" s="1"/>
      <c r="M54" s="3" t="s">
        <v>157</v>
      </c>
      <c r="N54" s="3" t="s">
        <v>159</v>
      </c>
      <c r="O54" s="1"/>
      <c r="P54" s="31">
        <f>SUM('Jan - 26'!J50, 'Feb - 26'!J50,'Mar - 26'!J50)</f>
        <v>0</v>
      </c>
      <c r="Q54" s="1"/>
      <c r="R54" s="1"/>
      <c r="S54" s="3" t="s">
        <v>157</v>
      </c>
      <c r="T54" s="3" t="s">
        <v>159</v>
      </c>
      <c r="U54" s="1"/>
      <c r="V54" s="31">
        <f t="shared" si="1"/>
        <v>35.92</v>
      </c>
      <c r="W54" s="1"/>
      <c r="X54" s="1"/>
      <c r="Y54" s="1"/>
      <c r="Z54" s="1"/>
      <c r="AA54" s="1"/>
      <c r="AB54" s="1"/>
      <c r="AC54" s="1"/>
      <c r="AD54" s="1"/>
      <c r="AE54" s="1"/>
      <c r="AF54" s="1"/>
      <c r="AG54" s="1"/>
      <c r="AH54" s="1"/>
      <c r="AI54" s="1"/>
      <c r="AJ54" s="1"/>
      <c r="AK54" s="1"/>
      <c r="AL54" s="4"/>
      <c r="AM54" s="4"/>
      <c r="AN54" s="4"/>
      <c r="AO54" s="4"/>
      <c r="AP54" s="4"/>
      <c r="AQ54" s="4"/>
      <c r="AR54" s="4"/>
      <c r="AS54" s="4"/>
      <c r="AT54" s="4"/>
      <c r="AU54" s="4"/>
      <c r="AV54" s="4"/>
      <c r="AW54" s="4"/>
      <c r="AX54" s="4"/>
      <c r="AY54" s="4"/>
    </row>
    <row r="55" spans="1:51" ht="14" x14ac:dyDescent="0.2">
      <c r="A55" s="3" t="s">
        <v>158</v>
      </c>
      <c r="B55" s="3" t="s">
        <v>160</v>
      </c>
      <c r="C55" s="1"/>
      <c r="D55" s="31">
        <f>'Feb 24'!J51+'Mar 24'!J51+'Apr 24'!J51+'May 24'!J51+'Jun 24'!J51+'Jul 24'!J51+'Aug 24'!J51+'Sep 24'!J51+'Oct 24'!J51+'Nov 24'!J51+'Dec 24'!J51</f>
        <v>116.34</v>
      </c>
      <c r="E55" s="1"/>
      <c r="F55" s="1"/>
      <c r="G55" s="3" t="s">
        <v>158</v>
      </c>
      <c r="H55" s="3" t="s">
        <v>160</v>
      </c>
      <c r="I55" s="1"/>
      <c r="J55" s="31">
        <f>'Jan 25'!J51+'Feb 25'!J51+'Mar 25'!J51+'April 25'!J51+'May 25'!J51+'June 25'!J51+'July 25'!J51+'Aug 25'!J51+'Sep 25'!J51+'Oct 25'!J51+'Nov 25'!J51+'Dec 25'!J51</f>
        <v>0</v>
      </c>
      <c r="K55" s="1"/>
      <c r="L55" s="1"/>
      <c r="M55" s="3" t="s">
        <v>158</v>
      </c>
      <c r="N55" s="3" t="s">
        <v>160</v>
      </c>
      <c r="O55" s="1"/>
      <c r="P55" s="31">
        <f>SUM('Jan - 26'!J51, 'Feb - 26'!J51,'Mar - 26'!J51)</f>
        <v>0</v>
      </c>
      <c r="Q55" s="1"/>
      <c r="R55" s="1"/>
      <c r="S55" s="3" t="s">
        <v>158</v>
      </c>
      <c r="T55" s="3" t="s">
        <v>160</v>
      </c>
      <c r="U55" s="1"/>
      <c r="V55" s="31">
        <f t="shared" si="1"/>
        <v>116.34</v>
      </c>
      <c r="W55" s="1"/>
      <c r="X55" s="1"/>
      <c r="Y55" s="1"/>
      <c r="Z55" s="1"/>
      <c r="AA55" s="1"/>
      <c r="AB55" s="1"/>
      <c r="AC55" s="1"/>
      <c r="AD55" s="1"/>
      <c r="AE55" s="1"/>
      <c r="AF55" s="1"/>
      <c r="AG55" s="1"/>
      <c r="AH55" s="1"/>
      <c r="AI55" s="1"/>
      <c r="AJ55" s="1"/>
      <c r="AK55" s="1"/>
      <c r="AL55" s="4"/>
      <c r="AM55" s="4"/>
      <c r="AN55" s="4"/>
      <c r="AO55" s="4"/>
      <c r="AP55" s="4"/>
      <c r="AQ55" s="4"/>
      <c r="AR55" s="4"/>
      <c r="AS55" s="4"/>
      <c r="AT55" s="4"/>
      <c r="AU55" s="4"/>
      <c r="AV55" s="4"/>
      <c r="AW55" s="4"/>
      <c r="AX55" s="4"/>
      <c r="AY55" s="4"/>
    </row>
    <row r="56" spans="1:51" ht="14" x14ac:dyDescent="0.2">
      <c r="A56" s="3" t="s">
        <v>115</v>
      </c>
      <c r="B56" s="3" t="s">
        <v>145</v>
      </c>
      <c r="C56" s="1"/>
      <c r="D56" s="31">
        <f>'Feb 24'!J52+'Mar 24'!J52+'Apr 24'!J52+'May 24'!J52+'Jun 24'!J52+'Jul 24'!J52+'Aug 24'!J52+'Sep 24'!J52+'Oct 24'!J52+'Nov 24'!J52+'Dec 24'!J52</f>
        <v>114.5</v>
      </c>
      <c r="E56" s="1"/>
      <c r="F56" s="1"/>
      <c r="G56" s="3" t="s">
        <v>115</v>
      </c>
      <c r="H56" s="3" t="s">
        <v>145</v>
      </c>
      <c r="I56" s="1"/>
      <c r="J56" s="31">
        <f>'Jan 25'!J52+'Feb 25'!J52+'Mar 25'!J52+'April 25'!J52+'May 25'!J52+'June 25'!J52+'July 25'!J52+'Aug 25'!J52+'Sep 25'!J52+'Oct 25'!J52+'Nov 25'!J52+'Dec 25'!J52</f>
        <v>47.42</v>
      </c>
      <c r="K56" s="1"/>
      <c r="L56" s="1"/>
      <c r="M56" s="3" t="s">
        <v>115</v>
      </c>
      <c r="N56" s="3" t="s">
        <v>145</v>
      </c>
      <c r="O56" s="1"/>
      <c r="P56" s="31">
        <f>SUM('Jan - 26'!J52, 'Feb - 26'!J52,'Mar - 26'!J52)</f>
        <v>0</v>
      </c>
      <c r="Q56" s="1"/>
      <c r="R56" s="1"/>
      <c r="S56" s="3" t="s">
        <v>115</v>
      </c>
      <c r="T56" s="3" t="s">
        <v>145</v>
      </c>
      <c r="U56" s="1"/>
      <c r="V56" s="31">
        <f t="shared" si="1"/>
        <v>161.92000000000002</v>
      </c>
      <c r="W56" s="1"/>
      <c r="X56" s="1"/>
      <c r="Y56" s="1"/>
      <c r="Z56" s="1"/>
      <c r="AA56" s="1"/>
      <c r="AB56" s="1"/>
      <c r="AC56" s="1"/>
      <c r="AD56" s="1"/>
      <c r="AE56" s="1"/>
      <c r="AF56" s="1"/>
      <c r="AG56" s="1"/>
      <c r="AH56" s="1"/>
      <c r="AI56" s="1"/>
      <c r="AJ56" s="1"/>
      <c r="AK56" s="1"/>
      <c r="AL56" s="4"/>
      <c r="AM56" s="4"/>
      <c r="AN56" s="4"/>
      <c r="AO56" s="4"/>
      <c r="AP56" s="4"/>
      <c r="AQ56" s="4"/>
      <c r="AR56" s="4"/>
      <c r="AS56" s="4"/>
      <c r="AT56" s="4"/>
      <c r="AU56" s="4"/>
      <c r="AV56" s="4"/>
      <c r="AW56" s="4"/>
      <c r="AX56" s="4"/>
      <c r="AY56" s="4"/>
    </row>
    <row r="57" spans="1:51" ht="14" x14ac:dyDescent="0.2">
      <c r="A57" s="3" t="s">
        <v>128</v>
      </c>
      <c r="B57" s="3" t="s">
        <v>146</v>
      </c>
      <c r="C57" s="1"/>
      <c r="D57" s="31">
        <f>'Feb 24'!J53+'Mar 24'!J53+'Apr 24'!J53+'May 24'!J53+'Jun 24'!J53+'Jul 24'!J53+'Aug 24'!J53+'Sep 24'!J53+'Oct 24'!J53+'Nov 24'!J53+'Dec 24'!J53</f>
        <v>1182.98</v>
      </c>
      <c r="E57" s="1"/>
      <c r="F57" s="1"/>
      <c r="G57" s="3" t="s">
        <v>128</v>
      </c>
      <c r="H57" s="3" t="s">
        <v>146</v>
      </c>
      <c r="I57" s="1"/>
      <c r="J57" s="31">
        <f>'Jan 25'!J53+'Feb 25'!J53+'Mar 25'!J53+'April 25'!J53+'May 25'!J53+'June 25'!J53+'July 25'!J53+'Aug 25'!J53+'Sep 25'!J53+'Oct 25'!J53+'Nov 25'!J53+'Dec 25'!J53</f>
        <v>2674.04</v>
      </c>
      <c r="K57" s="1"/>
      <c r="L57" s="1"/>
      <c r="M57" s="3" t="s">
        <v>128</v>
      </c>
      <c r="N57" s="3" t="s">
        <v>146</v>
      </c>
      <c r="O57" s="1"/>
      <c r="P57" s="31">
        <f>SUM('Jan - 26'!J53, 'Feb - 26'!J53,'Mar - 26'!J53)</f>
        <v>597.17000000000007</v>
      </c>
      <c r="Q57" s="1"/>
      <c r="R57" s="1"/>
      <c r="S57" s="3" t="s">
        <v>128</v>
      </c>
      <c r="T57" s="3" t="s">
        <v>146</v>
      </c>
      <c r="U57" s="1"/>
      <c r="V57" s="31">
        <f t="shared" si="1"/>
        <v>4454.1900000000005</v>
      </c>
      <c r="W57" s="1"/>
      <c r="X57" s="1"/>
      <c r="Y57" s="1"/>
      <c r="Z57" s="1"/>
      <c r="AA57" s="1"/>
      <c r="AB57" s="1"/>
      <c r="AC57" s="1"/>
      <c r="AD57" s="1"/>
      <c r="AE57" s="1"/>
      <c r="AF57" s="1"/>
      <c r="AG57" s="1"/>
      <c r="AH57" s="1"/>
      <c r="AI57" s="1"/>
      <c r="AJ57" s="1"/>
      <c r="AK57" s="1"/>
      <c r="AL57" s="4"/>
      <c r="AM57" s="4"/>
      <c r="AN57" s="4"/>
      <c r="AO57" s="4"/>
      <c r="AP57" s="4"/>
      <c r="AQ57" s="4"/>
      <c r="AR57" s="4"/>
      <c r="AS57" s="4"/>
      <c r="AT57" s="4"/>
      <c r="AU57" s="4"/>
      <c r="AV57" s="4"/>
      <c r="AW57" s="4"/>
      <c r="AX57" s="4"/>
      <c r="AY57" s="4"/>
    </row>
    <row r="58" spans="1:51" ht="15" x14ac:dyDescent="0.2">
      <c r="A58" s="3" t="s">
        <v>20</v>
      </c>
      <c r="B58" s="36" t="s">
        <v>147</v>
      </c>
      <c r="C58" s="1"/>
      <c r="D58" s="31">
        <f>'Feb 24'!J54+'Mar 24'!J54+'Apr 24'!J54+'May 24'!J54+'Jun 24'!J54+'Jul 24'!J54+'Aug 24'!J54+'Sep 24'!J54+'Oct 24'!J54+'Nov 24'!J54+'Dec 24'!J54</f>
        <v>0</v>
      </c>
      <c r="E58" s="1"/>
      <c r="F58" s="1"/>
      <c r="G58" s="3" t="s">
        <v>20</v>
      </c>
      <c r="H58" s="36" t="s">
        <v>147</v>
      </c>
      <c r="I58" s="1"/>
      <c r="J58" s="31">
        <f>'Jan 25'!J54+'Feb 25'!J54+'Mar 25'!J54+'April 25'!J54+'May 25'!J54+'June 25'!J54+'July 25'!J54+'Aug 25'!J54+'Sep 25'!J54+'Oct 25'!J54+'Nov 25'!J54+'Dec 25'!J54</f>
        <v>0</v>
      </c>
      <c r="K58" s="1"/>
      <c r="L58" s="1"/>
      <c r="M58" s="3" t="s">
        <v>20</v>
      </c>
      <c r="N58" s="36" t="s">
        <v>147</v>
      </c>
      <c r="O58" s="1"/>
      <c r="P58" s="31">
        <f>SUM('Jan - 26'!J54, 'Feb - 26'!J54,'Mar - 26'!J54)</f>
        <v>0</v>
      </c>
      <c r="Q58" s="1"/>
      <c r="R58" s="1"/>
      <c r="S58" s="3" t="s">
        <v>20</v>
      </c>
      <c r="T58" s="36" t="s">
        <v>147</v>
      </c>
      <c r="U58" s="1"/>
      <c r="V58" s="31">
        <f t="shared" si="1"/>
        <v>0</v>
      </c>
      <c r="W58" s="1"/>
      <c r="X58" s="1"/>
      <c r="Y58" s="1"/>
      <c r="Z58" s="1"/>
      <c r="AA58" s="1"/>
      <c r="AB58" s="1"/>
      <c r="AC58" s="1"/>
      <c r="AD58" s="1"/>
      <c r="AE58" s="1"/>
      <c r="AF58" s="1"/>
      <c r="AG58" s="1"/>
      <c r="AH58" s="1"/>
      <c r="AI58" s="1"/>
      <c r="AJ58" s="1"/>
      <c r="AK58" s="1"/>
      <c r="AL58" s="4"/>
      <c r="AM58" s="4"/>
      <c r="AN58" s="4"/>
      <c r="AO58" s="4"/>
      <c r="AP58" s="4"/>
      <c r="AQ58" s="4"/>
      <c r="AR58" s="4"/>
      <c r="AS58" s="4"/>
      <c r="AT58" s="4"/>
      <c r="AU58" s="4"/>
      <c r="AV58" s="4"/>
      <c r="AW58" s="4"/>
      <c r="AX58" s="4"/>
      <c r="AY58" s="4"/>
    </row>
    <row r="59" spans="1:51" ht="14" x14ac:dyDescent="0.2">
      <c r="A59" s="3" t="s">
        <v>420</v>
      </c>
      <c r="B59" s="36"/>
      <c r="C59" s="1"/>
      <c r="D59" s="31">
        <f>'Feb 24'!J55+'Mar 24'!J55+'Apr 24'!J55+'May 24'!J55+'Jun 24'!J55+'Jul 24'!J55+'Aug 24'!J55+'Sep 24'!J55+'Oct 24'!J55+'Nov 24'!J55+'Dec 24'!J55</f>
        <v>0</v>
      </c>
      <c r="E59" s="1"/>
      <c r="F59" s="1"/>
      <c r="G59" s="3" t="s">
        <v>420</v>
      </c>
      <c r="H59" s="36"/>
      <c r="I59" s="1"/>
      <c r="J59" s="31">
        <f>'Jan 25'!J55+'Feb 25'!J55+'Mar 25'!J55+'April 25'!J55+'May 25'!J55+'June 25'!J55+'July 25'!J55+'Aug 25'!J55+'Sep 25'!J55+'Oct 25'!J55+'Nov 25'!J55+'Dec 25'!J55</f>
        <v>0</v>
      </c>
      <c r="K59" s="1"/>
      <c r="L59" s="1"/>
      <c r="M59" s="3" t="s">
        <v>420</v>
      </c>
      <c r="N59" s="36"/>
      <c r="O59" s="1"/>
      <c r="P59" s="31">
        <f>SUM('Jan - 26'!J55, 'Feb - 26'!J55,'Mar - 26'!J55)</f>
        <v>8.5</v>
      </c>
      <c r="Q59" s="1"/>
      <c r="R59" s="1"/>
      <c r="S59" s="3" t="s">
        <v>420</v>
      </c>
      <c r="T59" s="36"/>
      <c r="U59" s="1"/>
      <c r="V59" s="31">
        <f t="shared" si="1"/>
        <v>8.5</v>
      </c>
      <c r="W59" s="1"/>
      <c r="X59" s="1"/>
      <c r="Y59" s="1"/>
      <c r="Z59" s="1"/>
      <c r="AA59" s="1"/>
      <c r="AB59" s="1"/>
      <c r="AC59" s="1"/>
      <c r="AD59" s="1"/>
      <c r="AE59" s="1"/>
      <c r="AF59" s="1"/>
      <c r="AG59" s="1"/>
      <c r="AH59" s="1"/>
      <c r="AI59" s="1"/>
      <c r="AJ59" s="1"/>
      <c r="AK59" s="1"/>
      <c r="AL59" s="4"/>
      <c r="AM59" s="4"/>
      <c r="AN59" s="4"/>
      <c r="AO59" s="4"/>
      <c r="AP59" s="4"/>
      <c r="AQ59" s="4"/>
      <c r="AR59" s="4"/>
      <c r="AS59" s="4"/>
      <c r="AT59" s="4"/>
      <c r="AU59" s="4"/>
      <c r="AV59" s="4"/>
      <c r="AW59" s="4"/>
      <c r="AX59" s="4"/>
      <c r="AY59" s="4"/>
    </row>
    <row r="60" spans="1:51" ht="14" x14ac:dyDescent="0.2">
      <c r="A60" s="3" t="s">
        <v>21</v>
      </c>
      <c r="B60" s="3" t="s">
        <v>148</v>
      </c>
      <c r="C60" s="1"/>
      <c r="D60" s="31">
        <f>'Feb 24'!J56+'Mar 24'!J56+'Apr 24'!J56+'May 24'!J56+'Jun 24'!J56+'Jul 24'!J56+'Aug 24'!J56+'Sep 24'!J56+'Oct 24'!J56+'Nov 24'!J56+'Dec 24'!J56</f>
        <v>1155.26</v>
      </c>
      <c r="E60" s="1"/>
      <c r="F60" s="1"/>
      <c r="G60" s="3" t="s">
        <v>21</v>
      </c>
      <c r="H60" s="3" t="s">
        <v>148</v>
      </c>
      <c r="I60" s="1"/>
      <c r="J60" s="31">
        <f>'Jan 25'!J56+'Feb 25'!J56+'Mar 25'!J56+'April 25'!J56+'May 25'!J56+'June 25'!J56+'July 25'!J56+'Aug 25'!J56+'Sep 25'!J56+'Oct 25'!J56+'Nov 25'!J56+'Dec 25'!J56</f>
        <v>1585.26</v>
      </c>
      <c r="K60" s="1"/>
      <c r="L60" s="1"/>
      <c r="M60" s="3" t="s">
        <v>21</v>
      </c>
      <c r="N60" s="3" t="s">
        <v>148</v>
      </c>
      <c r="O60" s="1"/>
      <c r="P60" s="31">
        <f>SUM('Jan - 26'!J56, 'Feb - 26'!J56,'Mar - 26'!J56)</f>
        <v>242.62</v>
      </c>
      <c r="Q60" s="1"/>
      <c r="R60" s="1"/>
      <c r="S60" s="3" t="s">
        <v>21</v>
      </c>
      <c r="T60" s="3" t="s">
        <v>148</v>
      </c>
      <c r="U60" s="1"/>
      <c r="V60" s="31">
        <f t="shared" si="1"/>
        <v>2983.14</v>
      </c>
      <c r="W60" s="1"/>
      <c r="X60" s="1"/>
      <c r="Y60" s="1"/>
      <c r="Z60" s="1"/>
      <c r="AA60" s="1"/>
      <c r="AB60" s="1"/>
      <c r="AC60" s="1"/>
      <c r="AD60" s="1"/>
      <c r="AE60" s="1"/>
      <c r="AF60" s="1"/>
      <c r="AG60" s="1"/>
      <c r="AH60" s="1"/>
      <c r="AI60" s="1"/>
      <c r="AJ60" s="1"/>
      <c r="AK60" s="1"/>
      <c r="AL60" s="4"/>
      <c r="AM60" s="4"/>
      <c r="AN60" s="4"/>
      <c r="AO60" s="4"/>
      <c r="AP60" s="4"/>
      <c r="AQ60" s="4"/>
      <c r="AR60" s="4"/>
      <c r="AS60" s="4"/>
      <c r="AT60" s="4"/>
      <c r="AU60" s="4"/>
      <c r="AV60" s="4"/>
      <c r="AW60" s="4"/>
      <c r="AX60" s="4"/>
      <c r="AY60" s="4"/>
    </row>
    <row r="61" spans="1:51" ht="14" x14ac:dyDescent="0.2">
      <c r="A61" s="3"/>
      <c r="B61" s="1"/>
      <c r="C61" s="1"/>
      <c r="D61" s="32">
        <f>SUM(D21:D60)</f>
        <v>41029.460000000006</v>
      </c>
      <c r="E61" s="1"/>
      <c r="F61" s="1"/>
      <c r="G61" s="3"/>
      <c r="H61" s="1"/>
      <c r="I61" s="1"/>
      <c r="J61" s="32">
        <f>SUM(J21:J60)</f>
        <v>46696.479999999989</v>
      </c>
      <c r="K61" s="1"/>
      <c r="L61" s="1"/>
      <c r="M61" s="3"/>
      <c r="N61" s="1"/>
      <c r="O61" s="1"/>
      <c r="P61" s="32">
        <f>SUM(P21:P60)</f>
        <v>16305.32</v>
      </c>
      <c r="Q61" s="1"/>
      <c r="R61" s="1"/>
      <c r="S61" s="3"/>
      <c r="T61" s="1"/>
      <c r="U61" s="1"/>
      <c r="V61" s="32">
        <f>SUM(V21:V60)</f>
        <v>104031.26</v>
      </c>
      <c r="W61" s="1"/>
      <c r="X61" s="32">
        <f>(D61+J61+P61)-V61</f>
        <v>0</v>
      </c>
      <c r="Y61" s="1"/>
      <c r="Z61" s="1"/>
      <c r="AA61" s="1"/>
      <c r="AB61" s="1"/>
      <c r="AC61" s="1"/>
      <c r="AD61" s="1"/>
      <c r="AE61" s="1"/>
      <c r="AF61" s="1"/>
      <c r="AG61" s="1"/>
      <c r="AH61" s="1"/>
      <c r="AI61" s="1"/>
      <c r="AJ61" s="1"/>
      <c r="AK61" s="1"/>
      <c r="AL61" s="4"/>
      <c r="AM61" s="4"/>
      <c r="AN61" s="4"/>
      <c r="AO61" s="4"/>
      <c r="AP61" s="4"/>
      <c r="AQ61" s="4"/>
      <c r="AR61" s="4"/>
      <c r="AS61" s="4"/>
      <c r="AT61" s="4"/>
      <c r="AU61" s="4"/>
      <c r="AV61" s="4"/>
      <c r="AW61" s="4"/>
      <c r="AX61" s="4"/>
      <c r="AY61" s="4"/>
    </row>
    <row r="62" spans="1:51" ht="14"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4"/>
      <c r="AM62" s="4"/>
      <c r="AN62" s="4"/>
      <c r="AO62" s="4"/>
      <c r="AP62" s="4"/>
      <c r="AQ62" s="4"/>
      <c r="AR62" s="4"/>
      <c r="AS62" s="4"/>
      <c r="AT62" s="4"/>
      <c r="AU62" s="4"/>
      <c r="AV62" s="4"/>
      <c r="AW62" s="4"/>
      <c r="AX62" s="4"/>
      <c r="AY62" s="4"/>
    </row>
    <row r="63" spans="1:51" ht="7.5" customHeight="1" x14ac:dyDescent="0.2">
      <c r="A63" s="7"/>
      <c r="B63" s="7"/>
      <c r="C63" s="7"/>
      <c r="D63" s="3"/>
      <c r="E63" s="3"/>
      <c r="F63" s="3"/>
      <c r="G63" s="7"/>
      <c r="H63" s="7"/>
      <c r="I63" s="7"/>
      <c r="J63" s="3"/>
      <c r="K63" s="3"/>
      <c r="L63" s="3"/>
      <c r="M63" s="7"/>
      <c r="N63" s="7"/>
      <c r="O63" s="7"/>
      <c r="P63" s="3"/>
      <c r="Q63" s="3"/>
      <c r="R63" s="3"/>
      <c r="S63" s="7"/>
      <c r="T63" s="7"/>
      <c r="U63" s="7"/>
      <c r="V63" s="3"/>
      <c r="W63" s="3"/>
      <c r="X63" s="3"/>
      <c r="Y63" s="3"/>
      <c r="Z63" s="3"/>
      <c r="AA63" s="3"/>
      <c r="AB63" s="3"/>
      <c r="AC63" s="3"/>
      <c r="AD63" s="3"/>
      <c r="AE63" s="3"/>
      <c r="AF63" s="3"/>
      <c r="AG63" s="3"/>
      <c r="AH63" s="3"/>
      <c r="AI63" s="3"/>
      <c r="AJ63" s="3"/>
      <c r="AK63" s="3"/>
      <c r="AL63" s="4"/>
      <c r="AM63" s="4"/>
      <c r="AN63" s="4"/>
      <c r="AO63" s="4"/>
      <c r="AP63" s="4"/>
      <c r="AQ63" s="4"/>
      <c r="AR63" s="4"/>
      <c r="AS63" s="4"/>
      <c r="AT63" s="4"/>
      <c r="AU63" s="4"/>
      <c r="AV63" s="4"/>
      <c r="AW63" s="4"/>
      <c r="AX63" s="4"/>
      <c r="AY63" s="4"/>
    </row>
    <row r="64" spans="1:51" ht="15" x14ac:dyDescent="0.2">
      <c r="A64" s="1" t="s">
        <v>170</v>
      </c>
      <c r="B64" s="8" t="s">
        <v>5</v>
      </c>
      <c r="C64" s="9" t="s">
        <v>7</v>
      </c>
      <c r="E64" s="8"/>
      <c r="F64" s="8"/>
      <c r="G64" s="1" t="s">
        <v>175</v>
      </c>
      <c r="H64" s="8" t="s">
        <v>5</v>
      </c>
      <c r="I64" s="9" t="s">
        <v>7</v>
      </c>
      <c r="K64" s="8"/>
      <c r="L64" s="4"/>
      <c r="M64" s="1" t="s">
        <v>295</v>
      </c>
      <c r="N64" s="8" t="s">
        <v>5</v>
      </c>
      <c r="O64" s="9" t="s">
        <v>7</v>
      </c>
      <c r="Q64" s="8"/>
      <c r="R64" s="8"/>
      <c r="S64" s="1" t="s">
        <v>178</v>
      </c>
      <c r="T64" s="8" t="s">
        <v>5</v>
      </c>
      <c r="U64" s="9" t="s">
        <v>7</v>
      </c>
      <c r="W64" s="8"/>
      <c r="X64" s="8"/>
      <c r="Y64" s="8"/>
      <c r="Z64" s="8"/>
      <c r="AA64" s="8"/>
      <c r="AB64" s="8"/>
      <c r="AC64" s="8"/>
      <c r="AD64" s="8"/>
      <c r="AE64" s="8"/>
      <c r="AF64" s="8"/>
      <c r="AG64" s="8"/>
      <c r="AH64" s="8"/>
      <c r="AI64" s="8"/>
      <c r="AJ64" s="8"/>
      <c r="AK64" s="8"/>
      <c r="AL64" s="4"/>
      <c r="AM64" s="4"/>
      <c r="AN64" s="4"/>
      <c r="AO64" s="4"/>
      <c r="AP64" s="4"/>
      <c r="AQ64" s="4"/>
      <c r="AR64" s="4"/>
      <c r="AS64" s="4"/>
      <c r="AT64" s="4"/>
      <c r="AU64" s="4"/>
      <c r="AV64" s="4"/>
      <c r="AW64" s="4"/>
      <c r="AX64" s="4"/>
      <c r="AY64" s="4"/>
    </row>
    <row r="65" spans="1:51" ht="14" x14ac:dyDescent="0.2">
      <c r="A65" s="3" t="s">
        <v>23</v>
      </c>
      <c r="B65" s="3"/>
      <c r="C65" s="31">
        <f>'Feb 24'!G63+'Mar 24'!G63+'Apr 24'!G63+'May 24'!G63+'Jun 24'!G63+'Jul 24'!G63+'Aug 24'!G63+'Sep 24'!G63+'Oct 24'!G63+'Nov 24'!G63+'Dec 24'!G63</f>
        <v>0.25</v>
      </c>
      <c r="E65" s="3"/>
      <c r="F65" s="3"/>
      <c r="G65" s="3" t="s">
        <v>23</v>
      </c>
      <c r="H65" s="3"/>
      <c r="I65" s="31">
        <f>'Jan 25'!G63+'Feb 25'!G63+'Mar 25'!G63+'April 25'!G63+'May 25'!G63+'June 25'!G63+'July 25'!G63+'Aug 25'!G63+'Sep 25'!G63+'Oct 25'!G63+'Nov 25'!G63+'Dec 25'!G63</f>
        <v>4.07</v>
      </c>
      <c r="K65" s="3"/>
      <c r="L65" s="4"/>
      <c r="M65" s="3" t="s">
        <v>23</v>
      </c>
      <c r="N65" s="3"/>
      <c r="O65" s="31">
        <f>SUM('Jan - 26'!G63,'Feb - 26'!G63,'Mar - 26'!G63)</f>
        <v>0</v>
      </c>
      <c r="Q65" s="3"/>
      <c r="R65" s="3"/>
      <c r="S65" s="3" t="s">
        <v>23</v>
      </c>
      <c r="T65" s="3"/>
      <c r="U65" s="31">
        <f>SUM(C65,I65,O65)</f>
        <v>4.32</v>
      </c>
      <c r="W65" s="3"/>
      <c r="X65" s="3"/>
      <c r="Y65" s="3"/>
      <c r="Z65" s="3"/>
      <c r="AA65" s="3"/>
      <c r="AB65" s="3"/>
      <c r="AC65" s="3"/>
      <c r="AD65" s="3"/>
      <c r="AE65" s="3"/>
      <c r="AF65" s="3"/>
      <c r="AG65" s="3"/>
      <c r="AH65" s="3"/>
      <c r="AI65" s="3"/>
      <c r="AJ65" s="3"/>
      <c r="AK65" s="3"/>
      <c r="AL65" s="4"/>
      <c r="AM65" s="4"/>
      <c r="AN65" s="4"/>
      <c r="AO65" s="4"/>
      <c r="AP65" s="4"/>
      <c r="AQ65" s="4"/>
      <c r="AR65" s="4"/>
      <c r="AS65" s="4"/>
      <c r="AT65" s="4"/>
      <c r="AU65" s="4"/>
      <c r="AV65" s="4"/>
      <c r="AW65" s="4"/>
      <c r="AX65" s="4"/>
      <c r="AY65" s="4"/>
    </row>
    <row r="66" spans="1:51" ht="14" x14ac:dyDescent="0.2">
      <c r="A66" s="3" t="s">
        <v>11</v>
      </c>
      <c r="B66" s="3"/>
      <c r="C66" s="31">
        <f>'Feb 24'!G64+'Mar 24'!G64+'Apr 24'!G64+'May 24'!G64+'Jun 24'!G64+'Jul 24'!G64+'Aug 24'!G64+'Sep 24'!G64+'Oct 24'!G64+'Nov 24'!G64+'Dec 24'!G64</f>
        <v>47.86</v>
      </c>
      <c r="E66" s="3"/>
      <c r="F66" s="3"/>
      <c r="G66" s="3" t="s">
        <v>11</v>
      </c>
      <c r="H66" s="3"/>
      <c r="I66" s="31">
        <f>'Jan 25'!G64+'Feb 25'!G64+'Mar 25'!G64+'April 25'!G64+'May 25'!G64+'June 25'!G64+'July 25'!G64+'Aug 25'!G64+'Sep 25'!G64+'Oct 25'!G64+'Nov 25'!G64+'Dec 25'!G64</f>
        <v>27.590000000000003</v>
      </c>
      <c r="K66" s="3"/>
      <c r="L66" s="4"/>
      <c r="M66" s="3" t="s">
        <v>11</v>
      </c>
      <c r="N66" s="3"/>
      <c r="O66" s="31">
        <f>SUM('Jan - 26'!G64,'Feb - 26'!G64,'Mar - 26'!G64)</f>
        <v>24.509999999999998</v>
      </c>
      <c r="Q66" s="3"/>
      <c r="R66" s="3"/>
      <c r="S66" s="3" t="s">
        <v>11</v>
      </c>
      <c r="T66" s="3"/>
      <c r="U66" s="31">
        <f t="shared" ref="U66:U73" si="2">SUM(C66,I66,O66)</f>
        <v>99.960000000000008</v>
      </c>
      <c r="W66" s="3"/>
      <c r="X66" s="3"/>
      <c r="Y66" s="3"/>
      <c r="Z66" s="3"/>
      <c r="AA66" s="3"/>
      <c r="AB66" s="3"/>
      <c r="AC66" s="3"/>
      <c r="AD66" s="3"/>
      <c r="AE66" s="3"/>
      <c r="AF66" s="3"/>
      <c r="AG66" s="3"/>
      <c r="AH66" s="3"/>
      <c r="AI66" s="3"/>
      <c r="AJ66" s="3"/>
      <c r="AK66" s="3"/>
      <c r="AL66" s="4"/>
      <c r="AM66" s="4"/>
      <c r="AN66" s="4"/>
      <c r="AO66" s="4"/>
      <c r="AP66" s="4"/>
      <c r="AQ66" s="4"/>
      <c r="AR66" s="4"/>
      <c r="AS66" s="4"/>
      <c r="AT66" s="4"/>
      <c r="AU66" s="4"/>
      <c r="AV66" s="4"/>
      <c r="AW66" s="4"/>
      <c r="AX66" s="4"/>
      <c r="AY66" s="4"/>
    </row>
    <row r="67" spans="1:51" ht="14" x14ac:dyDescent="0.2">
      <c r="A67" s="3" t="s">
        <v>14</v>
      </c>
      <c r="B67" s="3"/>
      <c r="C67" s="31">
        <f>'Feb 24'!G65+'Mar 24'!G65+'Apr 24'!G65+'May 24'!G65+'Jun 24'!G65+'Jul 24'!G65+'Aug 24'!G65+'Sep 24'!G65+'Oct 24'!G65+'Nov 24'!G65+'Dec 24'!G65</f>
        <v>664.04</v>
      </c>
      <c r="E67" s="3"/>
      <c r="F67" s="3"/>
      <c r="G67" s="3" t="s">
        <v>14</v>
      </c>
      <c r="H67" s="3"/>
      <c r="I67" s="31">
        <f>'Jan 25'!G65+'Feb 25'!G65+'Mar 25'!G65+'April 25'!G65+'May 25'!G65+'June 25'!G65+'July 25'!G65+'Aug 25'!G65+'Sep 25'!G65+'Oct 25'!G65+'Nov 25'!G65+'Dec 25'!G65</f>
        <v>2214.59</v>
      </c>
      <c r="K67" s="3"/>
      <c r="L67" s="4"/>
      <c r="M67" s="3" t="s">
        <v>14</v>
      </c>
      <c r="N67" s="3"/>
      <c r="O67" s="31">
        <f>SUM('Jan - 26'!G65,'Feb - 26'!G65,'Mar - 26'!G65)</f>
        <v>604.81999999999994</v>
      </c>
      <c r="Q67" s="3"/>
      <c r="R67" s="3"/>
      <c r="S67" s="3" t="s">
        <v>14</v>
      </c>
      <c r="T67" s="3"/>
      <c r="U67" s="31">
        <f t="shared" si="2"/>
        <v>3483.45</v>
      </c>
      <c r="W67" s="3"/>
      <c r="X67" s="3"/>
      <c r="Y67" s="3"/>
      <c r="Z67" s="3"/>
      <c r="AA67" s="3"/>
      <c r="AB67" s="3"/>
      <c r="AC67" s="3"/>
      <c r="AD67" s="3"/>
      <c r="AE67" s="3"/>
      <c r="AF67" s="3"/>
      <c r="AG67" s="3"/>
      <c r="AH67" s="3"/>
      <c r="AI67" s="3"/>
      <c r="AJ67" s="3"/>
      <c r="AK67" s="3"/>
      <c r="AL67" s="4"/>
      <c r="AM67" s="4"/>
      <c r="AN67" s="4"/>
      <c r="AO67" s="4"/>
      <c r="AP67" s="4"/>
      <c r="AQ67" s="4"/>
      <c r="AR67" s="4"/>
      <c r="AS67" s="4"/>
      <c r="AT67" s="4"/>
      <c r="AU67" s="4"/>
      <c r="AV67" s="4"/>
      <c r="AW67" s="4"/>
      <c r="AX67" s="4"/>
      <c r="AY67" s="4"/>
    </row>
    <row r="68" spans="1:51" ht="14" x14ac:dyDescent="0.2">
      <c r="A68" s="3" t="s">
        <v>280</v>
      </c>
      <c r="B68" s="3"/>
      <c r="C68" s="31">
        <f>'Feb 24'!G66+'Mar 24'!G66+'Apr 24'!G66+'May 24'!G66+'Jun 24'!G66+'Jul 24'!G66+'Aug 24'!G66+'Sep 24'!G66+'Oct 24'!G66+'Nov 24'!G66+'Dec 24'!G66</f>
        <v>0</v>
      </c>
      <c r="E68" s="3"/>
      <c r="F68" s="3"/>
      <c r="G68" s="3" t="s">
        <v>280</v>
      </c>
      <c r="H68" s="3"/>
      <c r="I68" s="31">
        <f>'Jan 25'!G66+'Feb 25'!G66+'Mar 25'!G66+'April 25'!G66+'May 25'!G66+'June 25'!G66+'July 25'!G66+'Aug 25'!G66+'Sep 25'!G66+'Oct 25'!G66+'Nov 25'!G66+'Dec 25'!G66</f>
        <v>97.620000000000019</v>
      </c>
      <c r="K68" s="3"/>
      <c r="L68" s="4"/>
      <c r="M68" s="3" t="s">
        <v>280</v>
      </c>
      <c r="N68" s="3"/>
      <c r="O68" s="31">
        <f>SUM('Jan - 26'!G66,'Feb - 26'!G66,'Mar - 26'!G66)</f>
        <v>22.09</v>
      </c>
      <c r="Q68" s="3"/>
      <c r="R68" s="3"/>
      <c r="S68" s="3" t="s">
        <v>280</v>
      </c>
      <c r="T68" s="3"/>
      <c r="U68" s="31">
        <f t="shared" si="2"/>
        <v>119.71000000000002</v>
      </c>
      <c r="W68" s="3"/>
      <c r="X68" s="3"/>
      <c r="Y68" s="3"/>
      <c r="Z68" s="3"/>
      <c r="AA68" s="3"/>
      <c r="AB68" s="3"/>
      <c r="AC68" s="3"/>
      <c r="AD68" s="3"/>
      <c r="AE68" s="3"/>
      <c r="AF68" s="3"/>
      <c r="AG68" s="3"/>
      <c r="AH68" s="3"/>
      <c r="AI68" s="3"/>
      <c r="AJ68" s="3"/>
      <c r="AK68" s="3"/>
      <c r="AL68" s="4"/>
      <c r="AM68" s="4"/>
      <c r="AN68" s="4"/>
      <c r="AO68" s="4"/>
      <c r="AP68" s="4"/>
      <c r="AQ68" s="4"/>
      <c r="AR68" s="4"/>
      <c r="AS68" s="4"/>
      <c r="AT68" s="4"/>
      <c r="AU68" s="4"/>
      <c r="AV68" s="4"/>
      <c r="AW68" s="4"/>
      <c r="AX68" s="4"/>
      <c r="AY68" s="4"/>
    </row>
    <row r="69" spans="1:51" ht="14" x14ac:dyDescent="0.2">
      <c r="A69" s="3" t="s">
        <v>18</v>
      </c>
      <c r="B69" s="3"/>
      <c r="C69" s="31">
        <f>'Feb 24'!G67+'Mar 24'!G67+'Apr 24'!G67+'May 24'!G67+'Jun 24'!G67+'Jul 24'!G67+'Aug 24'!G67+'Sep 24'!G67+'Oct 24'!G67+'Nov 24'!G67+'Dec 24'!G67</f>
        <v>376.46999999999991</v>
      </c>
      <c r="E69" s="3"/>
      <c r="F69" s="3"/>
      <c r="G69" s="3" t="s">
        <v>18</v>
      </c>
      <c r="H69" s="3"/>
      <c r="I69" s="31">
        <f>'Jan 25'!G67+'Feb 25'!G67+'Mar 25'!G67+'April 25'!G67+'May 25'!G67+'June 25'!G67+'July 25'!G67+'Aug 25'!G67+'Sep 25'!G67+'Oct 25'!G67+'Nov 25'!G67+'Dec 25'!G67</f>
        <v>851.22</v>
      </c>
      <c r="K69" s="3"/>
      <c r="L69" s="4"/>
      <c r="M69" s="3" t="s">
        <v>18</v>
      </c>
      <c r="N69" s="3"/>
      <c r="O69" s="31">
        <f>SUM('Jan - 26'!G67,'Feb - 26'!G67,'Mar - 26'!G67)</f>
        <v>207.78000000000003</v>
      </c>
      <c r="Q69" s="3"/>
      <c r="R69" s="3"/>
      <c r="S69" s="3" t="s">
        <v>18</v>
      </c>
      <c r="T69" s="3"/>
      <c r="U69" s="31">
        <f t="shared" si="2"/>
        <v>1435.47</v>
      </c>
      <c r="W69" s="3"/>
      <c r="X69" s="3"/>
      <c r="Y69" s="3"/>
      <c r="Z69" s="3"/>
      <c r="AA69" s="3"/>
      <c r="AB69" s="3"/>
      <c r="AC69" s="3"/>
      <c r="AD69" s="3"/>
      <c r="AE69" s="3"/>
      <c r="AF69" s="3"/>
      <c r="AG69" s="3"/>
      <c r="AH69" s="3"/>
      <c r="AI69" s="3"/>
      <c r="AJ69" s="3"/>
      <c r="AK69" s="3"/>
      <c r="AL69" s="4"/>
      <c r="AM69" s="4"/>
      <c r="AN69" s="4"/>
      <c r="AO69" s="4"/>
      <c r="AP69" s="4"/>
      <c r="AQ69" s="4"/>
      <c r="AR69" s="4"/>
      <c r="AS69" s="4"/>
      <c r="AT69" s="4"/>
      <c r="AU69" s="4"/>
      <c r="AV69" s="4"/>
      <c r="AW69" s="4"/>
      <c r="AX69" s="4"/>
      <c r="AY69" s="4"/>
    </row>
    <row r="70" spans="1:51" ht="14" x14ac:dyDescent="0.2">
      <c r="A70" s="3" t="s">
        <v>19</v>
      </c>
      <c r="B70" s="3"/>
      <c r="C70" s="31">
        <f>'Feb 24'!G68+'Mar 24'!G68+'Apr 24'!G68+'May 24'!G68+'Jun 24'!G68+'Jul 24'!G68+'Aug 24'!G68+'Sep 24'!G68+'Oct 24'!G68+'Nov 24'!G68+'Dec 24'!G68</f>
        <v>279.16999999999996</v>
      </c>
      <c r="E70" s="3"/>
      <c r="F70" s="3"/>
      <c r="G70" s="3" t="s">
        <v>19</v>
      </c>
      <c r="H70" s="3"/>
      <c r="I70" s="31">
        <f>'Jan 25'!G68+'Feb 25'!G68+'Mar 25'!G68+'April 25'!G68+'May 25'!G68+'June 25'!G68+'July 25'!G68+'Aug 25'!G68+'Sep 25'!G68+'Oct 25'!G68+'Nov 25'!G68+'Dec 25'!G68</f>
        <v>410.29000000000008</v>
      </c>
      <c r="K70" s="3"/>
      <c r="L70" s="4"/>
      <c r="M70" s="3" t="s">
        <v>19</v>
      </c>
      <c r="N70" s="3"/>
      <c r="O70" s="31">
        <f>SUM('Jan - 26'!G68,'Feb - 26'!G68,'Mar - 26'!G68)</f>
        <v>101.96000000000001</v>
      </c>
      <c r="Q70" s="3"/>
      <c r="R70" s="3"/>
      <c r="S70" s="3" t="s">
        <v>19</v>
      </c>
      <c r="T70" s="3"/>
      <c r="U70" s="31">
        <f t="shared" si="2"/>
        <v>791.42000000000007</v>
      </c>
      <c r="W70" s="3"/>
      <c r="X70" s="3"/>
      <c r="Y70" s="3"/>
      <c r="Z70" s="3"/>
      <c r="AA70" s="3"/>
      <c r="AB70" s="3"/>
      <c r="AC70" s="3"/>
      <c r="AD70" s="3"/>
      <c r="AE70" s="3"/>
      <c r="AF70" s="3"/>
      <c r="AG70" s="3"/>
      <c r="AH70" s="3"/>
      <c r="AI70" s="3"/>
      <c r="AJ70" s="3"/>
      <c r="AK70" s="3"/>
      <c r="AL70" s="4"/>
      <c r="AM70" s="4"/>
      <c r="AN70" s="4"/>
      <c r="AO70" s="4"/>
      <c r="AP70" s="4"/>
      <c r="AQ70" s="4"/>
      <c r="AR70" s="4"/>
      <c r="AS70" s="4"/>
      <c r="AT70" s="4"/>
      <c r="AU70" s="4"/>
      <c r="AV70" s="4"/>
      <c r="AW70" s="4"/>
      <c r="AX70" s="4"/>
      <c r="AY70" s="4"/>
    </row>
    <row r="71" spans="1:51" ht="14" x14ac:dyDescent="0.2">
      <c r="A71" s="3" t="s">
        <v>24</v>
      </c>
      <c r="B71" s="3"/>
      <c r="C71" s="31">
        <f>'Feb 24'!G69+'Mar 24'!G69+'Apr 24'!G69+'May 24'!G69+'Jun 24'!G69+'Jul 24'!G69+'Aug 24'!G69+'Sep 24'!G69+'Oct 24'!G69+'Nov 24'!G69+'Dec 24'!G69</f>
        <v>33.549999999999997</v>
      </c>
      <c r="E71" s="3"/>
      <c r="F71" s="3"/>
      <c r="G71" s="3" t="s">
        <v>24</v>
      </c>
      <c r="H71" s="3"/>
      <c r="I71" s="31">
        <f>'Jan 25'!G69+'Feb 25'!G69+'Mar 25'!G69+'April 25'!G69+'May 25'!G69+'June 25'!G69+'July 25'!G69+'Aug 25'!G69+'Sep 25'!G69+'Oct 25'!G69+'Nov 25'!G69+'Dec 25'!G69</f>
        <v>0</v>
      </c>
      <c r="K71" s="3"/>
      <c r="L71" s="4"/>
      <c r="M71" s="3" t="s">
        <v>24</v>
      </c>
      <c r="N71" s="3"/>
      <c r="O71" s="31">
        <f>SUM('Jan - 26'!G69,'Feb - 26'!G69,'Mar - 26'!G69)</f>
        <v>0</v>
      </c>
      <c r="Q71" s="3"/>
      <c r="R71" s="3"/>
      <c r="S71" s="3" t="s">
        <v>24</v>
      </c>
      <c r="T71" s="3"/>
      <c r="U71" s="31">
        <f t="shared" si="2"/>
        <v>33.549999999999997</v>
      </c>
      <c r="W71" s="3"/>
      <c r="X71" s="3"/>
      <c r="Y71" s="3"/>
      <c r="Z71" s="3"/>
      <c r="AA71" s="3"/>
      <c r="AB71" s="3"/>
      <c r="AC71" s="3"/>
      <c r="AD71" s="3"/>
      <c r="AE71" s="3"/>
      <c r="AF71" s="3"/>
      <c r="AG71" s="3"/>
      <c r="AH71" s="3"/>
      <c r="AI71" s="3"/>
      <c r="AJ71" s="3"/>
      <c r="AK71" s="3"/>
      <c r="AL71" s="4"/>
      <c r="AM71" s="4"/>
      <c r="AN71" s="4"/>
      <c r="AO71" s="4"/>
      <c r="AP71" s="4"/>
      <c r="AQ71" s="4"/>
      <c r="AR71" s="4"/>
      <c r="AS71" s="4"/>
      <c r="AT71" s="4"/>
      <c r="AU71" s="4"/>
      <c r="AV71" s="4"/>
      <c r="AW71" s="4"/>
      <c r="AX71" s="4"/>
      <c r="AY71" s="4"/>
    </row>
    <row r="72" spans="1:51" ht="14" x14ac:dyDescent="0.2">
      <c r="A72" s="3" t="s">
        <v>432</v>
      </c>
      <c r="B72" s="3"/>
      <c r="C72" s="31">
        <f>'Feb 24'!G70+'Mar 24'!G70+'Apr 24'!G70+'May 24'!G70+'Jun 24'!G70+'Jul 24'!G70+'Aug 24'!G70+'Sep 24'!G70+'Oct 24'!G70+'Nov 24'!G70+'Dec 24'!G70</f>
        <v>0</v>
      </c>
      <c r="E72" s="3"/>
      <c r="F72" s="3"/>
      <c r="G72" s="3" t="s">
        <v>432</v>
      </c>
      <c r="H72" s="3"/>
      <c r="I72" s="31">
        <f>'Jan 25'!G70+'Feb 25'!G70+'Mar 25'!G70+'April 25'!G70+'May 25'!G70+'June 25'!G70+'July 25'!G70+'Aug 25'!G70+'Sep 25'!G70+'Oct 25'!G70+'Nov 25'!G70+'Dec 25'!G70</f>
        <v>0</v>
      </c>
      <c r="K72" s="3"/>
      <c r="L72" s="4"/>
      <c r="M72" s="3" t="s">
        <v>432</v>
      </c>
      <c r="N72" s="3"/>
      <c r="O72" s="31">
        <f>SUM('Jan - 26'!G70,'Feb - 26'!G70,'Mar - 26'!G70)</f>
        <v>53.57</v>
      </c>
      <c r="Q72" s="3"/>
      <c r="R72" s="3"/>
      <c r="S72" s="3" t="s">
        <v>432</v>
      </c>
      <c r="T72" s="3"/>
      <c r="U72" s="31">
        <f t="shared" si="2"/>
        <v>53.57</v>
      </c>
      <c r="W72" s="3"/>
      <c r="X72" s="3"/>
      <c r="Y72" s="3"/>
      <c r="Z72" s="3"/>
      <c r="AA72" s="3"/>
      <c r="AB72" s="3"/>
      <c r="AC72" s="3"/>
      <c r="AD72" s="3"/>
      <c r="AE72" s="3"/>
      <c r="AF72" s="3"/>
      <c r="AG72" s="3"/>
      <c r="AH72" s="3"/>
      <c r="AI72" s="3"/>
      <c r="AJ72" s="3"/>
      <c r="AK72" s="3"/>
      <c r="AL72" s="4"/>
      <c r="AM72" s="4"/>
      <c r="AN72" s="4"/>
      <c r="AO72" s="4"/>
      <c r="AP72" s="4"/>
      <c r="AQ72" s="4"/>
      <c r="AR72" s="4"/>
      <c r="AS72" s="4"/>
      <c r="AT72" s="4"/>
      <c r="AU72" s="4"/>
      <c r="AV72" s="4"/>
      <c r="AW72" s="4"/>
      <c r="AX72" s="4"/>
      <c r="AY72" s="4"/>
    </row>
    <row r="73" spans="1:51" ht="14" x14ac:dyDescent="0.2">
      <c r="A73" s="3" t="s">
        <v>21</v>
      </c>
      <c r="B73" s="3"/>
      <c r="C73" s="31">
        <f>'Feb 24'!G71+'Mar 24'!G71+'Apr 24'!G71+'May 24'!G71+'Jun 24'!G71+'Jul 24'!G71+'Aug 24'!G71+'Sep 24'!G71+'Oct 24'!G71+'Nov 24'!G71+'Dec 24'!G71</f>
        <v>53.61</v>
      </c>
      <c r="E73" s="3"/>
      <c r="F73" s="3"/>
      <c r="G73" s="3" t="s">
        <v>21</v>
      </c>
      <c r="H73" s="3"/>
      <c r="I73" s="31">
        <f>'Jan 25'!G71+'Feb 25'!G71+'Mar 25'!G71+'April 25'!G71+'May 25'!G71+'June 25'!G71+'July 25'!G71+'Aug 25'!G71+'Sep 25'!G71+'Oct 25'!G71+'Nov 25'!G71+'Dec 25'!G71</f>
        <v>90.48</v>
      </c>
      <c r="K73" s="3"/>
      <c r="L73" s="4"/>
      <c r="M73" s="3" t="s">
        <v>21</v>
      </c>
      <c r="N73" s="3"/>
      <c r="O73" s="31">
        <f>SUM('Jan - 26'!G71,'Feb - 26'!G71,'Mar - 26'!G71)</f>
        <v>17.850000000000001</v>
      </c>
      <c r="Q73" s="3"/>
      <c r="R73" s="3"/>
      <c r="S73" s="3" t="s">
        <v>21</v>
      </c>
      <c r="T73" s="3"/>
      <c r="U73" s="31">
        <f t="shared" si="2"/>
        <v>161.94</v>
      </c>
      <c r="W73" s="3"/>
      <c r="X73" s="3"/>
      <c r="Y73" s="3"/>
      <c r="Z73" s="3"/>
      <c r="AA73" s="3"/>
      <c r="AB73" s="3"/>
      <c r="AC73" s="3"/>
      <c r="AD73" s="3"/>
      <c r="AE73" s="3"/>
      <c r="AF73" s="3"/>
      <c r="AG73" s="3"/>
      <c r="AH73" s="3"/>
      <c r="AI73" s="3"/>
      <c r="AJ73" s="3"/>
      <c r="AK73" s="3"/>
      <c r="AL73" s="4"/>
      <c r="AM73" s="4"/>
      <c r="AN73" s="4"/>
      <c r="AO73" s="4"/>
      <c r="AP73" s="4"/>
      <c r="AQ73" s="4"/>
      <c r="AR73" s="4"/>
      <c r="AS73" s="4"/>
      <c r="AT73" s="4"/>
      <c r="AU73" s="4"/>
      <c r="AV73" s="4"/>
      <c r="AW73" s="4"/>
      <c r="AX73" s="4"/>
      <c r="AY73" s="4"/>
    </row>
    <row r="74" spans="1:51" ht="14" x14ac:dyDescent="0.2">
      <c r="A74" s="3"/>
      <c r="B74" s="1"/>
      <c r="C74" s="32">
        <f>SUM(C65:C73)</f>
        <v>1454.9499999999998</v>
      </c>
      <c r="E74" s="1"/>
      <c r="F74" s="1"/>
      <c r="G74" s="3"/>
      <c r="H74" s="1"/>
      <c r="I74" s="32">
        <f>SUM(I65:I73)</f>
        <v>3695.86</v>
      </c>
      <c r="K74" s="1"/>
      <c r="L74" s="4"/>
      <c r="M74" s="3"/>
      <c r="N74" s="1"/>
      <c r="O74" s="32">
        <f>SUM(O65:O73)</f>
        <v>1032.5800000000002</v>
      </c>
      <c r="Q74" s="1"/>
      <c r="R74" s="1"/>
      <c r="S74" s="3"/>
      <c r="T74" s="1"/>
      <c r="U74" s="32">
        <f>SUM(U65:U73)</f>
        <v>6183.3899999999994</v>
      </c>
      <c r="W74" s="1"/>
      <c r="X74" s="1"/>
      <c r="Y74" s="1"/>
      <c r="Z74" s="1"/>
      <c r="AA74" s="1"/>
      <c r="AB74" s="1"/>
      <c r="AC74" s="1"/>
      <c r="AD74" s="1"/>
      <c r="AE74" s="1"/>
      <c r="AF74" s="1"/>
      <c r="AG74" s="1"/>
      <c r="AH74" s="1"/>
      <c r="AI74" s="1"/>
      <c r="AJ74" s="1"/>
      <c r="AK74" s="1"/>
      <c r="AL74" s="4"/>
      <c r="AM74" s="4"/>
      <c r="AN74" s="4"/>
      <c r="AO74" s="4"/>
      <c r="AP74" s="4"/>
      <c r="AQ74" s="4"/>
      <c r="AR74" s="4"/>
      <c r="AS74" s="4"/>
      <c r="AT74" s="4"/>
      <c r="AU74" s="4"/>
      <c r="AV74" s="4"/>
      <c r="AW74" s="4"/>
      <c r="AX74" s="4"/>
      <c r="AY74" s="4"/>
    </row>
    <row r="75" spans="1:51" ht="14" x14ac:dyDescent="0.2">
      <c r="A75" s="3"/>
      <c r="B75" s="3"/>
      <c r="C75" s="3"/>
      <c r="D75" s="3"/>
      <c r="E75" s="3"/>
      <c r="F75" s="3"/>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row>
    <row r="76" spans="1:51" ht="7.5" customHeight="1" x14ac:dyDescent="0.2">
      <c r="A76" s="7"/>
      <c r="B76" s="7"/>
      <c r="C76" s="7"/>
      <c r="D76" s="7"/>
      <c r="E76" s="7"/>
      <c r="F76" s="7"/>
      <c r="G76" s="10"/>
      <c r="H76" s="10"/>
      <c r="I76" s="10"/>
      <c r="J76" s="10"/>
      <c r="K76" s="10"/>
      <c r="L76" s="10"/>
      <c r="M76" s="10"/>
      <c r="N76" s="10"/>
      <c r="O76" s="10"/>
      <c r="P76" s="10"/>
      <c r="Q76" s="10"/>
      <c r="R76" s="10"/>
      <c r="S76" s="10"/>
      <c r="T76" s="10"/>
      <c r="U76" s="10"/>
      <c r="V76" s="10"/>
      <c r="W76" s="10"/>
      <c r="X76" s="10"/>
      <c r="Y76" s="10"/>
      <c r="Z76" s="10"/>
      <c r="AA76" s="10"/>
      <c r="AB76" s="10"/>
      <c r="AC76" s="10"/>
      <c r="AD76" s="4"/>
      <c r="AE76" s="4"/>
      <c r="AF76" s="4"/>
      <c r="AG76" s="4"/>
      <c r="AH76" s="4"/>
      <c r="AI76" s="4"/>
      <c r="AJ76" s="4"/>
      <c r="AK76" s="4"/>
      <c r="AL76" s="4"/>
      <c r="AM76" s="4"/>
      <c r="AN76" s="4"/>
      <c r="AO76" s="4"/>
      <c r="AP76" s="4"/>
      <c r="AQ76" s="4"/>
      <c r="AR76" s="4"/>
      <c r="AS76" s="4"/>
      <c r="AT76" s="4"/>
      <c r="AU76" s="4"/>
      <c r="AV76" s="4"/>
      <c r="AW76" s="4"/>
      <c r="AX76" s="4"/>
      <c r="AY76" s="4"/>
    </row>
    <row r="77" spans="1:51" ht="14" x14ac:dyDescent="0.2">
      <c r="A77" s="1" t="s">
        <v>25</v>
      </c>
      <c r="B77" s="2"/>
      <c r="C77" s="41">
        <v>45323</v>
      </c>
      <c r="D77" s="41">
        <v>45352</v>
      </c>
      <c r="E77" s="41">
        <v>45383</v>
      </c>
      <c r="F77" s="41">
        <v>45413</v>
      </c>
      <c r="G77" s="41">
        <v>45444</v>
      </c>
      <c r="H77" s="41">
        <v>45474</v>
      </c>
      <c r="I77" s="41">
        <v>45505</v>
      </c>
      <c r="J77" s="41">
        <v>45536</v>
      </c>
      <c r="K77" s="41">
        <v>45566</v>
      </c>
      <c r="L77" s="41">
        <v>45597</v>
      </c>
      <c r="M77" s="41">
        <v>45627</v>
      </c>
      <c r="N77" s="41">
        <v>45658</v>
      </c>
      <c r="O77" s="41">
        <v>45689</v>
      </c>
      <c r="P77" s="41">
        <v>45717</v>
      </c>
      <c r="Q77" s="41">
        <v>45748</v>
      </c>
      <c r="R77" s="41">
        <v>45778</v>
      </c>
      <c r="S77" s="41">
        <v>45809</v>
      </c>
      <c r="T77" s="41">
        <v>45839</v>
      </c>
      <c r="U77" s="41">
        <v>45870</v>
      </c>
      <c r="V77" s="41">
        <v>45901</v>
      </c>
      <c r="W77" s="41">
        <v>45931</v>
      </c>
      <c r="X77" s="41">
        <v>45962</v>
      </c>
      <c r="Y77" s="41">
        <v>45992</v>
      </c>
      <c r="Z77" s="41">
        <v>46023</v>
      </c>
      <c r="AA77" s="41">
        <v>46054</v>
      </c>
      <c r="AB77" s="41">
        <v>46082</v>
      </c>
      <c r="AC77" s="8" t="s">
        <v>50</v>
      </c>
      <c r="AD77" s="4"/>
      <c r="AE77" s="4"/>
      <c r="AF77" s="4"/>
      <c r="AG77" s="4"/>
      <c r="AH77" s="4"/>
      <c r="AI77" s="4"/>
      <c r="AJ77" s="4"/>
      <c r="AK77" s="4"/>
      <c r="AL77" s="4"/>
      <c r="AM77" s="4"/>
      <c r="AN77" s="4"/>
      <c r="AO77" s="4"/>
      <c r="AP77" s="4"/>
      <c r="AQ77" s="4"/>
      <c r="AR77" s="4"/>
      <c r="AS77" s="4"/>
      <c r="AT77" s="4"/>
      <c r="AU77" s="4"/>
      <c r="AV77" s="4"/>
      <c r="AW77" s="4"/>
      <c r="AX77" s="4"/>
      <c r="AY77" s="4"/>
    </row>
    <row r="78" spans="1:51" ht="14" x14ac:dyDescent="0.2">
      <c r="A78" s="4"/>
      <c r="B78" s="5"/>
      <c r="C78" s="5">
        <f>SUM('Feb 24'!E100:F100)</f>
        <v>41471.210000000006</v>
      </c>
      <c r="D78" s="5">
        <f>'Mar 24'!E102+'Mar 24'!F102</f>
        <v>39166.9</v>
      </c>
      <c r="E78" s="5">
        <f>'Apr 24'!E102+'Apr 24'!F102</f>
        <v>3683.7299999999996</v>
      </c>
      <c r="F78" s="5">
        <f>'May 24'!E101+'May 24'!F101</f>
        <v>3545.18</v>
      </c>
      <c r="G78" s="5">
        <f>'Jun 24'!E101+'Jun 24'!F101</f>
        <v>3621.65</v>
      </c>
      <c r="H78" s="5">
        <f>'Jul 24'!F101</f>
        <v>31531.58</v>
      </c>
      <c r="I78" s="5">
        <f>'Aug 24'!G101</f>
        <v>19805.27</v>
      </c>
      <c r="J78" s="5">
        <f>'Sep 24'!G101</f>
        <v>14848.289999999999</v>
      </c>
      <c r="K78" s="5">
        <f>'Oct 24'!G101</f>
        <v>18905.840000000004</v>
      </c>
      <c r="L78" s="5">
        <f>SUM('Nov 24'!F102:G102)</f>
        <v>17191.28</v>
      </c>
      <c r="M78" s="5">
        <f>SUM('Dec 24'!F102:G102)</f>
        <v>17132.18</v>
      </c>
      <c r="N78" s="5">
        <f>'Jan 25'!G103</f>
        <v>15001.06</v>
      </c>
      <c r="O78" s="5">
        <f>'Feb 25'!G105</f>
        <v>14593.44</v>
      </c>
      <c r="P78" s="5">
        <f>SUM('Mar 25'!F105,'Mar 25'!G105)</f>
        <v>146603.1</v>
      </c>
      <c r="Q78" s="5">
        <f>SUM('April 25'!F105+'April 25'!G105)</f>
        <v>4643.78</v>
      </c>
      <c r="R78" s="5">
        <f>SUM('May 25'!F105,'May 25'!G105)</f>
        <v>4392.62</v>
      </c>
      <c r="S78" s="5">
        <f>SUM('June 25'!F107+'June 25'!G107)</f>
        <v>75622</v>
      </c>
      <c r="T78" s="5">
        <f>'July 25'!F107+'July 25'!G107</f>
        <v>4808.67</v>
      </c>
      <c r="U78" s="5">
        <f>'Aug 25'!G107</f>
        <v>4935.7000000000007</v>
      </c>
      <c r="V78" s="5">
        <f>'Sep 25'!G107</f>
        <v>6457.23</v>
      </c>
      <c r="W78" s="5">
        <f>'Oct 25'!G108</f>
        <v>8220.0499999999993</v>
      </c>
      <c r="X78" s="5">
        <f>'Nov 25'!G108</f>
        <v>8927.51</v>
      </c>
      <c r="Y78" s="5">
        <f>'Dec 25'!G111</f>
        <v>14798.589999999998</v>
      </c>
      <c r="Z78" s="5">
        <f>'Jan - 26'!F111+'Jan - 26'!G111</f>
        <v>6221.8099999999995</v>
      </c>
      <c r="AA78" s="5">
        <f>'Feb - 26'!G111</f>
        <v>5879.369999999999</v>
      </c>
      <c r="AB78" s="5">
        <f>'Mar - 26'!F111+'Mar - 26'!G111</f>
        <v>47366.55</v>
      </c>
      <c r="AC78" s="5">
        <f>SUM(C78:AA78)</f>
        <v>532008.04</v>
      </c>
      <c r="AD78" s="4"/>
      <c r="AE78" s="4"/>
      <c r="AF78" s="4"/>
      <c r="AG78" s="4"/>
      <c r="AH78" s="4"/>
      <c r="AI78" s="4"/>
      <c r="AJ78" s="4"/>
      <c r="AK78" s="4"/>
      <c r="AL78" s="4"/>
      <c r="AM78" s="4"/>
      <c r="AN78" s="4"/>
      <c r="AO78" s="4"/>
      <c r="AP78" s="4"/>
      <c r="AQ78" s="4"/>
      <c r="AR78" s="4"/>
      <c r="AS78" s="4"/>
      <c r="AT78" s="4"/>
      <c r="AU78" s="4"/>
      <c r="AV78" s="4"/>
      <c r="AW78" s="4"/>
      <c r="AX78" s="4"/>
      <c r="AY78" s="4"/>
    </row>
    <row r="79" spans="1:51" ht="14" x14ac:dyDescent="0.2">
      <c r="A79" s="4"/>
      <c r="B79" s="5"/>
      <c r="C79" s="5"/>
      <c r="D79" s="5"/>
      <c r="E79" s="5"/>
      <c r="F79" s="5"/>
      <c r="G79" s="5"/>
      <c r="H79" s="5"/>
      <c r="I79" s="5"/>
      <c r="J79" s="5"/>
      <c r="K79" s="5"/>
      <c r="L79" s="5"/>
      <c r="M79" s="5"/>
      <c r="N79" s="5"/>
      <c r="O79" s="5"/>
      <c r="P79" s="5"/>
      <c r="Q79" s="5"/>
      <c r="R79" s="23"/>
      <c r="S79" s="5"/>
      <c r="T79" s="5"/>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spans="1:51" ht="7.5" customHeight="1" x14ac:dyDescent="0.2">
      <c r="A80" s="7"/>
      <c r="B80" s="7"/>
      <c r="C80" s="7"/>
      <c r="D80" s="7"/>
      <c r="E80" s="7"/>
      <c r="F80" s="3"/>
      <c r="G80" s="7"/>
      <c r="H80" s="7"/>
      <c r="I80" s="7"/>
      <c r="J80" s="7"/>
      <c r="K80" s="7"/>
      <c r="L80" s="3"/>
      <c r="M80" s="7"/>
      <c r="N80" s="7"/>
      <c r="O80" s="7"/>
      <c r="P80" s="7"/>
      <c r="Q80" s="7"/>
      <c r="R80" s="23"/>
      <c r="S80" s="7"/>
      <c r="T80" s="7"/>
      <c r="U80" s="7"/>
      <c r="V80" s="7"/>
      <c r="W80" s="7"/>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spans="1:51" ht="15" x14ac:dyDescent="0.2">
      <c r="A81" s="1" t="s">
        <v>270</v>
      </c>
      <c r="B81" s="8" t="s">
        <v>5</v>
      </c>
      <c r="C81" s="8" t="s">
        <v>6</v>
      </c>
      <c r="D81" s="9" t="s">
        <v>7</v>
      </c>
      <c r="E81" s="8" t="s">
        <v>8</v>
      </c>
      <c r="F81" s="31"/>
      <c r="G81" s="52" t="s">
        <v>289</v>
      </c>
      <c r="H81" s="8" t="s">
        <v>5</v>
      </c>
      <c r="I81" s="8" t="s">
        <v>6</v>
      </c>
      <c r="J81" s="9" t="s">
        <v>7</v>
      </c>
      <c r="K81" s="8" t="s">
        <v>8</v>
      </c>
      <c r="L81" s="3"/>
      <c r="M81" s="52" t="s">
        <v>438</v>
      </c>
      <c r="N81" s="8" t="s">
        <v>5</v>
      </c>
      <c r="O81" s="8" t="s">
        <v>6</v>
      </c>
      <c r="P81" s="9" t="s">
        <v>7</v>
      </c>
      <c r="Q81" s="8" t="s">
        <v>8</v>
      </c>
      <c r="R81" s="23"/>
      <c r="S81" s="52" t="s">
        <v>439</v>
      </c>
      <c r="T81" s="8" t="s">
        <v>5</v>
      </c>
      <c r="U81" s="8" t="s">
        <v>6</v>
      </c>
      <c r="V81" s="9" t="s">
        <v>7</v>
      </c>
      <c r="W81" s="8" t="s">
        <v>8</v>
      </c>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spans="1:51" ht="14" x14ac:dyDescent="0.2">
      <c r="A82" s="1"/>
      <c r="B82" s="8"/>
      <c r="C82" s="8"/>
      <c r="D82" s="32">
        <f>'Feb 24'!S13+'Mar 24'!T13+'Apr 24'!T13+'May 24'!T13+'Jun 24'!T13+'Jul 24'!T13</f>
        <v>10548.16</v>
      </c>
      <c r="E82" s="8"/>
      <c r="F82" s="31"/>
      <c r="G82" s="1"/>
      <c r="H82" s="8"/>
      <c r="I82" s="8"/>
      <c r="J82" s="32">
        <f>'Aug 24'!T13 + 'Sep 24'!T13 + 'Oct 24'!T13 + 'Nov 24'!T13 + 'Dec 24'!T13 + 'Jan 25'!T13 + 'Feb 25'!T13 + 'Mar 25'!T13 + 'April 25'!T13+'May 25'!T13+'June 25'!T13+'July 25'!T13</f>
        <v>22994.860000000004</v>
      </c>
      <c r="K82" s="8"/>
      <c r="L82" s="3"/>
      <c r="M82" s="1"/>
      <c r="N82" s="8"/>
      <c r="O82" s="8"/>
      <c r="P82" s="32">
        <f>'Aug 25'!T13+'Sep 25'!T13+'Oct 25'!T13+'Nov 25'!T13+'Dec 25'!T13+'Jan - 26'!T13+'Feb - 26'!T13+'Mar - 26'!T13</f>
        <v>15752.477999999999</v>
      </c>
      <c r="Q82" s="8"/>
      <c r="R82" s="23"/>
      <c r="S82" s="1"/>
      <c r="T82" s="8"/>
      <c r="U82" s="8"/>
      <c r="V82" s="32">
        <f>SUM(D82,J82,P82)</f>
        <v>49295.498000000007</v>
      </c>
      <c r="W82" s="8"/>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row>
    <row r="83" spans="1:51" ht="14" x14ac:dyDescent="0.2">
      <c r="A83" s="1"/>
      <c r="B83" s="8"/>
      <c r="C83" s="8"/>
      <c r="D83" s="32"/>
      <c r="E83" s="8"/>
      <c r="F83" s="31"/>
      <c r="G83" s="1"/>
      <c r="H83" s="8"/>
      <c r="I83" s="8"/>
      <c r="J83" s="32"/>
      <c r="K83" s="8"/>
      <c r="L83" s="3"/>
      <c r="M83" s="1"/>
      <c r="N83" s="8"/>
      <c r="O83" s="8"/>
      <c r="P83" s="32"/>
      <c r="Q83" s="8"/>
      <c r="R83" s="23"/>
      <c r="S83" s="1"/>
      <c r="T83" s="8"/>
      <c r="U83" s="8"/>
      <c r="V83" s="32"/>
      <c r="W83" s="8"/>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row>
    <row r="84" spans="1:51" ht="14" x14ac:dyDescent="0.2">
      <c r="A84" s="72" t="s">
        <v>264</v>
      </c>
      <c r="B84" s="8"/>
      <c r="C84" s="8"/>
      <c r="D84" s="73">
        <f>SUM('Feb 24'!C13:H13,'Feb 24'!J13)+SUM('Mar 24'!C13:H13,'Mar 24'!J13)+SUM('Apr 24'!C13:H13,'Apr 24'!J13)+SUM('May 24'!C13:H13,'May 24'!J13)+SUM('Jun 24'!C13:H13,'Jun 24'!J13)+SUM('Jul 24'!C13:H13,'Jul 24'!J13)</f>
        <v>3897.3999999999996</v>
      </c>
      <c r="E84" s="8"/>
      <c r="F84" s="31"/>
      <c r="G84" s="1"/>
      <c r="H84" s="8"/>
      <c r="I84" s="8"/>
      <c r="J84" s="73">
        <f>SUM('Aug 24'!C13,'Aug 24'!D13,'Aug 24'!E13,'Aug 24'!F13,'Aug 24'!G13,'Aug 24'!H13,'Aug 24'!J13)+
SUM('Sep 24'!C13,'Sep 24'!D13,'Sep 24'!E13,'Sep 24'!F13,'Sep 24'!G13,'Sep 24'!H13,'Sep 24'!J13)+
SUM('Oct 24'!C13,'Oct 24'!D13,'Oct 24'!E13,'Oct 24'!F13,'Oct 24'!G13,'Oct 24'!H13,'Oct 24'!J13)+
SUM('Nov 24'!C13,'Nov 24'!D13,'Nov 24'!E13,'Nov 24'!F13,'Nov 24'!G13,'Nov 24'!H13,'Nov 24'!J13)+
SUM('Dec 24'!C13,'Dec 24'!D13,'Dec 24'!E13,'Dec 24'!F13,'Dec 24'!G13,'Dec 24'!H13,'Dec 24'!J13)+
SUM('Jan 25'!C13,'Jan 25'!D13,'Jan 25'!E13,'Jan 25'!F13,'Jan 25'!G13,'Jan 25'!H13,'Jan 25'!J13)+
SUM('Feb 25'!C13,'Feb 25'!D13,'Feb 25'!E13,'Feb 25'!F13,'Feb 25'!G13,'Feb 25'!H13,'Feb 25'!J13)+
SUM('Mar 25'!C13,'Mar 25'!D13,'Mar 25'!E13,'Mar 25'!F13,'Mar 25'!G13,'Mar 25'!H13,'Mar 25'!J13)+
SUM('April 25'!C13,'April 25'!D13,'April 25'!E13,'April 25'!F13,'April 25'!G13,'April 25'!H13,'April 25'!J13)+SUM('May 25'!C13,'May 25'!D13,'May 25'!E13,'May 25'!F13,'May 25'!G13,'May 25'!H13,'May 25'!J13)+SUM('June 25'!C13,'June 25'!D13,'June 25'!F13,'June 25'!G13,'June 25'!H13,'June 25'!J13)+SUM('July 25'!C13,'July 25'!D13,'July 25'!E13,'July 25'!F13,'July 25'!G13,'July 25'!H13,'July 25'!J13)</f>
        <v>6035.8399999999992</v>
      </c>
      <c r="K84" s="8"/>
      <c r="L84" s="3"/>
      <c r="M84" s="1"/>
      <c r="N84" s="8"/>
      <c r="O84" s="8"/>
      <c r="P84" s="74">
        <f>SUM('Aug 25'!C13,'Aug 25'!D13,'Aug 25'!E13,'Aug 25'!F13,'Aug 25'!G13,'Aug 25'!H13,'Aug 25'!J13)+SUM('Sep 25'!C13,'Sep 25'!D13,'Sep 25'!F13,'Sep 25'!G13,'Sep 25'!H13,'Sep 25'!J13)+SUM('Oct 25'!C13,'Oct 25'!D13,'Oct 25'!E13,'Oct 25'!F13,'Oct 25'!G13,'Oct 25'!H13,'Oct 25'!J13)+SUM('Nov 25'!C13,'Nov 25'!D13,'Nov 25'!F13,'Nov 25'!G13,'Nov 25'!H13,'Nov 25'!J13)+SUM('Dec 25'!C13,'Dec 25'!D13,'Dec 25'!E13,'Dec 25'!F13,'Dec 25'!G13,'Dec 25'!H13,'Dec 25'!J13)+SUM('Jan - 26'!C13,'Jan - 26'!D13,'Jan - 26'!E13,'Jan - 26'!F13,'Jan - 26'!G13,'Jan - 26'!H13,'Jan - 26'!J13)+SUM('Feb - 26'!C13,'Feb - 26'!D13,'Feb - 26'!E13,'Feb - 26'!F13,'Feb - 26'!G13,'Feb - 26'!H13,'Feb - 26'!J13)+SUM('Mar - 26'!C13,'Mar - 26'!D13,'Mar - 26'!F13,'Mar - 26'!G13,'Mar - 26'!J13)</f>
        <v>2621.4279999999999</v>
      </c>
      <c r="Q84" s="8"/>
      <c r="R84" s="23"/>
      <c r="S84" s="1"/>
      <c r="T84" s="8"/>
      <c r="U84" s="8"/>
      <c r="V84" s="74">
        <f>SUM(D84,J84,P84)</f>
        <v>12554.667999999998</v>
      </c>
      <c r="W84" s="8"/>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row>
    <row r="85" spans="1:51" ht="14" x14ac:dyDescent="0.2">
      <c r="A85" s="72" t="s">
        <v>242</v>
      </c>
      <c r="B85" s="8"/>
      <c r="C85" s="8"/>
      <c r="D85" s="32"/>
      <c r="E85" s="8"/>
      <c r="F85" s="31"/>
      <c r="G85" s="1"/>
      <c r="H85" s="8"/>
      <c r="I85" s="8"/>
      <c r="J85" s="32"/>
      <c r="K85" s="8"/>
      <c r="L85" s="3"/>
      <c r="M85" s="1"/>
      <c r="N85" s="8"/>
      <c r="O85" s="8"/>
      <c r="P85" s="74"/>
      <c r="Q85" s="8"/>
      <c r="R85" s="23"/>
      <c r="S85" s="1"/>
      <c r="T85" s="8"/>
      <c r="U85" s="8"/>
      <c r="V85" s="74"/>
      <c r="W85" s="8"/>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row>
    <row r="86" spans="1:51" ht="14" x14ac:dyDescent="0.2">
      <c r="A86" s="72"/>
      <c r="B86" s="8"/>
      <c r="C86" s="8"/>
      <c r="D86" s="32"/>
      <c r="E86" s="8"/>
      <c r="F86" s="31"/>
      <c r="G86" s="1"/>
      <c r="H86" s="8"/>
      <c r="I86" s="8"/>
      <c r="J86" s="32"/>
      <c r="K86" s="8"/>
      <c r="L86" s="3"/>
      <c r="M86" s="1"/>
      <c r="N86" s="8"/>
      <c r="O86" s="8"/>
      <c r="P86" s="74"/>
      <c r="Q86" s="8"/>
      <c r="R86" s="23"/>
      <c r="S86" s="1"/>
      <c r="T86" s="8"/>
      <c r="U86" s="8"/>
      <c r="V86" s="74"/>
      <c r="W86" s="8"/>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row>
    <row r="87" spans="1:51" ht="14" x14ac:dyDescent="0.2">
      <c r="A87" s="72" t="s">
        <v>243</v>
      </c>
      <c r="B87" s="8"/>
      <c r="C87" s="8"/>
      <c r="D87" s="74">
        <f>SUM('Feb 24'!I13,'Feb 24'!K13,'Feb 24'!L13,'Feb 24'!M13,'Feb 24'!N13,'Feb 24'!O13,'Feb 24'!P13,'Feb 24'!Q13,'Feb 24'!R13)+SUM('Mar 24'!I13,'Mar 24'!K13,'Mar 24'!L13,'Mar 24'!M13,'Mar 24'!N13,'Mar 24'!O13,'Mar 24'!P13,'Mar 24'!Q13,'Mar 24'!R13,'Mar 24'!S13)+SUM('Apr 24'!I13,'Apr 24'!K13,'Apr 24'!L13,'Apr 24'!M13,'Apr 24'!N13,'Apr 24'!O13,'Apr 24'!P13,'Apr 24'!Q13,'Apr 24'!R13,'Apr 24'!S13)+SUM('May 24'!I13,'May 24'!K13,'May 24'!L13,'May 24'!M13,'May 24'!N13,'May 24'!O13,'May 24'!P13,'May 24'!Q13,'May 24'!R13,'May 24'!S13)+SUM('Jun 24'!I13,'Jun 24'!K13,'Jun 24'!L13,'Jun 24'!M13,'Jun 24'!N13,'Jun 24'!O13,'Jun 24'!P13,'Jun 24'!Q13,'Jun 24'!R13,'Jun 24'!S13)+SUM('Jul 24'!I13,'Jul 24'!K13,'Jul 24'!L13,'Jul 24'!M13,'Jul 24'!N13,'Jul 24'!O13,'Jul 24'!P13,'Jul 24'!Q13,'Jul 24'!R13,'Jul 24'!S13)</f>
        <v>6650.76</v>
      </c>
      <c r="E87" s="8"/>
      <c r="F87" s="31"/>
      <c r="G87" s="1"/>
      <c r="H87" s="8"/>
      <c r="I87" s="8"/>
      <c r="J87" s="73">
        <f>SUM('Aug 24'!I13,'Aug 24'!K13,'Aug 24'!L13,'Aug 24'!M13,'Aug 24'!N13,'Aug 24'!O13,'Aug 24'!P13,'Aug 24'!Q13,'Aug 24'!R13,'Aug 24'!S13)+
SUM('Sep 24'!I13,'Sep 24'!K13,'Sep 24'!L13,'Sep 24'!M13,'Sep 24'!N13,'Sep 24'!O13,'Sep 24'!P13,'Sep 24'!Q13,'Sep 24'!R13,'Sep 24'!S13)+
SUM('Oct 24'!I13,'Oct 24'!K13,'Oct 24'!L13,'Oct 24'!M13,'Oct 24'!N13,'Oct 24'!O13,'Oct 24'!P13,'Oct 24'!Q13,'Oct 24'!R13,'Oct 24'!S13)+
SUM('Nov 24'!I13,'Nov 24'!K13,'Nov 24'!L13,'Nov 24'!M13,'Nov 24'!N13,'Nov 24'!O13,'Nov 24'!P13,'Nov 24'!Q13,'Nov 24'!R13,'Nov 24'!S13)+
SUM('Dec 24'!I13,'Dec 24'!K13,'Dec 24'!L13,'Dec 24'!M13,'Dec 24'!N13,'Dec 24'!O13,'Dec 24'!P13,'Dec 24'!Q13,'Dec 24'!R13,'Dec 24'!S13)+
SUM('Jan 25'!I13,'Jan 25'!K13,'Jan 25'!L13,'Jan 25'!M13,'Jan 25'!N13,'Jan 25'!O13,'Jan 25'!P13,'Jan 25'!Q13,'Jan 25'!R13,'Jan 25'!S13)+
SUM('Feb 25'!I13,'Feb 25'!K13,'Feb 25'!L13,'Feb 25'!M13,'Feb 25'!N13,'Feb 25'!O13,'Feb 25'!P13,'Feb 25'!Q13,'Feb 25'!R13,'Feb 25'!S13)+
SUM('Mar 25'!I13,'Mar 25'!K13,'Mar 25'!L13,'Mar 25'!M13,'Mar 25'!N13,'Mar 25'!O13,'Mar 25'!P13,'Mar 25'!Q13,'Mar 25'!R13,'Mar 25'!S13)+
SUM('April 25'!I13,'April 25'!K13,'April 25'!L13,'April 25'!M13,'April 25'!N13,'April 25'!O13,'April 25'!P13,'April 25'!Q13,'April 25'!R13,'April 25'!S13)+SUM('May 25'!I13,'May 25'!K13,'May 25'!L13,'May 25'!M13,'May 25'!N13,'May 25'!O13,'May 25'!P13,'May 25'!Q13,'May 25'!R13,'May 25'!S13)+SUM('June 25'!I13,'June 25'!K13,'June 25'!M13,'June 25'!N13,'June 25'!O13,'June 25'!P13,'June 25'!R13,'June 25'!S13)+SUM('July 25'!I13,'July 25'!K13,'July 25'!L13,'July 25'!M13,'July 25'!N13,'July 25'!O13,'July 25'!P13,'July 25'!Q13,'July 25'!R13,'July 25'!S13)</f>
        <v>16959.019999999997</v>
      </c>
      <c r="K87" s="8"/>
      <c r="L87" s="3"/>
      <c r="M87" s="1"/>
      <c r="N87" s="8"/>
      <c r="O87" s="8"/>
      <c r="P87" s="74">
        <f>SUM('Aug 25'!I13,'Aug 25'!K13,'Aug 25'!L13,'Aug 25'!M13,'Aug 25'!N13,'Aug 25'!O13,'Aug 25'!P13,'Aug 25'!Q13,'Aug 25'!R13,'Aug 25'!S13)+SUM('Sep 25'!I13,'Sep 25'!K13,'Sep 25'!L13,'Sep 25'!M13,'Sep 25'!N13,'Sep 25'!O13,'Sep 25'!P13,'Sep 25'!R13,'Sep 25'!S13)+SUM('Oct 25'!I13,'Oct 25'!K13,'Oct 25'!L13,'Oct 25'!M13,'Oct 25'!N13,'Oct 25'!O13,'Oct 25'!P13,'Oct 25'!Q13,'Oct 25'!R13,'Oct 25'!S13)+SUM('Nov 25'!I13,'Nov 25'!K13,'Nov 25'!L13,'Nov 25'!M13,'Nov 25'!N13,'Nov 25'!O13,'Nov 25'!P13,'Nov 25'!R13)+SUM('Dec 25'!I13,'Dec 25'!K13,'Dec 25'!L13,'Dec 25'!M13,'Dec 25'!N13,'Dec 25'!O13,'Dec 25'!P13,'Dec 25'!Q13,'Dec 25'!R13,'Dec 25'!S13)+SUM('Jan - 26'!I13,'Jan - 26'!K13,'Jan - 26'!L13,'Jan - 26'!M13,'Jan - 26'!N13,'Jan - 26'!O13,'Jan - 26'!P13,'Jan - 26'!Q13,'Jan - 26'!R13,'Jan - 26'!S13)+SUM('Feb - 26'!I13,'Feb - 26'!K13,'Feb - 26'!L13,'Feb - 26'!M13,'Feb - 26'!N13,'Feb - 26'!O13,'Feb - 26'!P13,'Feb - 26'!Q13,'Feb - 26'!R13,'Feb - 26'!S13)+SUM('Mar - 26'!I13,'Mar - 26'!K13,'Mar - 26'!L13,'Mar - 26'!M13,'Mar - 26'!N13,'Mar - 26'!O13,'Mar - 26'!P13,'Mar - 26'!R13,'Mar - 26'!S13)</f>
        <v>13131.050000000001</v>
      </c>
      <c r="Q87" s="8"/>
      <c r="R87" s="23"/>
      <c r="S87" s="1"/>
      <c r="T87" s="8"/>
      <c r="U87" s="8"/>
      <c r="V87" s="74">
        <f>SUM(D87,J87,P87)</f>
        <v>36740.83</v>
      </c>
      <c r="W87" s="8"/>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row>
    <row r="88" spans="1:51" ht="14" x14ac:dyDescent="0.2">
      <c r="A88" s="72" t="s">
        <v>244</v>
      </c>
      <c r="B88" s="8"/>
      <c r="C88" s="8"/>
      <c r="D88" s="32"/>
      <c r="E88" s="8"/>
      <c r="F88" s="31"/>
      <c r="G88" s="1"/>
      <c r="H88" s="8"/>
      <c r="I88" s="8"/>
      <c r="J88" s="32"/>
      <c r="K88" s="8"/>
      <c r="L88" s="3"/>
      <c r="M88" s="1"/>
      <c r="N88" s="8"/>
      <c r="O88" s="8"/>
      <c r="P88" s="32"/>
      <c r="Q88" s="8"/>
      <c r="R88" s="23"/>
      <c r="S88" s="1"/>
      <c r="T88" s="8"/>
      <c r="U88" s="8"/>
      <c r="V88" s="32"/>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row>
    <row r="89" spans="1:51" ht="14" x14ac:dyDescent="0.2">
      <c r="A89" s="1"/>
      <c r="B89" s="3"/>
      <c r="C89" s="75" t="s">
        <v>126</v>
      </c>
      <c r="D89" s="76">
        <f>SUM(D84,D87)-D82</f>
        <v>0</v>
      </c>
      <c r="E89" s="31"/>
      <c r="F89" s="31"/>
      <c r="G89" s="1"/>
      <c r="H89" s="3"/>
      <c r="I89" s="75" t="s">
        <v>126</v>
      </c>
      <c r="J89" s="31">
        <f>SUM(J87,J84)-J82</f>
        <v>0</v>
      </c>
      <c r="K89" s="31"/>
      <c r="L89" s="3"/>
      <c r="M89" s="1"/>
      <c r="N89" s="3"/>
      <c r="O89" s="75" t="s">
        <v>126</v>
      </c>
      <c r="P89" s="31">
        <f>SUM(P87+P84)-P82</f>
        <v>0</v>
      </c>
      <c r="Q89" s="31"/>
      <c r="R89" s="23"/>
      <c r="S89" s="1"/>
      <c r="T89" s="3"/>
      <c r="U89" s="75" t="s">
        <v>126</v>
      </c>
      <c r="V89" s="31">
        <f>SUM(V87+V84)-V82</f>
        <v>0</v>
      </c>
      <c r="W89" s="31"/>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row>
    <row r="90" spans="1:51" ht="14" x14ac:dyDescent="0.2">
      <c r="A90" s="4"/>
      <c r="B90" s="5"/>
      <c r="C90" s="5"/>
      <c r="D90" s="5"/>
      <c r="E90" s="5"/>
      <c r="F90" s="5"/>
      <c r="G90" s="5"/>
      <c r="H90" s="5"/>
      <c r="I90" s="5"/>
      <c r="J90" s="5"/>
      <c r="K90" s="5"/>
      <c r="L90" s="5"/>
      <c r="M90" s="5"/>
      <c r="N90" s="5"/>
      <c r="O90" s="5"/>
      <c r="P90" s="5"/>
      <c r="Q90" s="5"/>
      <c r="R90" s="23"/>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row>
    <row r="91" spans="1:51" ht="7.5" customHeight="1" x14ac:dyDescent="0.2">
      <c r="A91" s="7"/>
      <c r="B91" s="7"/>
      <c r="C91" s="7"/>
      <c r="D91" s="7"/>
      <c r="E91" s="7"/>
      <c r="F91" s="3"/>
      <c r="G91" s="7"/>
      <c r="H91" s="7"/>
      <c r="I91" s="7"/>
      <c r="J91" s="7"/>
      <c r="K91" s="7"/>
      <c r="L91" s="3"/>
      <c r="M91" s="7"/>
      <c r="N91" s="7"/>
      <c r="O91" s="7"/>
      <c r="P91" s="7"/>
      <c r="Q91" s="7"/>
      <c r="R91" s="3"/>
      <c r="S91" s="7"/>
      <c r="T91" s="7"/>
      <c r="U91" s="7"/>
      <c r="V91" s="7"/>
      <c r="W91" s="7"/>
      <c r="X91" s="3"/>
      <c r="Y91" s="3"/>
      <c r="Z91" s="3"/>
      <c r="AA91" s="3"/>
      <c r="AB91" s="3"/>
      <c r="AC91" s="3"/>
      <c r="AD91" s="3"/>
      <c r="AE91" s="3"/>
      <c r="AF91" s="3"/>
      <c r="AG91" s="3"/>
      <c r="AH91" s="3"/>
      <c r="AI91" s="3"/>
      <c r="AJ91" s="3"/>
      <c r="AK91" s="3"/>
      <c r="AL91" s="4"/>
      <c r="AM91" s="4"/>
      <c r="AN91" s="4"/>
      <c r="AO91" s="4"/>
      <c r="AP91" s="4"/>
      <c r="AQ91" s="4"/>
      <c r="AR91" s="4"/>
      <c r="AS91" s="4"/>
      <c r="AT91" s="4"/>
      <c r="AU91" s="4"/>
      <c r="AV91" s="4"/>
      <c r="AW91" s="4"/>
      <c r="AX91" s="4"/>
      <c r="AY91" s="4"/>
    </row>
    <row r="92" spans="1:51" ht="15" x14ac:dyDescent="0.2">
      <c r="A92" s="52" t="s">
        <v>269</v>
      </c>
      <c r="B92" s="8" t="s">
        <v>5</v>
      </c>
      <c r="C92" s="8" t="s">
        <v>6</v>
      </c>
      <c r="D92" s="9" t="s">
        <v>7</v>
      </c>
      <c r="E92" s="8" t="s">
        <v>8</v>
      </c>
      <c r="F92" s="8"/>
      <c r="G92" s="52" t="s">
        <v>290</v>
      </c>
      <c r="H92" s="8" t="s">
        <v>5</v>
      </c>
      <c r="I92" s="8" t="s">
        <v>6</v>
      </c>
      <c r="J92" s="9" t="s">
        <v>7</v>
      </c>
      <c r="K92" s="8" t="s">
        <v>8</v>
      </c>
      <c r="L92" s="8"/>
      <c r="M92" s="52" t="s">
        <v>440</v>
      </c>
      <c r="N92" s="8" t="s">
        <v>5</v>
      </c>
      <c r="O92" s="8" t="s">
        <v>6</v>
      </c>
      <c r="P92" s="9" t="s">
        <v>7</v>
      </c>
      <c r="Q92" s="8" t="s">
        <v>8</v>
      </c>
      <c r="R92" s="23"/>
      <c r="S92" s="52" t="s">
        <v>441</v>
      </c>
      <c r="T92" s="8" t="s">
        <v>5</v>
      </c>
      <c r="U92" s="8" t="s">
        <v>6</v>
      </c>
      <c r="V92" s="9" t="s">
        <v>7</v>
      </c>
      <c r="W92" s="8" t="s">
        <v>8</v>
      </c>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spans="1:51" ht="14" x14ac:dyDescent="0.2">
      <c r="A93" s="3" t="s">
        <v>9</v>
      </c>
      <c r="B93" s="3" t="s">
        <v>129</v>
      </c>
      <c r="C93" s="3"/>
      <c r="D93" s="31">
        <f>'Feb 24'!J17+'Mar 24'!J17+'Apr 24'!J17+'May 24'!J17+'Jun 24'!J17+'Jul 24'!J17</f>
        <v>509.5</v>
      </c>
      <c r="E93" s="3"/>
      <c r="F93" s="3"/>
      <c r="G93" s="3" t="s">
        <v>9</v>
      </c>
      <c r="H93" s="3" t="s">
        <v>129</v>
      </c>
      <c r="I93" s="3"/>
      <c r="J93" s="31">
        <f>'Aug 24'!J17 + 'Sep 24'!J17 + 'Oct 24'!J17 + 'Nov 24'!J17 + 'Dec 24'!J17 + 'Jan 25'!J17 + 'Feb 25'!J17 + 'Mar 25'!J17 + 'April 25'!J17+'May 25'!J17+'June 25'!J17+'July 25'!J17</f>
        <v>2.08</v>
      </c>
      <c r="K93" s="3"/>
      <c r="L93" s="3"/>
      <c r="M93" s="3" t="s">
        <v>9</v>
      </c>
      <c r="N93" s="3" t="s">
        <v>129</v>
      </c>
      <c r="O93" s="3"/>
      <c r="P93" s="33">
        <f>'Aug 25'!J17+'Sep 25'!J17+'Oct 25'!J17+'Nov 25'!J17+'Dec 25'!J17+'Jan - 26'!J17+'Feb - 26'!J17+'Mar - 26'!J17</f>
        <v>0</v>
      </c>
      <c r="Q93" s="3"/>
      <c r="R93" s="23"/>
      <c r="S93" s="3" t="s">
        <v>9</v>
      </c>
      <c r="T93" s="3" t="s">
        <v>129</v>
      </c>
      <c r="U93" s="3"/>
      <c r="V93" s="31">
        <f>SUM(D93,J93,P93)</f>
        <v>511.58</v>
      </c>
      <c r="W93" s="3"/>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spans="1:51" ht="15" x14ac:dyDescent="0.2">
      <c r="A94" s="3" t="s">
        <v>10</v>
      </c>
      <c r="B94" s="36" t="s">
        <v>130</v>
      </c>
      <c r="C94" s="3"/>
      <c r="D94" s="31">
        <f>'Feb 24'!J18+'Mar 24'!J18+'Apr 24'!J18+'May 24'!J18+'Jun 24'!J18+'Jul 24'!J18</f>
        <v>731.62999999999988</v>
      </c>
      <c r="E94" s="3"/>
      <c r="F94" s="3"/>
      <c r="G94" s="3" t="s">
        <v>10</v>
      </c>
      <c r="H94" s="36" t="s">
        <v>130</v>
      </c>
      <c r="I94" s="3"/>
      <c r="J94" s="31">
        <f>'Aug 24'!J18 + 'Sep 24'!J18 + 'Oct 24'!J18 + 'Nov 24'!J18 + 'Dec 24'!J18 + 'Jan 25'!J18 + 'Feb 25'!J18 + 'Mar 25'!J18 + 'April 25'!J18+'May 25'!J18+'June 25'!J18+'July 25'!J18</f>
        <v>3629.1099999999997</v>
      </c>
      <c r="K94" s="3"/>
      <c r="L94" s="3"/>
      <c r="M94" s="3" t="s">
        <v>10</v>
      </c>
      <c r="N94" s="36" t="s">
        <v>130</v>
      </c>
      <c r="O94" s="3"/>
      <c r="P94" s="33">
        <f>'Aug 25'!J18+'Sep 25'!J18+'Oct 25'!J18+'Nov 25'!J18+'Dec 25'!J18+'Jan - 26'!J18+'Feb - 26'!J18+'Mar - 26'!J18</f>
        <v>618.35</v>
      </c>
      <c r="Q94" s="3"/>
      <c r="R94" s="23"/>
      <c r="S94" s="3" t="s">
        <v>10</v>
      </c>
      <c r="T94" s="36" t="s">
        <v>130</v>
      </c>
      <c r="U94" s="3"/>
      <c r="V94" s="31">
        <f t="shared" ref="V94:V132" si="3">SUM(D94,J94,P94)</f>
        <v>4979.09</v>
      </c>
      <c r="W94" s="3"/>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row>
    <row r="95" spans="1:51" ht="14" x14ac:dyDescent="0.2">
      <c r="A95" s="3" t="s">
        <v>287</v>
      </c>
      <c r="B95" s="36"/>
      <c r="C95" s="3"/>
      <c r="D95" s="31">
        <f>'Feb 24'!J19+'Mar 24'!J19+'Apr 24'!J19+'May 24'!J19+'Jun 24'!J19+'Jul 24'!J19</f>
        <v>0</v>
      </c>
      <c r="E95" s="3"/>
      <c r="F95" s="3"/>
      <c r="G95" s="3" t="s">
        <v>287</v>
      </c>
      <c r="H95" s="36"/>
      <c r="I95" s="3"/>
      <c r="J95" s="31">
        <f>'Aug 24'!J19 + 'Sep 24'!J19 + 'Oct 24'!J19 + 'Nov 24'!J19 + 'Dec 24'!J19 + 'Jan 25'!J19 + 'Feb 25'!J19 + 'Mar 25'!J19 + 'April 25'!J19+'May 25'!J19+'June 25'!J19+'July 25'!J19</f>
        <v>13.91</v>
      </c>
      <c r="K95" s="3"/>
      <c r="L95" s="3"/>
      <c r="M95" s="3" t="s">
        <v>287</v>
      </c>
      <c r="N95" s="36"/>
      <c r="O95" s="3"/>
      <c r="P95" s="33">
        <f>'Aug 25'!J19+'Sep 25'!J19+'Oct 25'!J19+'Nov 25'!J19+'Dec 25'!J19+'Jan - 26'!J19+'Feb - 26'!J19+'Mar - 26'!J19</f>
        <v>51.42</v>
      </c>
      <c r="Q95" s="3"/>
      <c r="R95" s="23"/>
      <c r="S95" s="3" t="s">
        <v>287</v>
      </c>
      <c r="T95" s="36"/>
      <c r="U95" s="3"/>
      <c r="V95" s="31">
        <f t="shared" si="3"/>
        <v>65.33</v>
      </c>
      <c r="W95" s="3"/>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row>
    <row r="96" spans="1:51" ht="14" x14ac:dyDescent="0.2">
      <c r="A96" s="3" t="s">
        <v>11</v>
      </c>
      <c r="B96" s="3" t="s">
        <v>131</v>
      </c>
      <c r="C96" s="3"/>
      <c r="D96" s="31">
        <f>'Feb 24'!J20+'Mar 24'!J20+'Apr 24'!J20+'May 24'!J20+'Jun 24'!J20+'Jul 24'!J20</f>
        <v>328</v>
      </c>
      <c r="E96" s="3"/>
      <c r="F96" s="3"/>
      <c r="G96" s="3" t="s">
        <v>11</v>
      </c>
      <c r="H96" s="3" t="s">
        <v>131</v>
      </c>
      <c r="I96" s="3"/>
      <c r="J96" s="31">
        <f>'Aug 24'!J20 + 'Sep 24'!J20 + 'Oct 24'!J20 + 'Nov 24'!J20 + 'Dec 24'!J20 + 'Jan 25'!J20 + 'Feb 25'!J20 + 'Mar 25'!J20 + 'April 25'!J20+'May 25'!J20+'June 25'!J20+'July 25'!J20</f>
        <v>101.16</v>
      </c>
      <c r="K96" s="3"/>
      <c r="L96" s="3"/>
      <c r="M96" s="3" t="s">
        <v>11</v>
      </c>
      <c r="N96" s="3" t="s">
        <v>131</v>
      </c>
      <c r="O96" s="3"/>
      <c r="P96" s="33">
        <f>'Aug 25'!J20+'Sep 25'!J20+'Oct 25'!J20+'Nov 25'!J20+'Dec 25'!J20+'Jan - 26'!J20+'Feb - 26'!J20+'Mar - 26'!J20</f>
        <v>34.42</v>
      </c>
      <c r="Q96" s="3"/>
      <c r="R96" s="23"/>
      <c r="S96" s="3" t="s">
        <v>11</v>
      </c>
      <c r="T96" s="3" t="s">
        <v>131</v>
      </c>
      <c r="U96" s="3"/>
      <c r="V96" s="31">
        <f t="shared" si="3"/>
        <v>463.58</v>
      </c>
      <c r="W96" s="3"/>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row>
    <row r="97" spans="1:51" ht="14" x14ac:dyDescent="0.2">
      <c r="A97" s="3" t="s">
        <v>12</v>
      </c>
      <c r="B97" s="3" t="s">
        <v>129</v>
      </c>
      <c r="C97" s="3"/>
      <c r="D97" s="31">
        <f>'Feb 24'!J21+'Mar 24'!J21+'Apr 24'!J21+'May 24'!J21+'Jun 24'!J21+'Jul 24'!J21</f>
        <v>1692.67</v>
      </c>
      <c r="E97" s="3"/>
      <c r="F97" s="3"/>
      <c r="G97" s="3" t="s">
        <v>12</v>
      </c>
      <c r="H97" s="3" t="s">
        <v>129</v>
      </c>
      <c r="I97" s="3"/>
      <c r="J97" s="31">
        <f>'Aug 24'!J21 + 'Sep 24'!J21 + 'Oct 24'!J21 + 'Nov 24'!J21 + 'Dec 24'!J21 + 'Jan 25'!J21 + 'Feb 25'!J21 + 'Mar 25'!J21 + 'April 25'!J21+'May 25'!J21+'June 25'!J21+'July 25'!J21</f>
        <v>95.92</v>
      </c>
      <c r="K97" s="3"/>
      <c r="L97" s="3"/>
      <c r="M97" s="3" t="s">
        <v>12</v>
      </c>
      <c r="N97" s="3" t="s">
        <v>129</v>
      </c>
      <c r="O97" s="3"/>
      <c r="P97" s="33">
        <f>'Aug 25'!J21+'Sep 25'!J21+'Oct 25'!J21+'Nov 25'!J21+'Dec 25'!J21+'Jan - 26'!J21+'Feb - 26'!J21+'Mar - 26'!J21</f>
        <v>0</v>
      </c>
      <c r="Q97" s="3"/>
      <c r="R97" s="23"/>
      <c r="S97" s="3" t="s">
        <v>12</v>
      </c>
      <c r="T97" s="3" t="s">
        <v>129</v>
      </c>
      <c r="U97" s="3"/>
      <c r="V97" s="31">
        <f t="shared" si="3"/>
        <v>1788.5900000000001</v>
      </c>
      <c r="W97" s="3"/>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row>
    <row r="98" spans="1:51" ht="14" x14ac:dyDescent="0.2">
      <c r="A98" s="3" t="s">
        <v>13</v>
      </c>
      <c r="B98" s="3" t="s">
        <v>132</v>
      </c>
      <c r="C98" s="3"/>
      <c r="D98" s="31">
        <f>'Feb 24'!J22+'Mar 24'!J22+'Apr 24'!J22+'May 24'!J22+'Jun 24'!J22+'Jul 24'!J22</f>
        <v>277.54000000000002</v>
      </c>
      <c r="E98" s="3"/>
      <c r="F98" s="3"/>
      <c r="G98" s="3" t="s">
        <v>13</v>
      </c>
      <c r="H98" s="3" t="s">
        <v>132</v>
      </c>
      <c r="I98" s="3"/>
      <c r="J98" s="31">
        <f>'Aug 24'!J22 + 'Sep 24'!J22 + 'Oct 24'!J22 + 'Nov 24'!J22 + 'Dec 24'!J22 + 'Jan 25'!J22 + 'Feb 25'!J22 + 'Mar 25'!J22 + 'April 25'!J22+'May 25'!J22+'June 25'!J22+'July 25'!J22</f>
        <v>1765.1999999999998</v>
      </c>
      <c r="K98" s="3"/>
      <c r="L98" s="3"/>
      <c r="M98" s="3" t="s">
        <v>13</v>
      </c>
      <c r="N98" s="3" t="s">
        <v>132</v>
      </c>
      <c r="O98" s="3"/>
      <c r="P98" s="33">
        <f>'Aug 25'!J22+'Sep 25'!J22+'Oct 25'!J22+'Nov 25'!J22+'Dec 25'!J22+'Jan - 26'!J22+'Feb - 26'!J22+'Mar - 26'!J22</f>
        <v>404.78</v>
      </c>
      <c r="Q98" s="3"/>
      <c r="R98" s="23"/>
      <c r="S98" s="3" t="s">
        <v>13</v>
      </c>
      <c r="T98" s="3" t="s">
        <v>132</v>
      </c>
      <c r="U98" s="3"/>
      <c r="V98" s="31">
        <f t="shared" si="3"/>
        <v>2447.5199999999995</v>
      </c>
      <c r="W98" s="3"/>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row>
    <row r="99" spans="1:51" ht="14" x14ac:dyDescent="0.2">
      <c r="A99" s="3" t="s">
        <v>416</v>
      </c>
      <c r="B99" s="3"/>
      <c r="C99" s="3"/>
      <c r="D99" s="31">
        <f>'Feb 24'!J23+'Mar 24'!J23+'Apr 24'!J23+'May 24'!J23+'Jun 24'!J23+'Jul 24'!J23</f>
        <v>0</v>
      </c>
      <c r="E99" s="3"/>
      <c r="F99" s="3"/>
      <c r="G99" s="3" t="s">
        <v>416</v>
      </c>
      <c r="H99" s="3"/>
      <c r="I99" s="3"/>
      <c r="J99" s="31">
        <f>'Aug 24'!J23 + 'Sep 24'!J23 + 'Oct 24'!J23 + 'Nov 24'!J23 + 'Dec 24'!J23 + 'Jan 25'!J23 + 'Feb 25'!J23 + 'Mar 25'!J23 + 'April 25'!J23+'May 25'!J23+'June 25'!J23+'July 25'!J23</f>
        <v>0</v>
      </c>
      <c r="K99" s="3"/>
      <c r="L99" s="3"/>
      <c r="M99" s="3" t="s">
        <v>416</v>
      </c>
      <c r="N99" s="3"/>
      <c r="O99" s="3"/>
      <c r="P99" s="33">
        <f>'Aug 25'!J23+'Sep 25'!J23+'Oct 25'!J23+'Nov 25'!J23+'Dec 25'!J23+'Jan - 26'!J23+'Feb - 26'!J23+'Mar - 26'!J23</f>
        <v>137.82999999999998</v>
      </c>
      <c r="Q99" s="3"/>
      <c r="R99" s="23"/>
      <c r="S99" s="3" t="s">
        <v>416</v>
      </c>
      <c r="T99" s="3"/>
      <c r="U99" s="3"/>
      <c r="V99" s="31">
        <f t="shared" si="3"/>
        <v>137.82999999999998</v>
      </c>
      <c r="W99" s="3"/>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row>
    <row r="100" spans="1:51" ht="14" x14ac:dyDescent="0.2">
      <c r="A100" s="3" t="s">
        <v>417</v>
      </c>
      <c r="B100" s="3"/>
      <c r="C100" s="3"/>
      <c r="D100" s="31">
        <f>'Feb 24'!J24+'Mar 24'!J24+'Apr 24'!J24+'May 24'!J24+'Jun 24'!J24+'Jul 24'!J24</f>
        <v>0</v>
      </c>
      <c r="E100" s="3"/>
      <c r="F100" s="3"/>
      <c r="G100" s="3" t="s">
        <v>417</v>
      </c>
      <c r="H100" s="3"/>
      <c r="I100" s="3"/>
      <c r="J100" s="31">
        <f>'Aug 24'!J24 + 'Sep 24'!J24 + 'Oct 24'!J24 + 'Nov 24'!J24 + 'Dec 24'!J24 + 'Jan 25'!J24 + 'Feb 25'!J24 + 'Mar 25'!J24 + 'April 25'!J24+'May 25'!J24+'June 25'!J24+'July 25'!J24</f>
        <v>0</v>
      </c>
      <c r="K100" s="3"/>
      <c r="L100" s="3"/>
      <c r="M100" s="3" t="s">
        <v>417</v>
      </c>
      <c r="N100" s="3"/>
      <c r="O100" s="3"/>
      <c r="P100" s="33">
        <f>'Aug 25'!J24+'Sep 25'!J24+'Oct 25'!J24+'Nov 25'!J24+'Dec 25'!J24+'Jan - 26'!J24+'Feb - 26'!J24+'Mar - 26'!J24</f>
        <v>493.40999999999997</v>
      </c>
      <c r="Q100" s="3"/>
      <c r="R100" s="23"/>
      <c r="S100" s="3" t="s">
        <v>417</v>
      </c>
      <c r="T100" s="3"/>
      <c r="U100" s="3"/>
      <c r="V100" s="31">
        <f t="shared" si="3"/>
        <v>493.40999999999997</v>
      </c>
      <c r="W100" s="3"/>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row>
    <row r="101" spans="1:51" ht="14" x14ac:dyDescent="0.2">
      <c r="A101" s="3" t="s">
        <v>14</v>
      </c>
      <c r="B101" s="3" t="s">
        <v>133</v>
      </c>
      <c r="C101" s="3"/>
      <c r="D101" s="31">
        <f>'Feb 24'!J25+'Mar 24'!J25+'Apr 24'!J25+'May 24'!J25+'Jun 24'!J25+'Jul 24'!J25</f>
        <v>8786.94</v>
      </c>
      <c r="E101" s="3"/>
      <c r="F101" s="3"/>
      <c r="G101" s="3" t="s">
        <v>14</v>
      </c>
      <c r="H101" s="3" t="s">
        <v>133</v>
      </c>
      <c r="I101" s="3"/>
      <c r="J101" s="31">
        <f>'Aug 24'!J25 + 'Sep 24'!J25 + 'Oct 24'!J25 + 'Nov 24'!J25 + 'Dec 24'!J25 + 'Jan 25'!J25 + 'Feb 25'!J25 + 'Mar 25'!J25 + 'April 25'!J25+'May 25'!J25+'June 25'!J25+'July 25'!J25</f>
        <v>12692.5</v>
      </c>
      <c r="K101" s="3"/>
      <c r="L101" s="3"/>
      <c r="M101" s="3" t="s">
        <v>14</v>
      </c>
      <c r="N101" s="3" t="s">
        <v>133</v>
      </c>
      <c r="O101" s="3"/>
      <c r="P101" s="33">
        <f>'Aug 25'!J25+'Sep 25'!J25+'Oct 25'!J25+'Nov 25'!J25+'Dec 25'!J25+'Jan - 26'!J25+'Feb - 26'!J25+'Mar - 26'!J25</f>
        <v>10064.560000000001</v>
      </c>
      <c r="Q101" s="3"/>
      <c r="R101" s="23"/>
      <c r="S101" s="3" t="s">
        <v>14</v>
      </c>
      <c r="T101" s="3" t="s">
        <v>133</v>
      </c>
      <c r="U101" s="3"/>
      <c r="V101" s="31">
        <f t="shared" si="3"/>
        <v>31544.000000000004</v>
      </c>
      <c r="W101" s="3"/>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row>
    <row r="102" spans="1:51" ht="14" x14ac:dyDescent="0.2">
      <c r="A102" s="3" t="s">
        <v>277</v>
      </c>
      <c r="B102" s="3"/>
      <c r="C102" s="3"/>
      <c r="D102" s="31">
        <f>'Feb 24'!J26+'Mar 24'!J26+'Apr 24'!J26+'May 24'!J26+'Jun 24'!J26+'Jul 24'!J26</f>
        <v>0</v>
      </c>
      <c r="E102" s="3"/>
      <c r="F102" s="3"/>
      <c r="G102" s="3" t="s">
        <v>277</v>
      </c>
      <c r="H102" s="3"/>
      <c r="I102" s="3"/>
      <c r="J102" s="31">
        <f>'Aug 24'!J26 + 'Sep 24'!J26 + 'Oct 24'!J26 + 'Nov 24'!J26 + 'Dec 24'!J26 + 'Jan 25'!J26 + 'Feb 25'!J26 + 'Mar 25'!J26 + 'April 25'!J26+'May 25'!J26+'June 25'!J26+'July 25'!J26</f>
        <v>427.59000000000003</v>
      </c>
      <c r="K102" s="3"/>
      <c r="L102" s="3"/>
      <c r="M102" s="3" t="s">
        <v>277</v>
      </c>
      <c r="N102" s="3"/>
      <c r="O102" s="3"/>
      <c r="P102" s="33">
        <f>'Aug 25'!J26+'Sep 25'!J26+'Oct 25'!J26+'Nov 25'!J26+'Dec 25'!J26+'Jan - 26'!J26+'Feb - 26'!J26+'Mar - 26'!J26</f>
        <v>1354.59</v>
      </c>
      <c r="Q102" s="3"/>
      <c r="R102" s="23"/>
      <c r="S102" s="3" t="s">
        <v>277</v>
      </c>
      <c r="T102" s="3"/>
      <c r="U102" s="3"/>
      <c r="V102" s="31">
        <f t="shared" si="3"/>
        <v>1782.1799999999998</v>
      </c>
      <c r="W102" s="3"/>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row>
    <row r="103" spans="1:51" ht="14" x14ac:dyDescent="0.2">
      <c r="A103" s="3" t="s">
        <v>421</v>
      </c>
      <c r="B103" s="3"/>
      <c r="C103" s="3"/>
      <c r="D103" s="31">
        <f>'Feb 24'!J27+'Mar 24'!J27+'Apr 24'!J27+'May 24'!J27+'Jun 24'!J27+'Jul 24'!J27</f>
        <v>0</v>
      </c>
      <c r="E103" s="3"/>
      <c r="F103" s="3"/>
      <c r="G103" s="3" t="s">
        <v>421</v>
      </c>
      <c r="H103" s="3"/>
      <c r="I103" s="3"/>
      <c r="J103" s="31">
        <f>'Aug 24'!J27 + 'Sep 24'!J27 + 'Oct 24'!J27 + 'Nov 24'!J27 + 'Dec 24'!J27 + 'Jan 25'!J27 + 'Feb 25'!J27 + 'Mar 25'!J27 + 'April 25'!J27+'May 25'!J27+'June 25'!J27+'July 25'!J27</f>
        <v>0</v>
      </c>
      <c r="K103" s="3"/>
      <c r="L103" s="3"/>
      <c r="M103" s="3" t="s">
        <v>421</v>
      </c>
      <c r="N103" s="3"/>
      <c r="O103" s="3"/>
      <c r="P103" s="33">
        <f>'Aug 25'!J27+'Sep 25'!J27+'Oct 25'!J27+'Nov 25'!J27+'Dec 25'!J27+'Jan - 26'!J27+'Feb - 26'!J27+'Mar - 26'!J27</f>
        <v>0</v>
      </c>
      <c r="Q103" s="3"/>
      <c r="R103" s="23"/>
      <c r="S103" s="3" t="s">
        <v>421</v>
      </c>
      <c r="T103" s="3"/>
      <c r="U103" s="3"/>
      <c r="V103" s="31">
        <f t="shared" si="3"/>
        <v>0</v>
      </c>
      <c r="W103" s="3"/>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row>
    <row r="104" spans="1:51" ht="14" x14ac:dyDescent="0.2">
      <c r="A104" s="3" t="s">
        <v>122</v>
      </c>
      <c r="B104" s="3" t="s">
        <v>134</v>
      </c>
      <c r="C104" s="3"/>
      <c r="D104" s="31">
        <f>'Feb 24'!J28+'Mar 24'!J28+'Apr 24'!J28+'May 24'!J28+'Jun 24'!J28+'Jul 24'!J28</f>
        <v>81.400000000000006</v>
      </c>
      <c r="E104" s="3"/>
      <c r="F104" s="3"/>
      <c r="G104" s="3" t="s">
        <v>122</v>
      </c>
      <c r="H104" s="3" t="s">
        <v>134</v>
      </c>
      <c r="I104" s="3"/>
      <c r="J104" s="31">
        <f>'Aug 24'!J28 + 'Sep 24'!J28 + 'Oct 24'!J28 + 'Nov 24'!J28 + 'Dec 24'!J28 + 'Jan 25'!J28 + 'Feb 25'!J28 + 'Mar 25'!J28 + 'April 25'!J28+'May 25'!J28+'June 25'!J28+'July 25'!J28</f>
        <v>2182.7200000000003</v>
      </c>
      <c r="K104" s="3"/>
      <c r="L104" s="3"/>
      <c r="M104" s="3" t="s">
        <v>122</v>
      </c>
      <c r="N104" s="3" t="s">
        <v>134</v>
      </c>
      <c r="O104" s="3"/>
      <c r="P104" s="33">
        <f>'Aug 25'!J28+'Sep 25'!J28+'Oct 25'!J28+'Nov 25'!J28+'Dec 25'!J28+'Jan - 26'!J28+'Feb - 26'!J28+'Mar - 26'!J28</f>
        <v>1206.93</v>
      </c>
      <c r="Q104" s="3"/>
      <c r="R104" s="23"/>
      <c r="S104" s="3" t="s">
        <v>122</v>
      </c>
      <c r="T104" s="3" t="s">
        <v>134</v>
      </c>
      <c r="U104" s="3"/>
      <c r="V104" s="31">
        <f t="shared" si="3"/>
        <v>3471.05</v>
      </c>
      <c r="W104" s="3"/>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row>
    <row r="105" spans="1:51" ht="14" x14ac:dyDescent="0.2">
      <c r="A105" s="3" t="s">
        <v>183</v>
      </c>
      <c r="B105" s="3"/>
      <c r="C105" s="3"/>
      <c r="D105" s="31">
        <f>'Feb 24'!J29+'Mar 24'!J29+'Apr 24'!J29+'May 24'!J29+'Jun 24'!J29+'Jul 24'!J29</f>
        <v>0</v>
      </c>
      <c r="E105" s="3"/>
      <c r="F105" s="3"/>
      <c r="G105" s="3" t="s">
        <v>183</v>
      </c>
      <c r="H105" s="3"/>
      <c r="I105" s="3"/>
      <c r="J105" s="31">
        <f>'Aug 24'!J29 + 'Sep 24'!J29 + 'Oct 24'!J29 + 'Nov 24'!J29 + 'Dec 24'!J29 + 'Jan 25'!J29 + 'Feb 25'!J29 + 'Mar 25'!J29 + 'April 25'!J29+'May 25'!J29+'June 25'!J29+'July 25'!J29</f>
        <v>146.66</v>
      </c>
      <c r="K105" s="3"/>
      <c r="L105" s="3"/>
      <c r="M105" s="3" t="s">
        <v>183</v>
      </c>
      <c r="N105" s="3"/>
      <c r="O105" s="3"/>
      <c r="P105" s="33">
        <f>'Aug 25'!J29+'Sep 25'!J29+'Oct 25'!J29+'Nov 25'!J29+'Dec 25'!J29+'Jan - 26'!J29+'Feb - 26'!J29+'Mar - 26'!J29</f>
        <v>415.94</v>
      </c>
      <c r="Q105" s="3"/>
      <c r="R105" s="23"/>
      <c r="S105" s="3" t="s">
        <v>183</v>
      </c>
      <c r="T105" s="3"/>
      <c r="U105" s="3"/>
      <c r="V105" s="31">
        <f t="shared" si="3"/>
        <v>562.6</v>
      </c>
      <c r="W105" s="3"/>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spans="1:51" ht="14" x14ac:dyDescent="0.2">
      <c r="A106" s="3" t="s">
        <v>123</v>
      </c>
      <c r="B106" s="3" t="s">
        <v>135</v>
      </c>
      <c r="C106" s="3"/>
      <c r="D106" s="31">
        <f>'Feb 24'!J30+'Mar 24'!J30+'Apr 24'!J30+'May 24'!J30+'Jun 24'!J30+'Jul 24'!J30</f>
        <v>25.75</v>
      </c>
      <c r="E106" s="3"/>
      <c r="F106" s="3"/>
      <c r="G106" s="3" t="s">
        <v>123</v>
      </c>
      <c r="H106" s="3" t="s">
        <v>135</v>
      </c>
      <c r="I106" s="3"/>
      <c r="J106" s="31">
        <f>'Aug 24'!J30 + 'Sep 24'!J30 + 'Oct 24'!J30 + 'Nov 24'!J30 + 'Dec 24'!J30 + 'Jan 25'!J30 + 'Feb 25'!J30 + 'Mar 25'!J30 + 'April 25'!J30+'May 25'!J30+'June 25'!J30+'July 25'!J30</f>
        <v>128.1</v>
      </c>
      <c r="K106" s="3"/>
      <c r="L106" s="3"/>
      <c r="M106" s="3" t="s">
        <v>123</v>
      </c>
      <c r="N106" s="3" t="s">
        <v>135</v>
      </c>
      <c r="O106" s="3"/>
      <c r="P106" s="33">
        <f>'Aug 25'!J30+'Sep 25'!J30+'Oct 25'!J30+'Nov 25'!J30+'Dec 25'!J30+'Jan - 26'!J30+'Feb - 26'!J30+'Mar - 26'!J30</f>
        <v>114.84</v>
      </c>
      <c r="Q106" s="3"/>
      <c r="R106" s="23"/>
      <c r="S106" s="3" t="s">
        <v>123</v>
      </c>
      <c r="T106" s="3" t="s">
        <v>135</v>
      </c>
      <c r="U106" s="3"/>
      <c r="V106" s="31">
        <f t="shared" si="3"/>
        <v>268.69</v>
      </c>
      <c r="W106" s="3"/>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spans="1:51" ht="14" x14ac:dyDescent="0.2">
      <c r="A107" s="3" t="s">
        <v>113</v>
      </c>
      <c r="B107" s="3" t="s">
        <v>136</v>
      </c>
      <c r="C107" s="3"/>
      <c r="D107" s="31">
        <f>'Feb 24'!J31+'Mar 24'!J31+'Apr 24'!J31+'May 24'!J31+'Jun 24'!J31+'Jul 24'!J31</f>
        <v>316.17</v>
      </c>
      <c r="E107" s="3"/>
      <c r="F107" s="3"/>
      <c r="G107" s="3" t="s">
        <v>113</v>
      </c>
      <c r="H107" s="3" t="s">
        <v>136</v>
      </c>
      <c r="I107" s="3"/>
      <c r="J107" s="31">
        <f>'Aug 24'!J31 + 'Sep 24'!J31 + 'Oct 24'!J31 + 'Nov 24'!J31 + 'Dec 24'!J31 + 'Jan 25'!J31 + 'Feb 25'!J31 + 'Mar 25'!J31 + 'April 25'!J31+'May 25'!J31+'June 25'!J31+'July 25'!J31</f>
        <v>1072.27</v>
      </c>
      <c r="K107" s="3"/>
      <c r="L107" s="3"/>
      <c r="M107" s="3" t="s">
        <v>113</v>
      </c>
      <c r="N107" s="3" t="s">
        <v>136</v>
      </c>
      <c r="O107" s="3"/>
      <c r="P107" s="33">
        <f>'Aug 25'!J31+'Sep 25'!J31+'Oct 25'!J31+'Nov 25'!J31+'Dec 25'!J31+'Jan - 26'!J31+'Feb - 26'!J31+'Mar - 26'!J31</f>
        <v>1361.01</v>
      </c>
      <c r="Q107" s="3"/>
      <c r="R107" s="23"/>
      <c r="S107" s="3" t="s">
        <v>113</v>
      </c>
      <c r="T107" s="3" t="s">
        <v>136</v>
      </c>
      <c r="U107" s="3"/>
      <c r="V107" s="31">
        <f t="shared" si="3"/>
        <v>2749.45</v>
      </c>
      <c r="W107" s="3"/>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spans="1:51" ht="14" x14ac:dyDescent="0.2">
      <c r="A108" s="3" t="s">
        <v>15</v>
      </c>
      <c r="B108" s="3" t="s">
        <v>137</v>
      </c>
      <c r="C108" s="3"/>
      <c r="D108" s="31">
        <f>'Feb 24'!J32+'Mar 24'!J32+'Apr 24'!J32+'May 24'!J32+'Jun 24'!J32+'Jul 24'!J32</f>
        <v>243.93</v>
      </c>
      <c r="E108" s="3"/>
      <c r="F108" s="3"/>
      <c r="G108" s="3" t="s">
        <v>15</v>
      </c>
      <c r="H108" s="3" t="s">
        <v>137</v>
      </c>
      <c r="I108" s="3"/>
      <c r="J108" s="31">
        <f>'Aug 24'!J32 + 'Sep 24'!J32 + 'Oct 24'!J32 + 'Nov 24'!J32 + 'Dec 24'!J32 + 'Jan 25'!J32 + 'Feb 25'!J32 + 'Mar 25'!J32 + 'April 25'!J32+'May 25'!J32+'June 25'!J32+'July 25'!J32</f>
        <v>0</v>
      </c>
      <c r="K108" s="3"/>
      <c r="L108" s="3"/>
      <c r="M108" s="3" t="s">
        <v>15</v>
      </c>
      <c r="N108" s="3" t="s">
        <v>137</v>
      </c>
      <c r="O108" s="3"/>
      <c r="P108" s="33">
        <f>'Aug 25'!J32+'Sep 25'!J32+'Oct 25'!J32+'Nov 25'!J32+'Dec 25'!J32+'Jan - 26'!J32+'Feb - 26'!J32+'Mar - 26'!J32</f>
        <v>0</v>
      </c>
      <c r="Q108" s="3"/>
      <c r="R108" s="23"/>
      <c r="S108" s="3" t="s">
        <v>15</v>
      </c>
      <c r="T108" s="3" t="s">
        <v>137</v>
      </c>
      <c r="U108" s="3"/>
      <c r="V108" s="31">
        <f t="shared" si="3"/>
        <v>243.93</v>
      </c>
      <c r="W108" s="3"/>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spans="1:51" ht="14" x14ac:dyDescent="0.2">
      <c r="A109" s="3" t="s">
        <v>16</v>
      </c>
      <c r="B109" s="3"/>
      <c r="C109" s="3"/>
      <c r="D109" s="31">
        <f>'Feb 24'!J33+'Mar 24'!J33+'Apr 24'!J33+'May 24'!J33+'Jun 24'!J33+'Jul 24'!J33</f>
        <v>358.35</v>
      </c>
      <c r="E109" s="3"/>
      <c r="F109" s="3"/>
      <c r="G109" s="3" t="s">
        <v>16</v>
      </c>
      <c r="H109" s="3"/>
      <c r="I109" s="3"/>
      <c r="J109" s="31">
        <f>'Aug 24'!J33 + 'Sep 24'!J33 + 'Oct 24'!J33 + 'Nov 24'!J33 + 'Dec 24'!J33 + 'Jan 25'!J33 + 'Feb 25'!J33 + 'Mar 25'!J33 + 'April 25'!J33+'May 25'!J33+'June 25'!J33+'July 25'!J33</f>
        <v>4384.17</v>
      </c>
      <c r="K109" s="3"/>
      <c r="L109" s="3"/>
      <c r="M109" s="3" t="s">
        <v>16</v>
      </c>
      <c r="N109" s="3"/>
      <c r="O109" s="3"/>
      <c r="P109" s="33">
        <f>'Aug 25'!J33+'Sep 25'!J33+'Oct 25'!J33+'Nov 25'!J33+'Dec 25'!J33+'Jan - 26'!J33+'Feb - 26'!J33+'Mar - 26'!J33</f>
        <v>1245.56</v>
      </c>
      <c r="Q109" s="3"/>
      <c r="R109" s="23"/>
      <c r="S109" s="3" t="s">
        <v>16</v>
      </c>
      <c r="T109" s="3"/>
      <c r="U109" s="3"/>
      <c r="V109" s="31">
        <f t="shared" si="3"/>
        <v>5988.08</v>
      </c>
      <c r="W109" s="3"/>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spans="1:51" ht="14" x14ac:dyDescent="0.2">
      <c r="A110" s="3" t="s">
        <v>161</v>
      </c>
      <c r="B110" s="3"/>
      <c r="C110" s="3"/>
      <c r="D110" s="31">
        <f>'Feb 24'!J34+'Mar 24'!J34+'Apr 24'!J34+'May 24'!J34+'Jun 24'!J34+'Jul 24'!J34</f>
        <v>0</v>
      </c>
      <c r="E110" s="3"/>
      <c r="F110" s="3"/>
      <c r="G110" s="3" t="s">
        <v>161</v>
      </c>
      <c r="H110" s="3"/>
      <c r="I110" s="3"/>
      <c r="J110" s="31">
        <f>'Aug 24'!J34 + 'Sep 24'!J34 + 'Oct 24'!J34 + 'Nov 24'!J34 + 'Dec 24'!J34 + 'Jan 25'!J34 + 'Feb 25'!J34 + 'Mar 25'!J34 + 'April 25'!J34+'May 25'!J34+'June 25'!J34+'July 25'!J34</f>
        <v>19.5</v>
      </c>
      <c r="K110" s="3"/>
      <c r="L110" s="3"/>
      <c r="M110" s="3" t="s">
        <v>161</v>
      </c>
      <c r="N110" s="3"/>
      <c r="O110" s="3"/>
      <c r="P110" s="33">
        <f>'Aug 25'!J34+'Sep 25'!J34+'Oct 25'!J34+'Nov 25'!J34+'Dec 25'!J34+'Jan - 26'!J34+'Feb - 26'!J34+'Mar - 26'!J34</f>
        <v>2068.5</v>
      </c>
      <c r="Q110" s="3"/>
      <c r="R110" s="23"/>
      <c r="S110" s="3" t="s">
        <v>161</v>
      </c>
      <c r="T110" s="3"/>
      <c r="U110" s="3"/>
      <c r="V110" s="31">
        <f t="shared" si="3"/>
        <v>2088</v>
      </c>
      <c r="W110" s="3"/>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spans="1:51" ht="14" x14ac:dyDescent="0.2">
      <c r="A111" s="3" t="s">
        <v>162</v>
      </c>
      <c r="B111" s="3"/>
      <c r="C111" s="3"/>
      <c r="D111" s="31">
        <f>'Feb 24'!J35+'Mar 24'!J35+'Apr 24'!J35+'May 24'!J35+'Jun 24'!J35+'Jul 24'!J35</f>
        <v>0</v>
      </c>
      <c r="E111" s="3"/>
      <c r="F111" s="3"/>
      <c r="G111" s="3" t="s">
        <v>162</v>
      </c>
      <c r="H111" s="3"/>
      <c r="I111" s="3"/>
      <c r="J111" s="31">
        <f>'Aug 24'!J35 + 'Sep 24'!J35 + 'Oct 24'!J35 + 'Nov 24'!J35 + 'Dec 24'!J35 + 'Jan 25'!J35 + 'Feb 25'!J35 + 'Mar 25'!J35 + 'April 25'!J35+'May 25'!J35+'June 25'!J35+'July 25'!J35</f>
        <v>23.75</v>
      </c>
      <c r="K111" s="3"/>
      <c r="L111" s="3"/>
      <c r="M111" s="3" t="s">
        <v>162</v>
      </c>
      <c r="N111" s="3"/>
      <c r="O111" s="3"/>
      <c r="P111" s="33">
        <f>'Aug 25'!J35+'Sep 25'!J35+'Oct 25'!J35+'Nov 25'!J35+'Dec 25'!J35+'Jan - 26'!J35+'Feb - 26'!J35+'Mar - 26'!J35</f>
        <v>184.23</v>
      </c>
      <c r="Q111" s="3"/>
      <c r="R111" s="23"/>
      <c r="S111" s="3" t="s">
        <v>162</v>
      </c>
      <c r="T111" s="3"/>
      <c r="U111" s="3"/>
      <c r="V111" s="31">
        <f t="shared" si="3"/>
        <v>207.98</v>
      </c>
      <c r="W111" s="3"/>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spans="1:51" ht="14" x14ac:dyDescent="0.2">
      <c r="A112" s="3" t="s">
        <v>434</v>
      </c>
      <c r="B112" s="3"/>
      <c r="C112" s="3"/>
      <c r="D112" s="31">
        <f>'Feb 24'!J36+'Mar 24'!J36+'Apr 24'!J36+'May 24'!J36+'Jun 24'!J36+'Jul 24'!J36</f>
        <v>0</v>
      </c>
      <c r="E112" s="3"/>
      <c r="F112" s="3"/>
      <c r="G112" s="3" t="s">
        <v>434</v>
      </c>
      <c r="H112" s="3"/>
      <c r="I112" s="3"/>
      <c r="J112" s="31">
        <f>'Aug 24'!J36 + 'Sep 24'!J36 + 'Oct 24'!J36 + 'Nov 24'!J36 + 'Dec 24'!J36 + 'Jan 25'!J36 + 'Feb 25'!J36 + 'Mar 25'!J36 + 'April 25'!J36+'May 25'!J36+'June 25'!J36+'July 25'!J36</f>
        <v>0</v>
      </c>
      <c r="K112" s="3"/>
      <c r="L112" s="3"/>
      <c r="M112" s="3" t="s">
        <v>434</v>
      </c>
      <c r="N112" s="3"/>
      <c r="O112" s="3"/>
      <c r="P112" s="33">
        <f>'Aug 25'!J36+'Sep 25'!J36+'Oct 25'!J36+'Nov 25'!J36+'Dec 25'!J36+'Jan - 26'!J36+'Feb - 26'!J36+'Mar - 26'!J36</f>
        <v>114.33</v>
      </c>
      <c r="Q112" s="3"/>
      <c r="R112" s="23"/>
      <c r="S112" s="3" t="s">
        <v>434</v>
      </c>
      <c r="T112" s="3"/>
      <c r="U112" s="3"/>
      <c r="V112" s="31">
        <f t="shared" si="3"/>
        <v>114.33</v>
      </c>
      <c r="W112" s="3"/>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spans="1:51" ht="14" x14ac:dyDescent="0.2">
      <c r="A113" s="3" t="s">
        <v>172</v>
      </c>
      <c r="B113" s="3"/>
      <c r="C113" s="3"/>
      <c r="D113" s="31">
        <f>'Feb 24'!J37+'Mar 24'!J37+'Apr 24'!J37+'May 24'!J37+'Jun 24'!J37+'Jul 24'!J37</f>
        <v>0</v>
      </c>
      <c r="E113" s="3"/>
      <c r="F113" s="3"/>
      <c r="G113" s="3" t="s">
        <v>172</v>
      </c>
      <c r="H113" s="3"/>
      <c r="I113" s="3"/>
      <c r="J113" s="31">
        <f>'Aug 24'!J37 + 'Sep 24'!J37 + 'Oct 24'!J37 + 'Nov 24'!J37 + 'Dec 24'!J37 + 'Jan 25'!J37 + 'Feb 25'!J37 + 'Mar 25'!J37 + 'April 25'!J37+'May 25'!J37+'June 25'!J37+'July 25'!J37</f>
        <v>119.18</v>
      </c>
      <c r="K113" s="3"/>
      <c r="L113" s="3"/>
      <c r="M113" s="3" t="s">
        <v>172</v>
      </c>
      <c r="N113" s="3"/>
      <c r="O113" s="3"/>
      <c r="P113" s="33">
        <f>'Aug 25'!J37+'Sep 25'!J37+'Oct 25'!J37+'Nov 25'!J37+'Dec 25'!J37+'Jan - 26'!J37+'Feb - 26'!J37+'Mar - 26'!J37</f>
        <v>18.75</v>
      </c>
      <c r="Q113" s="3"/>
      <c r="R113" s="23"/>
      <c r="S113" s="3" t="s">
        <v>172</v>
      </c>
      <c r="T113" s="3"/>
      <c r="U113" s="3"/>
      <c r="V113" s="31">
        <f t="shared" si="3"/>
        <v>137.93</v>
      </c>
      <c r="W113" s="3"/>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spans="1:51" ht="14" x14ac:dyDescent="0.2">
      <c r="A114" s="3" t="s">
        <v>124</v>
      </c>
      <c r="B114" s="3" t="s">
        <v>139</v>
      </c>
      <c r="C114" s="3"/>
      <c r="D114" s="31">
        <f>'Feb 24'!J38+'Mar 24'!J38+'Apr 24'!J38+'May 24'!J38+'Jun 24'!J38+'Jul 24'!J38</f>
        <v>3.5</v>
      </c>
      <c r="E114" s="3"/>
      <c r="F114" s="3"/>
      <c r="G114" s="3" t="s">
        <v>124</v>
      </c>
      <c r="H114" s="3" t="s">
        <v>139</v>
      </c>
      <c r="I114" s="3"/>
      <c r="J114" s="31">
        <f>'Aug 24'!J38 + 'Sep 24'!J38 + 'Oct 24'!J38 + 'Nov 24'!J38 + 'Dec 24'!J38 + 'Jan 25'!J38 + 'Feb 25'!J38 + 'Mar 25'!J38 + 'April 25'!J38+'May 25'!J38+'June 25'!J38+'July 25'!J38</f>
        <v>0</v>
      </c>
      <c r="K114" s="3"/>
      <c r="L114" s="3"/>
      <c r="M114" s="3" t="s">
        <v>124</v>
      </c>
      <c r="N114" s="3" t="s">
        <v>139</v>
      </c>
      <c r="O114" s="3"/>
      <c r="P114" s="33">
        <f>'Aug 25'!J38+'Sep 25'!J38+'Oct 25'!J38+'Nov 25'!J38+'Dec 25'!J38+'Jan - 26'!J38+'Feb - 26'!J38+'Mar - 26'!J38</f>
        <v>0</v>
      </c>
      <c r="Q114" s="3"/>
      <c r="R114" s="23"/>
      <c r="S114" s="3" t="s">
        <v>124</v>
      </c>
      <c r="T114" s="3" t="s">
        <v>139</v>
      </c>
      <c r="U114" s="3"/>
      <c r="V114" s="31">
        <f t="shared" si="3"/>
        <v>3.5</v>
      </c>
      <c r="W114" s="3"/>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spans="1:51" ht="14" x14ac:dyDescent="0.2">
      <c r="A115" s="3" t="s">
        <v>107</v>
      </c>
      <c r="B115" s="3" t="s">
        <v>140</v>
      </c>
      <c r="C115" s="3"/>
      <c r="D115" s="31">
        <f>'Feb 24'!J39+'Mar 24'!J39+'Apr 24'!J39+'May 24'!J39+'Jun 24'!J39+'Jul 24'!J39</f>
        <v>459.17</v>
      </c>
      <c r="E115" s="3"/>
      <c r="F115" s="3"/>
      <c r="G115" s="3" t="s">
        <v>107</v>
      </c>
      <c r="H115" s="3" t="s">
        <v>140</v>
      </c>
      <c r="I115" s="3"/>
      <c r="J115" s="31">
        <f>'Aug 24'!J39 + 'Sep 24'!J39 + 'Oct 24'!J39 + 'Nov 24'!J39 + 'Dec 24'!J39 + 'Jan 25'!J39 + 'Feb 25'!J39 + 'Mar 25'!J39 + 'April 25'!J39+'May 25'!J39+'June 25'!J39+'July 25'!J39</f>
        <v>2160.3599999999997</v>
      </c>
      <c r="K115" s="3"/>
      <c r="L115" s="3"/>
      <c r="M115" s="3" t="s">
        <v>107</v>
      </c>
      <c r="N115" s="3" t="s">
        <v>140</v>
      </c>
      <c r="O115" s="3"/>
      <c r="P115" s="33">
        <f>'Aug 25'!J39+'Sep 25'!J39+'Oct 25'!J39+'Nov 25'!J39+'Dec 25'!J39+'Jan - 26'!J39+'Feb - 26'!J39+'Mar - 26'!J39</f>
        <v>1732.5</v>
      </c>
      <c r="Q115" s="3"/>
      <c r="R115" s="23"/>
      <c r="S115" s="3" t="s">
        <v>107</v>
      </c>
      <c r="T115" s="3" t="s">
        <v>140</v>
      </c>
      <c r="U115" s="3"/>
      <c r="V115" s="31">
        <f t="shared" si="3"/>
        <v>4352.03</v>
      </c>
      <c r="W115" s="3"/>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spans="1:51" ht="14" x14ac:dyDescent="0.2">
      <c r="A116" s="3" t="s">
        <v>165</v>
      </c>
      <c r="B116" s="3"/>
      <c r="C116" s="3"/>
      <c r="D116" s="31">
        <f>'Feb 24'!J40+'Mar 24'!J40+'Apr 24'!J40+'May 24'!J40+'Jun 24'!J40+'Jul 24'!J40</f>
        <v>0</v>
      </c>
      <c r="E116" s="3"/>
      <c r="F116" s="3"/>
      <c r="G116" s="3" t="s">
        <v>165</v>
      </c>
      <c r="H116" s="3"/>
      <c r="I116" s="3"/>
      <c r="J116" s="31">
        <f>'Aug 24'!J40 + 'Sep 24'!J40 + 'Oct 24'!J40 + 'Nov 24'!J40 + 'Dec 24'!J40 + 'Jan 25'!J40 + 'Feb 25'!J40 + 'Mar 25'!J40 + 'April 25'!J40+'May 25'!J40+'June 25'!J40+'July 25'!J40</f>
        <v>279.92</v>
      </c>
      <c r="K116" s="3"/>
      <c r="L116" s="3"/>
      <c r="M116" s="3" t="s">
        <v>165</v>
      </c>
      <c r="N116" s="3"/>
      <c r="O116" s="3"/>
      <c r="P116" s="33">
        <f>'Aug 25'!J40+'Sep 25'!J40+'Oct 25'!J40+'Nov 25'!J40+'Dec 25'!J40+'Jan - 26'!J40+'Feb - 26'!J40+'Mar - 26'!J40</f>
        <v>68</v>
      </c>
      <c r="Q116" s="3"/>
      <c r="R116" s="23"/>
      <c r="S116" s="3" t="s">
        <v>165</v>
      </c>
      <c r="T116" s="3"/>
      <c r="U116" s="3"/>
      <c r="V116" s="31">
        <f t="shared" si="3"/>
        <v>347.92</v>
      </c>
      <c r="W116" s="3"/>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spans="1:51" ht="14" x14ac:dyDescent="0.2">
      <c r="A117" s="3" t="s">
        <v>418</v>
      </c>
      <c r="B117" s="3"/>
      <c r="C117" s="3"/>
      <c r="D117" s="31">
        <f>'Feb 24'!J41+'Mar 24'!J41+'Apr 24'!J41+'May 24'!J41+'Jun 24'!J41+'Jul 24'!J41</f>
        <v>0</v>
      </c>
      <c r="E117" s="3"/>
      <c r="F117" s="3"/>
      <c r="G117" s="3" t="s">
        <v>418</v>
      </c>
      <c r="H117" s="3"/>
      <c r="I117" s="3"/>
      <c r="J117" s="31">
        <f>'Aug 24'!J41 + 'Sep 24'!J41 + 'Oct 24'!J41 + 'Nov 24'!J41 + 'Dec 24'!J41 + 'Jan 25'!J41 + 'Feb 25'!J41 + 'Mar 25'!J41 + 'April 25'!J41+'May 25'!J41+'June 25'!J41+'July 25'!J41</f>
        <v>0</v>
      </c>
      <c r="K117" s="3"/>
      <c r="L117" s="3"/>
      <c r="M117" s="3" t="s">
        <v>418</v>
      </c>
      <c r="N117" s="3"/>
      <c r="O117" s="3"/>
      <c r="P117" s="33">
        <f>'Aug 25'!J41+'Sep 25'!J41+'Oct 25'!J41+'Nov 25'!J41+'Dec 25'!J41+'Jan - 26'!J41+'Feb - 26'!J41+'Mar - 26'!J41</f>
        <v>444.42</v>
      </c>
      <c r="Q117" s="3"/>
      <c r="R117" s="23"/>
      <c r="S117" s="3" t="s">
        <v>418</v>
      </c>
      <c r="T117" s="3"/>
      <c r="U117" s="3"/>
      <c r="V117" s="31">
        <f t="shared" si="3"/>
        <v>444.42</v>
      </c>
      <c r="W117" s="3"/>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spans="1:51" ht="14" x14ac:dyDescent="0.2">
      <c r="A118" s="3" t="s">
        <v>371</v>
      </c>
      <c r="B118" s="3" t="s">
        <v>141</v>
      </c>
      <c r="C118" s="3"/>
      <c r="D118" s="31">
        <f>'Feb 24'!J42+'Mar 24'!J42+'Apr 24'!J42+'May 24'!J42+'Jun 24'!J42+'Jul 24'!J42</f>
        <v>52.83</v>
      </c>
      <c r="E118" s="3"/>
      <c r="F118" s="3"/>
      <c r="G118" s="3" t="s">
        <v>371</v>
      </c>
      <c r="H118" s="3" t="s">
        <v>141</v>
      </c>
      <c r="I118" s="3"/>
      <c r="J118" s="31">
        <f>'Aug 24'!J42 + 'Sep 24'!J42 + 'Oct 24'!J42 + 'Nov 24'!J42 + 'Dec 24'!J42 + 'Jan 25'!J42 + 'Feb 25'!J42 + 'Mar 25'!J42 + 'April 25'!J42+'May 25'!J42+'June 25'!J42+'July 25'!J42</f>
        <v>327.84</v>
      </c>
      <c r="K118" s="3"/>
      <c r="L118" s="3"/>
      <c r="M118" s="3" t="s">
        <v>371</v>
      </c>
      <c r="N118" s="3" t="s">
        <v>141</v>
      </c>
      <c r="O118" s="3"/>
      <c r="P118" s="33">
        <f>'Aug 25'!J42+'Sep 25'!J42+'Oct 25'!J42+'Nov 25'!J42+'Dec 25'!J42+'Jan - 26'!J42+'Feb - 26'!J42+'Mar - 26'!J42</f>
        <v>739.04</v>
      </c>
      <c r="Q118" s="3"/>
      <c r="R118" s="23"/>
      <c r="S118" s="3" t="s">
        <v>371</v>
      </c>
      <c r="T118" s="3" t="s">
        <v>141</v>
      </c>
      <c r="U118" s="3"/>
      <c r="V118" s="31">
        <f t="shared" si="3"/>
        <v>1119.71</v>
      </c>
      <c r="W118" s="3"/>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spans="1:51" ht="14" x14ac:dyDescent="0.2">
      <c r="A119" s="3" t="s">
        <v>17</v>
      </c>
      <c r="B119" s="3" t="s">
        <v>142</v>
      </c>
      <c r="C119" s="1"/>
      <c r="D119" s="31">
        <f>'Feb 24'!J43+'Mar 24'!J43+'Apr 24'!J43+'May 24'!J43+'Jun 24'!J43+'Jul 24'!J43</f>
        <v>45</v>
      </c>
      <c r="E119" s="1"/>
      <c r="F119" s="1"/>
      <c r="G119" s="3" t="s">
        <v>17</v>
      </c>
      <c r="H119" s="3" t="s">
        <v>142</v>
      </c>
      <c r="I119" s="1"/>
      <c r="J119" s="31">
        <f>'Aug 24'!J43 + 'Sep 24'!J43 + 'Oct 24'!J43 + 'Nov 24'!J43 + 'Dec 24'!J43 + 'Jan 25'!J43 + 'Feb 25'!J43 + 'Mar 25'!J43 + 'April 25'!J43+'May 25'!J43+'June 25'!J43+'July 25'!J43</f>
        <v>1.5</v>
      </c>
      <c r="K119" s="1"/>
      <c r="L119" s="1"/>
      <c r="M119" s="3" t="s">
        <v>17</v>
      </c>
      <c r="N119" s="3" t="s">
        <v>142</v>
      </c>
      <c r="O119" s="1"/>
      <c r="P119" s="33">
        <f>'Aug 25'!J43+'Sep 25'!J43+'Oct 25'!J43+'Nov 25'!J43+'Dec 25'!J43+'Jan - 26'!J43+'Feb - 26'!J43+'Mar - 26'!J43</f>
        <v>0</v>
      </c>
      <c r="Q119" s="1"/>
      <c r="R119" s="23"/>
      <c r="S119" s="3" t="s">
        <v>17</v>
      </c>
      <c r="T119" s="3" t="s">
        <v>142</v>
      </c>
      <c r="U119" s="1"/>
      <c r="V119" s="31">
        <f t="shared" si="3"/>
        <v>46.5</v>
      </c>
      <c r="W119" s="1"/>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spans="1:51" ht="14" x14ac:dyDescent="0.2">
      <c r="A120" s="3" t="s">
        <v>18</v>
      </c>
      <c r="B120" s="3" t="s">
        <v>143</v>
      </c>
      <c r="C120" s="1"/>
      <c r="D120" s="31">
        <f>'Feb 24'!J44+'Mar 24'!J44+'Apr 24'!J44+'May 24'!J44+'Jun 24'!J44+'Jul 24'!J44</f>
        <v>3307.59</v>
      </c>
      <c r="E120" s="1"/>
      <c r="F120" s="1"/>
      <c r="G120" s="3" t="s">
        <v>18</v>
      </c>
      <c r="H120" s="3" t="s">
        <v>143</v>
      </c>
      <c r="I120" s="1"/>
      <c r="J120" s="31">
        <f>'Aug 24'!J44 + 'Sep 24'!J44 + 'Oct 24'!J44 + 'Nov 24'!J44 + 'Dec 24'!J44 + 'Jan 25'!J44 + 'Feb 25'!J44 + 'Mar 25'!J44 + 'April 25'!J44+'May 25'!J44+'June 25'!J44+'July 25'!J44</f>
        <v>8577.7699999999986</v>
      </c>
      <c r="K120" s="1"/>
      <c r="L120" s="1"/>
      <c r="M120" s="3" t="s">
        <v>18</v>
      </c>
      <c r="N120" s="3" t="s">
        <v>143</v>
      </c>
      <c r="O120" s="1"/>
      <c r="P120" s="33">
        <f>'Aug 25'!J44+'Sep 25'!J44+'Oct 25'!J44+'Nov 25'!J44+'Dec 25'!J44+'Jan - 26'!J44+'Feb - 26'!J44+'Mar - 26'!J44</f>
        <v>5643.2300000000005</v>
      </c>
      <c r="Q120" s="1"/>
      <c r="R120" s="23"/>
      <c r="S120" s="3" t="s">
        <v>18</v>
      </c>
      <c r="T120" s="3" t="s">
        <v>143</v>
      </c>
      <c r="U120" s="1"/>
      <c r="V120" s="31">
        <f t="shared" si="3"/>
        <v>17528.59</v>
      </c>
      <c r="W120" s="1"/>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spans="1:51" ht="14" x14ac:dyDescent="0.2">
      <c r="A121" s="3" t="s">
        <v>19</v>
      </c>
      <c r="B121" s="3" t="s">
        <v>144</v>
      </c>
      <c r="C121" s="1"/>
      <c r="D121" s="31">
        <f>'Feb 24'!J45+'Mar 24'!J45+'Apr 24'!J45+'May 24'!J45+'Jun 24'!J45+'Jul 24'!J45</f>
        <v>3187.1799999999994</v>
      </c>
      <c r="E121" s="1"/>
      <c r="F121" s="1"/>
      <c r="G121" s="3" t="s">
        <v>19</v>
      </c>
      <c r="H121" s="3" t="s">
        <v>144</v>
      </c>
      <c r="I121" s="1"/>
      <c r="J121" s="31">
        <f>'Aug 24'!J45 + 'Sep 24'!J45 + 'Oct 24'!J45 + 'Nov 24'!J45 + 'Dec 24'!J45 + 'Jan 25'!J45 + 'Feb 25'!J45 + 'Mar 25'!J45 + 'April 25'!J45+'May 25'!J45+'June 25'!J45+'July 25'!J45</f>
        <v>5271.2599999999993</v>
      </c>
      <c r="K121" s="1"/>
      <c r="L121" s="1"/>
      <c r="M121" s="3" t="s">
        <v>19</v>
      </c>
      <c r="N121" s="3" t="s">
        <v>144</v>
      </c>
      <c r="O121" s="1"/>
      <c r="P121" s="33">
        <f>'Aug 25'!J45+'Sep 25'!J45+'Oct 25'!J45+'Nov 25'!J45+'Dec 25'!J45+'Jan - 26'!J45+'Feb - 26'!J45+'Mar - 26'!J45</f>
        <v>3564.06</v>
      </c>
      <c r="Q121" s="1"/>
      <c r="R121" s="23"/>
      <c r="S121" s="3" t="s">
        <v>19</v>
      </c>
      <c r="T121" s="3" t="s">
        <v>144</v>
      </c>
      <c r="U121" s="1"/>
      <c r="V121" s="31">
        <f t="shared" si="3"/>
        <v>12022.499999999998</v>
      </c>
      <c r="W121" s="1"/>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spans="1:51" ht="14" x14ac:dyDescent="0.2">
      <c r="A122" s="3" t="s">
        <v>422</v>
      </c>
      <c r="B122" s="3"/>
      <c r="C122" s="1"/>
      <c r="D122" s="31">
        <f>'Feb 24'!J46+'Mar 24'!J46+'Apr 24'!J46+'May 24'!J46+'Jun 24'!J46+'Jul 24'!J46</f>
        <v>0</v>
      </c>
      <c r="E122" s="1"/>
      <c r="F122" s="1"/>
      <c r="G122" s="3" t="s">
        <v>422</v>
      </c>
      <c r="H122" s="3"/>
      <c r="I122" s="1"/>
      <c r="J122" s="31">
        <f>'Aug 24'!J46 + 'Sep 24'!J46 + 'Oct 24'!J46 + 'Nov 24'!J46 + 'Dec 24'!J46 + 'Jan 25'!J46 + 'Feb 25'!J46 + 'Mar 25'!J46 + 'April 25'!J46+'May 25'!J46+'June 25'!J46+'July 25'!J46</f>
        <v>0</v>
      </c>
      <c r="K122" s="1"/>
      <c r="L122" s="1"/>
      <c r="M122" s="3" t="s">
        <v>422</v>
      </c>
      <c r="N122" s="3"/>
      <c r="O122" s="1"/>
      <c r="P122" s="33">
        <f>'Aug 25'!J46+'Sep 25'!J46+'Oct 25'!J46+'Nov 25'!J46+'Dec 25'!J46+'Jan - 26'!J46+'Feb - 26'!J46+'Mar - 26'!J46</f>
        <v>0</v>
      </c>
      <c r="Q122" s="1"/>
      <c r="R122" s="23"/>
      <c r="S122" s="3" t="s">
        <v>422</v>
      </c>
      <c r="T122" s="3"/>
      <c r="U122" s="1"/>
      <c r="V122" s="31">
        <f t="shared" si="3"/>
        <v>0</v>
      </c>
      <c r="W122" s="1"/>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spans="1:51" ht="14" x14ac:dyDescent="0.2">
      <c r="A123" s="3" t="s">
        <v>187</v>
      </c>
      <c r="B123" s="3"/>
      <c r="C123" s="1"/>
      <c r="D123" s="31">
        <f>'Feb 24'!J47+'Mar 24'!J47+'Apr 24'!J47+'May 24'!J47+'Jun 24'!J47+'Jul 24'!J47</f>
        <v>0</v>
      </c>
      <c r="E123" s="1"/>
      <c r="F123" s="1"/>
      <c r="G123" s="3" t="s">
        <v>187</v>
      </c>
      <c r="H123" s="3"/>
      <c r="I123" s="1"/>
      <c r="J123" s="31">
        <f>'Aug 24'!J47 + 'Sep 24'!J47 + 'Oct 24'!J47 + 'Nov 24'!J47 + 'Dec 24'!J47 + 'Jan 25'!J47 + 'Feb 25'!J47 + 'Mar 25'!J47 + 'April 25'!J47+'May 25'!J47+'June 25'!J47+'July 25'!J47</f>
        <v>35.6</v>
      </c>
      <c r="K123" s="1"/>
      <c r="L123" s="1"/>
      <c r="M123" s="3" t="s">
        <v>187</v>
      </c>
      <c r="N123" s="3"/>
      <c r="O123" s="1"/>
      <c r="P123" s="33">
        <f>'Aug 25'!J47+'Sep 25'!J47+'Oct 25'!J47+'Nov 25'!J47+'Dec 25'!J47+'Jan - 26'!J47+'Feb - 26'!J47+'Mar - 26'!J47</f>
        <v>88.16</v>
      </c>
      <c r="Q123" s="1"/>
      <c r="R123" s="23"/>
      <c r="S123" s="3" t="s">
        <v>187</v>
      </c>
      <c r="T123" s="3"/>
      <c r="U123" s="1"/>
      <c r="V123" s="31">
        <f t="shared" si="3"/>
        <v>123.75999999999999</v>
      </c>
      <c r="W123" s="1"/>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spans="1:51" ht="14" x14ac:dyDescent="0.2">
      <c r="A124" s="3" t="s">
        <v>288</v>
      </c>
      <c r="B124" s="3"/>
      <c r="C124" s="1"/>
      <c r="D124" s="31">
        <f>'Feb 24'!J48+'Mar 24'!J48+'Apr 24'!J48+'May 24'!J48+'Jun 24'!J48+'Jul 24'!J48</f>
        <v>0</v>
      </c>
      <c r="E124" s="1"/>
      <c r="F124" s="1"/>
      <c r="G124" s="3" t="s">
        <v>288</v>
      </c>
      <c r="H124" s="3"/>
      <c r="I124" s="1"/>
      <c r="J124" s="31">
        <f>'Aug 24'!J48 + 'Sep 24'!J48 + 'Oct 24'!J48 + 'Nov 24'!J48 + 'Dec 24'!J48 + 'Jan 25'!J48 + 'Feb 25'!J48 + 'Mar 25'!J48 + 'April 25'!J48+'May 25'!J48+'June 25'!J48+'July 25'!J48</f>
        <v>0.25</v>
      </c>
      <c r="K124" s="1"/>
      <c r="L124" s="1"/>
      <c r="M124" s="3" t="s">
        <v>288</v>
      </c>
      <c r="N124" s="3"/>
      <c r="O124" s="1"/>
      <c r="P124" s="33">
        <f>'Aug 25'!J48+'Sep 25'!J48+'Oct 25'!J48+'Nov 25'!J48+'Dec 25'!J48+'Jan - 26'!J48+'Feb - 26'!J48+'Mar - 26'!J48</f>
        <v>147.25</v>
      </c>
      <c r="Q124" s="1"/>
      <c r="R124" s="23"/>
      <c r="S124" s="3" t="s">
        <v>288</v>
      </c>
      <c r="T124" s="3"/>
      <c r="U124" s="1"/>
      <c r="V124" s="31">
        <f t="shared" si="3"/>
        <v>147.5</v>
      </c>
      <c r="W124" s="1"/>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spans="1:51" ht="14" x14ac:dyDescent="0.2">
      <c r="A125" s="3" t="s">
        <v>184</v>
      </c>
      <c r="B125" s="3"/>
      <c r="C125" s="1"/>
      <c r="D125" s="31">
        <f>'Feb 24'!J49+'Mar 24'!J49+'Apr 24'!J49+'May 24'!J49+'Jun 24'!J49+'Jul 24'!J49</f>
        <v>0</v>
      </c>
      <c r="E125" s="1"/>
      <c r="F125" s="1"/>
      <c r="G125" s="3" t="s">
        <v>184</v>
      </c>
      <c r="H125" s="3"/>
      <c r="I125" s="1"/>
      <c r="J125" s="31">
        <f>'Aug 24'!J49 + 'Sep 24'!J49 + 'Oct 24'!J49 + 'Nov 24'!J49 + 'Dec 24'!J49 + 'Jan 25'!J49 + 'Feb 25'!J49 + 'Mar 25'!J49 + 'April 25'!J49+'May 25'!J49+'June 25'!J49+'July 25'!J49</f>
        <v>89.67</v>
      </c>
      <c r="K125" s="1"/>
      <c r="L125" s="1"/>
      <c r="M125" s="3" t="s">
        <v>184</v>
      </c>
      <c r="N125" s="3"/>
      <c r="O125" s="1"/>
      <c r="P125" s="33">
        <f>'Aug 25'!J49+'Sep 25'!J49+'Oct 25'!J49+'Nov 25'!J49+'Dec 25'!J49+'Jan - 26'!J49+'Feb - 26'!J49+'Mar - 26'!J49</f>
        <v>0</v>
      </c>
      <c r="Q125" s="1"/>
      <c r="R125" s="23"/>
      <c r="S125" s="3" t="s">
        <v>184</v>
      </c>
      <c r="T125" s="3"/>
      <c r="U125" s="1"/>
      <c r="V125" s="31">
        <f t="shared" si="3"/>
        <v>89.67</v>
      </c>
      <c r="W125" s="1"/>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spans="1:51" ht="14" x14ac:dyDescent="0.2">
      <c r="A126" s="3" t="s">
        <v>157</v>
      </c>
      <c r="B126" s="3" t="s">
        <v>159</v>
      </c>
      <c r="C126" s="1"/>
      <c r="D126" s="31">
        <f>'Feb 24'!J50+'Mar 24'!J50+'Apr 24'!J50+'May 24'!J50+'Jun 24'!J50+'Jul 24'!J50</f>
        <v>0</v>
      </c>
      <c r="E126" s="1"/>
      <c r="F126" s="1"/>
      <c r="G126" s="3" t="s">
        <v>157</v>
      </c>
      <c r="H126" s="3" t="s">
        <v>159</v>
      </c>
      <c r="I126" s="1"/>
      <c r="J126" s="31">
        <f>'Aug 24'!J50 + 'Sep 24'!J50 + 'Oct 24'!J50 + 'Nov 24'!J50 + 'Dec 24'!J50 + 'Jan 25'!J50 + 'Feb 25'!J50 + 'Mar 25'!J50 + 'April 25'!J50+'May 25'!J50+'June 25'!J50+'July 25'!J50</f>
        <v>35.92</v>
      </c>
      <c r="K126" s="1"/>
      <c r="L126" s="1"/>
      <c r="M126" s="3" t="s">
        <v>157</v>
      </c>
      <c r="N126" s="3" t="s">
        <v>159</v>
      </c>
      <c r="O126" s="1"/>
      <c r="P126" s="33">
        <f>'Aug 25'!J50+'Sep 25'!J50+'Oct 25'!J50+'Nov 25'!J50+'Dec 25'!J50+'Jan - 26'!J50+'Feb - 26'!J50+'Mar - 26'!J50</f>
        <v>0</v>
      </c>
      <c r="Q126" s="1"/>
      <c r="R126" s="23"/>
      <c r="S126" s="3" t="s">
        <v>157</v>
      </c>
      <c r="T126" s="3" t="s">
        <v>159</v>
      </c>
      <c r="U126" s="1"/>
      <c r="V126" s="31">
        <f t="shared" si="3"/>
        <v>35.92</v>
      </c>
      <c r="W126" s="1"/>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spans="1:51" ht="14" x14ac:dyDescent="0.2">
      <c r="A127" s="3" t="s">
        <v>158</v>
      </c>
      <c r="B127" s="3" t="s">
        <v>160</v>
      </c>
      <c r="C127" s="1"/>
      <c r="D127" s="31">
        <f>'Feb 24'!J51+'Mar 24'!J51+'Apr 24'!J51+'May 24'!J51+'Jun 24'!J51+'Jul 24'!J51</f>
        <v>0</v>
      </c>
      <c r="E127" s="1"/>
      <c r="F127" s="1"/>
      <c r="G127" s="3" t="s">
        <v>158</v>
      </c>
      <c r="H127" s="3" t="s">
        <v>160</v>
      </c>
      <c r="I127" s="1"/>
      <c r="J127" s="31">
        <f>'Aug 24'!J51 + 'Sep 24'!J51 + 'Oct 24'!J51 + 'Nov 24'!J51 + 'Dec 24'!J51 + 'Jan 25'!J51 + 'Feb 25'!J51 + 'Mar 25'!J51 + 'April 25'!J51+'May 25'!J51+'June 25'!J51+'July 25'!J51</f>
        <v>116.34</v>
      </c>
      <c r="K127" s="1"/>
      <c r="L127" s="1"/>
      <c r="M127" s="3" t="s">
        <v>158</v>
      </c>
      <c r="N127" s="3" t="s">
        <v>160</v>
      </c>
      <c r="O127" s="1"/>
      <c r="P127" s="33">
        <f>'Aug 25'!J51+'Sep 25'!J51+'Oct 25'!J51+'Nov 25'!J51+'Dec 25'!J51+'Jan - 26'!J51+'Feb - 26'!J51+'Mar - 26'!J51</f>
        <v>0</v>
      </c>
      <c r="Q127" s="1"/>
      <c r="R127" s="23"/>
      <c r="S127" s="3" t="s">
        <v>158</v>
      </c>
      <c r="T127" s="3" t="s">
        <v>160</v>
      </c>
      <c r="U127" s="1"/>
      <c r="V127" s="31">
        <f t="shared" si="3"/>
        <v>116.34</v>
      </c>
      <c r="W127" s="1"/>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spans="1:51" ht="14" x14ac:dyDescent="0.2">
      <c r="A128" s="3" t="s">
        <v>115</v>
      </c>
      <c r="B128" s="3" t="s">
        <v>145</v>
      </c>
      <c r="C128" s="1"/>
      <c r="D128" s="31">
        <f>'Feb 24'!J52+'Mar 24'!J52+'Apr 24'!J52+'May 24'!J52+'Jun 24'!J52+'Jul 24'!J52</f>
        <v>27.25</v>
      </c>
      <c r="E128" s="1"/>
      <c r="F128" s="1"/>
      <c r="G128" s="3" t="s">
        <v>115</v>
      </c>
      <c r="H128" s="3" t="s">
        <v>145</v>
      </c>
      <c r="I128" s="1"/>
      <c r="J128" s="31">
        <f>'Aug 24'!J52 + 'Sep 24'!J52 + 'Oct 24'!J52 + 'Nov 24'!J52 + 'Dec 24'!J52 + 'Jan 25'!J52 + 'Feb 25'!J52 + 'Mar 25'!J52 + 'April 25'!J52+'May 25'!J52+'June 25'!J52+'July 25'!J52</f>
        <v>134.67000000000002</v>
      </c>
      <c r="K128" s="1"/>
      <c r="L128" s="1"/>
      <c r="M128" s="3" t="s">
        <v>115</v>
      </c>
      <c r="N128" s="3" t="s">
        <v>145</v>
      </c>
      <c r="O128" s="1"/>
      <c r="P128" s="33">
        <f>'Aug 25'!J52+'Sep 25'!J52+'Oct 25'!J52+'Nov 25'!J52+'Dec 25'!J52+'Jan - 26'!J52+'Feb - 26'!J52+'Mar - 26'!J52</f>
        <v>0</v>
      </c>
      <c r="Q128" s="1"/>
      <c r="R128" s="23"/>
      <c r="S128" s="3" t="s">
        <v>115</v>
      </c>
      <c r="T128" s="3" t="s">
        <v>145</v>
      </c>
      <c r="U128" s="1"/>
      <c r="V128" s="31">
        <f t="shared" si="3"/>
        <v>161.92000000000002</v>
      </c>
      <c r="W128" s="1"/>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spans="1:51" ht="14" x14ac:dyDescent="0.2">
      <c r="A129" s="3" t="s">
        <v>128</v>
      </c>
      <c r="B129" s="3" t="s">
        <v>146</v>
      </c>
      <c r="C129" s="1"/>
      <c r="D129" s="31">
        <f>'Feb 24'!J53+'Mar 24'!J53+'Apr 24'!J53+'May 24'!J53+'Jun 24'!J53+'Jul 24'!J53</f>
        <v>682.12</v>
      </c>
      <c r="E129" s="1"/>
      <c r="F129" s="1"/>
      <c r="G129" s="3" t="s">
        <v>128</v>
      </c>
      <c r="H129" s="3" t="s">
        <v>146</v>
      </c>
      <c r="I129" s="1"/>
      <c r="J129" s="31">
        <f>'Aug 24'!J53 + 'Sep 24'!J53 + 'Oct 24'!J53 + 'Nov 24'!J53 + 'Dec 24'!J53 + 'Jan 25'!J53 + 'Feb 25'!J53 + 'Mar 25'!J53 + 'April 25'!J53+'May 25'!J53+'June 25'!J53+'July 25'!J53</f>
        <v>1825.52</v>
      </c>
      <c r="K129" s="1"/>
      <c r="L129" s="1"/>
      <c r="M129" s="3" t="s">
        <v>128</v>
      </c>
      <c r="N129" s="3" t="s">
        <v>146</v>
      </c>
      <c r="O129" s="1"/>
      <c r="P129" s="33">
        <f>'Aug 25'!J53+'Sep 25'!J53+'Oct 25'!J53+'Nov 25'!J53+'Dec 25'!J53+'Jan - 26'!J53+'Feb - 26'!J53+'Mar - 26'!J53</f>
        <v>1946.55</v>
      </c>
      <c r="Q129" s="1"/>
      <c r="R129" s="23"/>
      <c r="S129" s="3" t="s">
        <v>128</v>
      </c>
      <c r="T129" s="3" t="s">
        <v>146</v>
      </c>
      <c r="U129" s="1"/>
      <c r="V129" s="31">
        <f t="shared" si="3"/>
        <v>4454.1899999999996</v>
      </c>
      <c r="W129" s="1"/>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spans="1:51" ht="15" x14ac:dyDescent="0.2">
      <c r="A130" s="3" t="s">
        <v>20</v>
      </c>
      <c r="B130" s="36" t="s">
        <v>147</v>
      </c>
      <c r="C130" s="1"/>
      <c r="D130" s="31">
        <f>'Feb 24'!J54+'Mar 24'!J54+'Apr 24'!J54+'May 24'!J54+'Jun 24'!J54+'Jul 24'!J54</f>
        <v>0</v>
      </c>
      <c r="E130" s="1"/>
      <c r="F130" s="1"/>
      <c r="G130" s="3" t="s">
        <v>20</v>
      </c>
      <c r="H130" s="36" t="s">
        <v>147</v>
      </c>
      <c r="I130" s="1"/>
      <c r="J130" s="31">
        <f>'Aug 24'!J54 + 'Sep 24'!J54 + 'Oct 24'!J54 + 'Nov 24'!J54 + 'Dec 24'!J54 + 'Jan 25'!J54 + 'Feb 25'!J54 + 'Mar 25'!J54 + 'April 25'!J54+'May 25'!J54+'June 25'!J54+'July 25'!J54</f>
        <v>0</v>
      </c>
      <c r="K130" s="1"/>
      <c r="L130" s="1"/>
      <c r="M130" s="3" t="s">
        <v>20</v>
      </c>
      <c r="N130" s="36" t="s">
        <v>147</v>
      </c>
      <c r="O130" s="1"/>
      <c r="P130" s="33">
        <f>'Aug 25'!J54+'Sep 25'!J54+'Oct 25'!J54+'Nov 25'!J54+'Dec 25'!J54+'Jan - 26'!J54+'Feb - 26'!J54+'Mar - 26'!J54</f>
        <v>0</v>
      </c>
      <c r="Q130" s="1"/>
      <c r="R130" s="23"/>
      <c r="S130" s="3" t="s">
        <v>20</v>
      </c>
      <c r="T130" s="36" t="s">
        <v>147</v>
      </c>
      <c r="U130" s="1"/>
      <c r="V130" s="31">
        <f t="shared" si="3"/>
        <v>0</v>
      </c>
      <c r="W130" s="1"/>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spans="1:51" ht="14" x14ac:dyDescent="0.2">
      <c r="A131" s="3" t="s">
        <v>420</v>
      </c>
      <c r="B131" s="36"/>
      <c r="C131" s="1"/>
      <c r="D131" s="31">
        <f>'Feb 24'!J55+'Mar 24'!J55+'Apr 24'!J55+'May 24'!J55+'Jun 24'!J55+'Jul 24'!J55</f>
        <v>0</v>
      </c>
      <c r="E131" s="1"/>
      <c r="F131" s="1"/>
      <c r="G131" s="3" t="s">
        <v>420</v>
      </c>
      <c r="H131" s="36"/>
      <c r="I131" s="1"/>
      <c r="J131" s="31">
        <f>'Aug 24'!J55 + 'Sep 24'!J55 + 'Oct 24'!J55 + 'Nov 24'!J55 + 'Dec 24'!J55 + 'Jan 25'!J55 + 'Feb 25'!J55 + 'Mar 25'!J55 + 'April 25'!J55+'May 25'!J55+'June 25'!J55+'July 25'!J55</f>
        <v>0</v>
      </c>
      <c r="K131" s="1"/>
      <c r="L131" s="1"/>
      <c r="M131" s="3" t="s">
        <v>420</v>
      </c>
      <c r="N131" s="36"/>
      <c r="O131" s="1"/>
      <c r="P131" s="33">
        <f>'Aug 25'!J55+'Sep 25'!J55+'Oct 25'!J55+'Nov 25'!J55+'Dec 25'!J55+'Jan - 26'!J55+'Feb - 26'!J55+'Mar - 26'!J55</f>
        <v>8.5</v>
      </c>
      <c r="Q131" s="1"/>
      <c r="R131" s="23"/>
      <c r="S131" s="3" t="s">
        <v>420</v>
      </c>
      <c r="T131" s="36"/>
      <c r="U131" s="1"/>
      <c r="V131" s="31">
        <f t="shared" si="3"/>
        <v>8.5</v>
      </c>
      <c r="W131" s="1"/>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spans="1:51" ht="14" x14ac:dyDescent="0.2">
      <c r="A132" s="3" t="s">
        <v>21</v>
      </c>
      <c r="B132" s="3" t="s">
        <v>148</v>
      </c>
      <c r="C132" s="1"/>
      <c r="D132" s="31">
        <f>'Feb 24'!J56+'Mar 24'!J56+'Apr 24'!J56+'May 24'!J56+'Jun 24'!J56+'Jul 24'!J56</f>
        <v>473.49</v>
      </c>
      <c r="E132" s="1"/>
      <c r="F132" s="1"/>
      <c r="G132" s="3" t="s">
        <v>21</v>
      </c>
      <c r="H132" s="3" t="s">
        <v>148</v>
      </c>
      <c r="I132" s="1"/>
      <c r="J132" s="31">
        <f>'Aug 24'!J56 + 'Sep 24'!J56 + 'Oct 24'!J56 + 'Nov 24'!J56 + 'Dec 24'!J56 + 'Jan 25'!J56 + 'Feb 25'!J56 + 'Mar 25'!J56 + 'April 25'!J56+'May 25'!J56+'June 25'!J56+'July 25'!J56</f>
        <v>1409.11</v>
      </c>
      <c r="K132" s="1"/>
      <c r="L132" s="1"/>
      <c r="M132" s="3" t="s">
        <v>21</v>
      </c>
      <c r="N132" s="3" t="s">
        <v>148</v>
      </c>
      <c r="O132" s="1"/>
      <c r="P132" s="33">
        <f>'Aug 25'!J56+'Sep 25'!J56+'Oct 25'!J56+'Nov 25'!J56+'Dec 25'!J56+'Jan - 26'!J56+'Feb - 26'!J56+'Mar - 26'!J56</f>
        <v>1100.5400000000002</v>
      </c>
      <c r="Q132" s="1"/>
      <c r="R132" s="23"/>
      <c r="S132" s="3" t="s">
        <v>21</v>
      </c>
      <c r="T132" s="3" t="s">
        <v>148</v>
      </c>
      <c r="U132" s="1"/>
      <c r="V132" s="31">
        <f t="shared" si="3"/>
        <v>2983.1400000000003</v>
      </c>
      <c r="W132" s="1"/>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spans="1:51" ht="14" x14ac:dyDescent="0.2">
      <c r="A133" s="3"/>
      <c r="B133" s="1"/>
      <c r="C133" s="1"/>
      <c r="D133" s="32">
        <f>SUM(D93:D132)</f>
        <v>21590.010000000002</v>
      </c>
      <c r="E133" s="1"/>
      <c r="F133" s="1"/>
      <c r="G133" s="3"/>
      <c r="H133" s="1"/>
      <c r="I133" s="1"/>
      <c r="J133" s="32">
        <f>SUM(J93:J132)</f>
        <v>47069.549999999988</v>
      </c>
      <c r="K133" s="1"/>
      <c r="L133" s="1"/>
      <c r="M133" s="3"/>
      <c r="N133" s="1"/>
      <c r="O133" s="1"/>
      <c r="P133" s="32">
        <f>SUM(P93:P132)</f>
        <v>35371.700000000004</v>
      </c>
      <c r="Q133" s="1"/>
      <c r="R133" s="23"/>
      <c r="S133" s="3"/>
      <c r="T133" s="1"/>
      <c r="U133" s="1"/>
      <c r="V133" s="32">
        <f>SUM(V93:V132)</f>
        <v>104031.26</v>
      </c>
      <c r="W133" s="1"/>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spans="1:51" ht="14" x14ac:dyDescent="0.2">
      <c r="A134" s="3"/>
      <c r="B134" s="1"/>
      <c r="C134" s="1"/>
      <c r="D134" s="32"/>
      <c r="E134" s="1"/>
      <c r="F134" s="1"/>
      <c r="G134" s="3"/>
      <c r="H134" s="1"/>
      <c r="I134" s="1"/>
      <c r="J134" s="32"/>
      <c r="K134" s="1"/>
      <c r="L134" s="1"/>
      <c r="M134" s="3"/>
      <c r="N134" s="1"/>
      <c r="O134" s="1"/>
      <c r="P134" s="32"/>
      <c r="Q134" s="1"/>
      <c r="R134" s="23"/>
      <c r="S134" s="3"/>
      <c r="T134" s="1"/>
      <c r="U134" s="1"/>
      <c r="V134" s="32"/>
      <c r="W134" s="1"/>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spans="1:51" ht="7.5" customHeight="1" x14ac:dyDescent="0.2">
      <c r="A135" s="7"/>
      <c r="B135" s="7"/>
      <c r="C135" s="7"/>
      <c r="D135" s="3"/>
      <c r="E135" s="3"/>
      <c r="F135" s="3"/>
      <c r="G135" s="7"/>
      <c r="H135" s="7"/>
      <c r="I135" s="7"/>
      <c r="J135" s="3"/>
      <c r="K135" s="3"/>
      <c r="L135" s="3"/>
      <c r="M135" s="7"/>
      <c r="N135" s="7"/>
      <c r="O135" s="7"/>
      <c r="P135" s="3"/>
      <c r="Q135" s="3"/>
      <c r="R135" s="3"/>
      <c r="S135" s="7"/>
      <c r="T135" s="7"/>
      <c r="U135" s="7"/>
      <c r="V135" s="3"/>
      <c r="W135" s="3"/>
      <c r="X135" s="3"/>
      <c r="Y135" s="3"/>
      <c r="Z135" s="3"/>
      <c r="AA135" s="3"/>
      <c r="AB135" s="3"/>
      <c r="AC135" s="3"/>
      <c r="AD135" s="3"/>
      <c r="AE135" s="3"/>
      <c r="AF135" s="3"/>
      <c r="AG135" s="3"/>
      <c r="AH135" s="3"/>
      <c r="AI135" s="3"/>
      <c r="AJ135" s="3"/>
      <c r="AK135" s="3"/>
      <c r="AL135" s="4"/>
      <c r="AM135" s="4"/>
      <c r="AN135" s="4"/>
      <c r="AO135" s="4"/>
      <c r="AP135" s="4"/>
      <c r="AQ135" s="4"/>
      <c r="AR135" s="4"/>
      <c r="AS135" s="4"/>
      <c r="AT135" s="4"/>
      <c r="AU135" s="4"/>
      <c r="AV135" s="4"/>
      <c r="AW135" s="4"/>
      <c r="AX135" s="4"/>
      <c r="AY135" s="4"/>
    </row>
    <row r="136" spans="1:51" ht="15" x14ac:dyDescent="0.2">
      <c r="A136" s="1" t="s">
        <v>271</v>
      </c>
      <c r="B136" s="8" t="s">
        <v>5</v>
      </c>
      <c r="C136" s="9" t="s">
        <v>7</v>
      </c>
      <c r="E136" s="8"/>
      <c r="F136" s="8"/>
      <c r="G136" s="1" t="s">
        <v>291</v>
      </c>
      <c r="H136" s="8" t="s">
        <v>5</v>
      </c>
      <c r="I136" s="9" t="s">
        <v>7</v>
      </c>
      <c r="K136" s="8"/>
      <c r="L136" s="4"/>
      <c r="M136" s="52" t="s">
        <v>442</v>
      </c>
      <c r="N136" s="8" t="s">
        <v>5</v>
      </c>
      <c r="O136" s="9" t="s">
        <v>7</v>
      </c>
      <c r="Q136" s="8"/>
      <c r="R136" s="8"/>
      <c r="S136" s="1" t="s">
        <v>443</v>
      </c>
      <c r="T136" s="8" t="s">
        <v>5</v>
      </c>
      <c r="U136" s="9" t="s">
        <v>7</v>
      </c>
      <c r="W136" s="8"/>
      <c r="X136" s="8"/>
      <c r="Y136" s="8"/>
      <c r="Z136" s="8"/>
      <c r="AA136" s="8"/>
      <c r="AB136" s="8"/>
      <c r="AC136" s="8"/>
      <c r="AD136" s="8"/>
      <c r="AE136" s="8"/>
      <c r="AF136" s="8"/>
      <c r="AG136" s="8"/>
      <c r="AH136" s="8"/>
      <c r="AI136" s="8"/>
      <c r="AJ136" s="8"/>
      <c r="AK136" s="8"/>
      <c r="AL136" s="4"/>
      <c r="AM136" s="4"/>
      <c r="AN136" s="4"/>
      <c r="AO136" s="4"/>
      <c r="AP136" s="4"/>
      <c r="AQ136" s="4"/>
      <c r="AR136" s="4"/>
      <c r="AS136" s="4"/>
      <c r="AT136" s="4"/>
      <c r="AU136" s="4"/>
      <c r="AV136" s="4"/>
      <c r="AW136" s="4"/>
      <c r="AX136" s="4"/>
      <c r="AY136" s="4"/>
    </row>
    <row r="137" spans="1:51" ht="14" x14ac:dyDescent="0.2">
      <c r="A137" s="3" t="s">
        <v>23</v>
      </c>
      <c r="B137" s="3"/>
      <c r="C137" s="31">
        <f>'Feb 24'!G63+'Mar 24'!G63+'Apr 24'!G63+'May 24'!G63+'Jun 24'!G63+'Jul 24'!G63</f>
        <v>0.25</v>
      </c>
      <c r="E137" s="3"/>
      <c r="F137" s="3"/>
      <c r="G137" s="3" t="s">
        <v>23</v>
      </c>
      <c r="H137" s="3"/>
      <c r="I137" s="31">
        <f>'Aug 24'!G63 + 'Sep 24'!G63 + 'Oct 24'!G63 + 'Nov 24'!G63 + 'Dec 24'!G63 + 'Jan 25'!G63 + 'Feb 25'!G63 + 'Mar 25'!G63 + 'April 25'!G63+'May 25'!G63+'June 25'!G63+'July 25'!G63</f>
        <v>1.85</v>
      </c>
      <c r="K137" s="3"/>
      <c r="L137" s="4"/>
      <c r="M137" s="3" t="s">
        <v>23</v>
      </c>
      <c r="N137" s="3"/>
      <c r="O137" s="31">
        <f>'Aug 25'!G63+'Sep 25'!G63+'Oct 25'!G63+'Nov 25'!G63+'Dec 25'!G63+'Jan - 26'!G63+'Feb - 26'!G63+'Mar - 26'!G63</f>
        <v>2.2200000000000002</v>
      </c>
      <c r="Q137" s="3"/>
      <c r="R137" s="3"/>
      <c r="S137" s="3" t="s">
        <v>23</v>
      </c>
      <c r="T137" s="3"/>
      <c r="U137" s="31">
        <f>SUM(C137,I137,O137)</f>
        <v>4.32</v>
      </c>
      <c r="W137" s="3"/>
      <c r="X137" s="3"/>
      <c r="Y137" s="3"/>
      <c r="Z137" s="3"/>
      <c r="AA137" s="3"/>
      <c r="AB137" s="3"/>
      <c r="AC137" s="3"/>
      <c r="AD137" s="3"/>
      <c r="AE137" s="3"/>
      <c r="AF137" s="3"/>
      <c r="AG137" s="3"/>
      <c r="AH137" s="3"/>
      <c r="AI137" s="3"/>
      <c r="AJ137" s="3"/>
      <c r="AK137" s="3"/>
      <c r="AL137" s="4"/>
      <c r="AM137" s="4"/>
      <c r="AN137" s="4"/>
      <c r="AO137" s="4"/>
      <c r="AP137" s="4"/>
      <c r="AQ137" s="4"/>
      <c r="AR137" s="4"/>
      <c r="AS137" s="4"/>
      <c r="AT137" s="4"/>
      <c r="AU137" s="4"/>
      <c r="AV137" s="4"/>
      <c r="AW137" s="4"/>
      <c r="AX137" s="4"/>
      <c r="AY137" s="4"/>
    </row>
    <row r="138" spans="1:51" ht="14" x14ac:dyDescent="0.2">
      <c r="A138" s="3" t="s">
        <v>11</v>
      </c>
      <c r="B138" s="3"/>
      <c r="C138" s="31">
        <f>'Feb 24'!G64+'Mar 24'!G64+'Apr 24'!G64+'May 24'!G64+'Jun 24'!G64+'Jul 24'!G64</f>
        <v>40.11</v>
      </c>
      <c r="E138" s="3"/>
      <c r="F138" s="3"/>
      <c r="G138" s="3" t="s">
        <v>11</v>
      </c>
      <c r="H138" s="3"/>
      <c r="I138" s="31">
        <f>'Aug 24'!G64 + 'Sep 24'!G64 + 'Oct 24'!G64 + 'Nov 24'!G64 + 'Dec 24'!G64 + 'Jan 25'!G64 + 'Feb 25'!G64 + 'Mar 25'!G64 + 'April 25'!G64+'May 25'!G64+'June 25'!G64+'July 25'!G64</f>
        <v>17.25</v>
      </c>
      <c r="K138" s="3"/>
      <c r="L138" s="4"/>
      <c r="M138" s="3" t="s">
        <v>11</v>
      </c>
      <c r="N138" s="3"/>
      <c r="O138" s="31">
        <f>'Aug 25'!G64+'Sep 25'!G64+'Oct 25'!G64+'Nov 25'!G64+'Dec 25'!G64+'Jan - 26'!G64+'Feb - 26'!G64+'Mar - 26'!G64</f>
        <v>42.6</v>
      </c>
      <c r="Q138" s="3"/>
      <c r="R138" s="3"/>
      <c r="S138" s="3" t="s">
        <v>11</v>
      </c>
      <c r="T138" s="3"/>
      <c r="U138" s="31">
        <f t="shared" ref="U138:U145" si="4">SUM(C138,I138,O138)</f>
        <v>99.960000000000008</v>
      </c>
      <c r="W138" s="3"/>
      <c r="X138" s="3"/>
      <c r="Y138" s="3"/>
      <c r="Z138" s="3"/>
      <c r="AA138" s="3"/>
      <c r="AB138" s="3"/>
      <c r="AC138" s="3"/>
      <c r="AD138" s="3"/>
      <c r="AE138" s="3"/>
      <c r="AF138" s="3"/>
      <c r="AG138" s="3"/>
      <c r="AH138" s="3"/>
      <c r="AI138" s="3"/>
      <c r="AJ138" s="3"/>
      <c r="AK138" s="3"/>
      <c r="AL138" s="4"/>
      <c r="AM138" s="4"/>
      <c r="AN138" s="4"/>
      <c r="AO138" s="4"/>
      <c r="AP138" s="4"/>
      <c r="AQ138" s="4"/>
      <c r="AR138" s="4"/>
      <c r="AS138" s="4"/>
      <c r="AT138" s="4"/>
      <c r="AU138" s="4"/>
      <c r="AV138" s="4"/>
      <c r="AW138" s="4"/>
      <c r="AX138" s="4"/>
      <c r="AY138" s="4"/>
    </row>
    <row r="139" spans="1:51" ht="14" x14ac:dyDescent="0.2">
      <c r="A139" s="3" t="s">
        <v>14</v>
      </c>
      <c r="B139" s="3"/>
      <c r="C139" s="31">
        <f>'Feb 24'!G65+'Mar 24'!G65+'Apr 24'!G65+'May 24'!G65+'Jun 24'!G65+'Jul 24'!G65</f>
        <v>123.20000000000002</v>
      </c>
      <c r="E139" s="3"/>
      <c r="F139" s="3"/>
      <c r="G139" s="3" t="s">
        <v>14</v>
      </c>
      <c r="H139" s="3"/>
      <c r="I139" s="31">
        <f>'Aug 24'!G65 + 'Sep 24'!G65 + 'Oct 24'!G65 + 'Nov 24'!G65 + 'Dec 24'!G65 + 'Jan 25'!G65 + 'Feb 25'!G65 + 'Mar 25'!G65 + 'April 25'!G65+'May 25'!G65+'June 25'!G65+'July 25'!G65</f>
        <v>1606.15</v>
      </c>
      <c r="K139" s="3"/>
      <c r="L139" s="4"/>
      <c r="M139" s="3" t="s">
        <v>14</v>
      </c>
      <c r="N139" s="3"/>
      <c r="O139" s="31">
        <f>'Aug 25'!G65+'Sep 25'!G65+'Oct 25'!G65+'Nov 25'!G65+'Dec 25'!G65+'Jan - 26'!G65+'Feb - 26'!G65+'Mar - 26'!G65</f>
        <v>1754.1</v>
      </c>
      <c r="Q139" s="3"/>
      <c r="R139" s="3"/>
      <c r="S139" s="3" t="s">
        <v>14</v>
      </c>
      <c r="T139" s="3"/>
      <c r="U139" s="31">
        <f t="shared" si="4"/>
        <v>3483.45</v>
      </c>
      <c r="W139" s="3"/>
      <c r="X139" s="3"/>
      <c r="Y139" s="3"/>
      <c r="Z139" s="3"/>
      <c r="AA139" s="3"/>
      <c r="AB139" s="3"/>
      <c r="AC139" s="3"/>
      <c r="AD139" s="3"/>
      <c r="AE139" s="3"/>
      <c r="AF139" s="3"/>
      <c r="AG139" s="3"/>
      <c r="AH139" s="3"/>
      <c r="AI139" s="3"/>
      <c r="AJ139" s="3"/>
      <c r="AK139" s="3"/>
      <c r="AL139" s="4"/>
      <c r="AM139" s="4"/>
      <c r="AN139" s="4"/>
      <c r="AO139" s="4"/>
      <c r="AP139" s="4"/>
      <c r="AQ139" s="4"/>
      <c r="AR139" s="4"/>
      <c r="AS139" s="4"/>
      <c r="AT139" s="4"/>
      <c r="AU139" s="4"/>
      <c r="AV139" s="4"/>
      <c r="AW139" s="4"/>
      <c r="AX139" s="4"/>
      <c r="AY139" s="4"/>
    </row>
    <row r="140" spans="1:51" ht="14" x14ac:dyDescent="0.2">
      <c r="A140" s="3" t="s">
        <v>279</v>
      </c>
      <c r="B140" s="3"/>
      <c r="C140" s="31">
        <f>'Feb 24'!G66+'Mar 24'!G66+'Apr 24'!G66+'May 24'!G66+'Jun 24'!G66+'Jul 24'!G66</f>
        <v>0</v>
      </c>
      <c r="E140" s="3"/>
      <c r="F140" s="3"/>
      <c r="G140" s="3" t="s">
        <v>279</v>
      </c>
      <c r="H140" s="3"/>
      <c r="I140" s="31">
        <f>'Aug 24'!G66 + 'Sep 24'!G66 + 'Oct 24'!G66 + 'Nov 24'!G66 + 'Dec 24'!G66 + 'Jan 25'!G66 + 'Feb 25'!G66 + 'Mar 25'!G66 + 'April 25'!G66+'May 25'!G66+'June 25'!G66+'July 25'!G66</f>
        <v>57.28</v>
      </c>
      <c r="K140" s="3"/>
      <c r="L140" s="4"/>
      <c r="M140" s="3" t="s">
        <v>279</v>
      </c>
      <c r="N140" s="3"/>
      <c r="O140" s="31">
        <f>'Aug 25'!G66+'Sep 25'!G66+'Oct 25'!G66+'Nov 25'!G66+'Dec 25'!G66+'Jan - 26'!G66+'Feb - 26'!G66+'Mar - 26'!G66</f>
        <v>62.43</v>
      </c>
      <c r="Q140" s="3"/>
      <c r="R140" s="3"/>
      <c r="S140" s="3" t="s">
        <v>279</v>
      </c>
      <c r="T140" s="3"/>
      <c r="U140" s="31">
        <f t="shared" si="4"/>
        <v>119.71000000000001</v>
      </c>
      <c r="W140" s="3"/>
      <c r="X140" s="3"/>
      <c r="Y140" s="3"/>
      <c r="Z140" s="3"/>
      <c r="AA140" s="3"/>
      <c r="AB140" s="3"/>
      <c r="AC140" s="3"/>
      <c r="AD140" s="3"/>
      <c r="AE140" s="3"/>
      <c r="AF140" s="3"/>
      <c r="AG140" s="3"/>
      <c r="AH140" s="3"/>
      <c r="AI140" s="3"/>
      <c r="AJ140" s="3"/>
      <c r="AK140" s="3"/>
      <c r="AL140" s="4"/>
      <c r="AM140" s="4"/>
      <c r="AN140" s="4"/>
      <c r="AO140" s="4"/>
      <c r="AP140" s="4"/>
      <c r="AQ140" s="4"/>
      <c r="AR140" s="4"/>
      <c r="AS140" s="4"/>
      <c r="AT140" s="4"/>
      <c r="AU140" s="4"/>
      <c r="AV140" s="4"/>
      <c r="AW140" s="4"/>
      <c r="AX140" s="4"/>
      <c r="AY140" s="4"/>
    </row>
    <row r="141" spans="1:51" ht="14" x14ac:dyDescent="0.2">
      <c r="A141" s="3" t="s">
        <v>18</v>
      </c>
      <c r="B141" s="3"/>
      <c r="C141" s="31">
        <f>'Feb 24'!G67+'Mar 24'!G67+'Apr 24'!G67+'May 24'!G67+'Jun 24'!G67+'Jul 24'!G67</f>
        <v>246.07</v>
      </c>
      <c r="E141" s="3"/>
      <c r="F141" s="3"/>
      <c r="G141" s="3" t="s">
        <v>18</v>
      </c>
      <c r="H141" s="3"/>
      <c r="I141" s="31">
        <f>'Aug 24'!G67 + 'Sep 24'!G67 + 'Oct 24'!G67 + 'Nov 24'!G67 + 'Dec 24'!G67 + 'Jan 25'!G67 + 'Feb 25'!G67 + 'Mar 25'!G67 + 'April 25'!G67+'May 25'!G67+'June 25'!G67+'July 25'!G67</f>
        <v>534.67000000000007</v>
      </c>
      <c r="K141" s="3"/>
      <c r="L141" s="4"/>
      <c r="M141" s="3" t="s">
        <v>18</v>
      </c>
      <c r="N141" s="3"/>
      <c r="O141" s="31">
        <f>'Aug 25'!G67+'Sep 25'!G67+'Oct 25'!G67+'Nov 25'!G67+'Dec 25'!G67+'Jan - 26'!G67+'Feb - 26'!G67+'Mar - 26'!G67</f>
        <v>654.73</v>
      </c>
      <c r="Q141" s="3"/>
      <c r="R141" s="3"/>
      <c r="S141" s="3" t="s">
        <v>18</v>
      </c>
      <c r="T141" s="3"/>
      <c r="U141" s="31">
        <f t="shared" si="4"/>
        <v>1435.47</v>
      </c>
      <c r="W141" s="3"/>
      <c r="X141" s="3"/>
      <c r="Y141" s="3"/>
      <c r="Z141" s="3"/>
      <c r="AA141" s="3"/>
      <c r="AB141" s="3"/>
      <c r="AC141" s="3"/>
      <c r="AD141" s="3"/>
      <c r="AE141" s="3"/>
      <c r="AF141" s="3"/>
      <c r="AG141" s="3"/>
      <c r="AH141" s="3"/>
      <c r="AI141" s="3"/>
      <c r="AJ141" s="3"/>
      <c r="AK141" s="3"/>
      <c r="AL141" s="4"/>
      <c r="AM141" s="4"/>
      <c r="AN141" s="4"/>
      <c r="AO141" s="4"/>
      <c r="AP141" s="4"/>
      <c r="AQ141" s="4"/>
      <c r="AR141" s="4"/>
      <c r="AS141" s="4"/>
      <c r="AT141" s="4"/>
      <c r="AU141" s="4"/>
      <c r="AV141" s="4"/>
      <c r="AW141" s="4"/>
      <c r="AX141" s="4"/>
      <c r="AY141" s="4"/>
    </row>
    <row r="142" spans="1:51" ht="14" x14ac:dyDescent="0.2">
      <c r="A142" s="3" t="s">
        <v>19</v>
      </c>
      <c r="B142" s="3"/>
      <c r="C142" s="31">
        <f>'Feb 24'!G68+'Mar 24'!G68+'Apr 24'!G68+'May 24'!G68+'Jun 24'!G68+'Jul 24'!G68</f>
        <v>226.12</v>
      </c>
      <c r="E142" s="3"/>
      <c r="F142" s="3"/>
      <c r="G142" s="3" t="s">
        <v>19</v>
      </c>
      <c r="H142" s="3"/>
      <c r="I142" s="31">
        <f>'Aug 24'!G68 + 'Sep 24'!G68 + 'Oct 24'!G68 + 'Nov 24'!G68 + 'Dec 24'!G68 + 'Jan 25'!G68 + 'Feb 25'!G68 + 'Mar 25'!G68 + 'April 25'!G68+'May 25'!G68+'June 25'!G68+'July 25'!G68</f>
        <v>287.7</v>
      </c>
      <c r="K142" s="3"/>
      <c r="L142" s="4"/>
      <c r="M142" s="3" t="s">
        <v>19</v>
      </c>
      <c r="N142" s="3"/>
      <c r="O142" s="31">
        <f>'Aug 25'!G68+'Sep 25'!G68+'Oct 25'!G68+'Nov 25'!G68+'Dec 25'!G68+'Jan - 26'!G68+'Feb - 26'!G68+'Mar - 26'!G68</f>
        <v>277.60000000000002</v>
      </c>
      <c r="Q142" s="3"/>
      <c r="R142" s="3"/>
      <c r="S142" s="3" t="s">
        <v>19</v>
      </c>
      <c r="T142" s="3"/>
      <c r="U142" s="31">
        <f t="shared" si="4"/>
        <v>791.42</v>
      </c>
      <c r="W142" s="3"/>
      <c r="X142" s="3"/>
      <c r="Y142" s="3"/>
      <c r="Z142" s="3"/>
      <c r="AA142" s="3"/>
      <c r="AB142" s="3"/>
      <c r="AC142" s="3"/>
      <c r="AD142" s="3"/>
      <c r="AE142" s="3"/>
      <c r="AF142" s="3"/>
      <c r="AG142" s="3"/>
      <c r="AH142" s="3"/>
      <c r="AI142" s="3"/>
      <c r="AJ142" s="3"/>
      <c r="AK142" s="3"/>
      <c r="AL142" s="4"/>
      <c r="AM142" s="4"/>
      <c r="AN142" s="4"/>
      <c r="AO142" s="4"/>
      <c r="AP142" s="4"/>
      <c r="AQ142" s="4"/>
      <c r="AR142" s="4"/>
      <c r="AS142" s="4"/>
      <c r="AT142" s="4"/>
      <c r="AU142" s="4"/>
      <c r="AV142" s="4"/>
      <c r="AW142" s="4"/>
      <c r="AX142" s="4"/>
      <c r="AY142" s="4"/>
    </row>
    <row r="143" spans="1:51" ht="14" x14ac:dyDescent="0.2">
      <c r="A143" s="3" t="s">
        <v>24</v>
      </c>
      <c r="B143" s="3"/>
      <c r="C143" s="31">
        <f>'Feb 24'!G69+'Mar 24'!G69+'Apr 24'!G69+'May 24'!G69+'Jun 24'!G69+'Jul 24'!G69</f>
        <v>29.45</v>
      </c>
      <c r="E143" s="3"/>
      <c r="F143" s="3"/>
      <c r="G143" s="3" t="s">
        <v>24</v>
      </c>
      <c r="H143" s="3"/>
      <c r="I143" s="31">
        <f>'Aug 24'!G69 + 'Sep 24'!G69 + 'Oct 24'!G69 + 'Nov 24'!G69 + 'Dec 24'!G69 + 'Jan 25'!G69 + 'Feb 25'!G69 + 'Mar 25'!G69 + 'April 25'!G69+'May 25'!G69+'June 25'!G69+'July 25'!G69</f>
        <v>4.0999999999999996</v>
      </c>
      <c r="K143" s="3"/>
      <c r="L143" s="4"/>
      <c r="M143" s="3" t="s">
        <v>24</v>
      </c>
      <c r="N143" s="3"/>
      <c r="O143" s="31">
        <f>'Aug 25'!G69+'Sep 25'!G69+'Oct 25'!G69+'Nov 25'!G69+'Dec 25'!G69+'Jan - 26'!G69+'Feb - 26'!G69+'Mar - 26'!G69</f>
        <v>0</v>
      </c>
      <c r="Q143" s="3"/>
      <c r="R143" s="3"/>
      <c r="S143" s="3" t="s">
        <v>24</v>
      </c>
      <c r="T143" s="3"/>
      <c r="U143" s="31">
        <f t="shared" si="4"/>
        <v>33.549999999999997</v>
      </c>
      <c r="W143" s="3"/>
      <c r="X143" s="3"/>
      <c r="Y143" s="3"/>
      <c r="Z143" s="3"/>
      <c r="AA143" s="3"/>
      <c r="AB143" s="3"/>
      <c r="AC143" s="3"/>
      <c r="AD143" s="3"/>
      <c r="AE143" s="3"/>
      <c r="AF143" s="3"/>
      <c r="AG143" s="3"/>
      <c r="AH143" s="3"/>
      <c r="AI143" s="3"/>
      <c r="AJ143" s="3"/>
      <c r="AK143" s="3"/>
      <c r="AL143" s="4"/>
      <c r="AM143" s="4"/>
      <c r="AN143" s="4"/>
      <c r="AO143" s="4"/>
      <c r="AP143" s="4"/>
      <c r="AQ143" s="4"/>
      <c r="AR143" s="4"/>
      <c r="AS143" s="4"/>
      <c r="AT143" s="4"/>
      <c r="AU143" s="4"/>
      <c r="AV143" s="4"/>
      <c r="AW143" s="4"/>
      <c r="AX143" s="4"/>
      <c r="AY143" s="4"/>
    </row>
    <row r="144" spans="1:51" ht="14" x14ac:dyDescent="0.2">
      <c r="A144" s="3" t="s">
        <v>432</v>
      </c>
      <c r="B144" s="3"/>
      <c r="C144" s="31">
        <f>'Feb 24'!G70+'Mar 24'!G70+'Apr 24'!G70+'May 24'!G70+'Jun 24'!G70+'Jul 24'!G70</f>
        <v>0</v>
      </c>
      <c r="E144" s="3"/>
      <c r="F144" s="3"/>
      <c r="G144" s="3" t="s">
        <v>432</v>
      </c>
      <c r="H144" s="3"/>
      <c r="I144" s="31">
        <f>'Aug 24'!G70 + 'Sep 24'!G70 + 'Oct 24'!G70 + 'Nov 24'!G70 + 'Dec 24'!G70 + 'Jan 25'!G70 + 'Feb 25'!G70 + 'Mar 25'!G70 + 'April 25'!G70+'May 25'!G70+'June 25'!G70+'July 25'!G70</f>
        <v>0</v>
      </c>
      <c r="K144" s="3"/>
      <c r="L144" s="4"/>
      <c r="M144" s="3" t="s">
        <v>432</v>
      </c>
      <c r="N144" s="3"/>
      <c r="O144" s="31">
        <f>'Aug 25'!G70+'Sep 25'!G70+'Oct 25'!G70+'Nov 25'!G70+'Dec 25'!G70+'Jan - 26'!G70+'Feb - 26'!G70+'Mar - 26'!G70</f>
        <v>53.57</v>
      </c>
      <c r="Q144" s="3"/>
      <c r="R144" s="3"/>
      <c r="S144" s="3" t="s">
        <v>432</v>
      </c>
      <c r="T144" s="3"/>
      <c r="U144" s="31">
        <f t="shared" si="4"/>
        <v>53.57</v>
      </c>
      <c r="W144" s="3"/>
      <c r="X144" s="3"/>
      <c r="Y144" s="3"/>
      <c r="Z144" s="3"/>
      <c r="AA144" s="3"/>
      <c r="AB144" s="3"/>
      <c r="AC144" s="3"/>
      <c r="AD144" s="3"/>
      <c r="AE144" s="3"/>
      <c r="AF144" s="3"/>
      <c r="AG144" s="3"/>
      <c r="AH144" s="3"/>
      <c r="AI144" s="3"/>
      <c r="AJ144" s="3"/>
      <c r="AK144" s="3"/>
      <c r="AL144" s="4"/>
      <c r="AM144" s="4"/>
      <c r="AN144" s="4"/>
      <c r="AO144" s="4"/>
      <c r="AP144" s="4"/>
      <c r="AQ144" s="4"/>
      <c r="AR144" s="4"/>
      <c r="AS144" s="4"/>
      <c r="AT144" s="4"/>
      <c r="AU144" s="4"/>
      <c r="AV144" s="4"/>
      <c r="AW144" s="4"/>
      <c r="AX144" s="4"/>
      <c r="AY144" s="4"/>
    </row>
    <row r="145" spans="1:58" ht="14" x14ac:dyDescent="0.2">
      <c r="A145" s="3" t="s">
        <v>21</v>
      </c>
      <c r="B145" s="3"/>
      <c r="C145" s="31">
        <f>'Feb 24'!G71+'Mar 24'!G71+'Apr 24'!G71+'May 24'!G71+'Jun 24'!G71+'Jul 24'!G71</f>
        <v>19.88</v>
      </c>
      <c r="E145" s="3"/>
      <c r="F145" s="3"/>
      <c r="G145" s="3" t="s">
        <v>21</v>
      </c>
      <c r="H145" s="3"/>
      <c r="I145" s="31">
        <f>'Aug 24'!G71 + 'Sep 24'!G71 + 'Oct 24'!G71 + 'Nov 24'!G71 + 'Dec 24'!G71 + 'Jan 25'!G71 + 'Feb 25'!G71 + 'Mar 25'!G71 + 'April 25'!G71+'May 25'!G71+'June 25'!G71+'July 25'!G71</f>
        <v>69.86999999999999</v>
      </c>
      <c r="K145" s="3"/>
      <c r="L145" s="4"/>
      <c r="M145" s="3" t="s">
        <v>21</v>
      </c>
      <c r="N145" s="3"/>
      <c r="O145" s="31">
        <f>'Aug 25'!G71+'Sep 25'!G71+'Oct 25'!G71+'Nov 25'!G71+'Dec 25'!G71+'Jan - 26'!G71+'Feb - 26'!G71+'Mar - 26'!G71</f>
        <v>72.19</v>
      </c>
      <c r="Q145" s="3"/>
      <c r="R145" s="3"/>
      <c r="S145" s="3" t="s">
        <v>21</v>
      </c>
      <c r="T145" s="3"/>
      <c r="U145" s="31">
        <f t="shared" si="4"/>
        <v>161.94</v>
      </c>
      <c r="W145" s="3"/>
      <c r="X145" s="3"/>
      <c r="Y145" s="3"/>
      <c r="Z145" s="3"/>
      <c r="AA145" s="3"/>
      <c r="AB145" s="3"/>
      <c r="AC145" s="3"/>
      <c r="AD145" s="3"/>
      <c r="AE145" s="3"/>
      <c r="AF145" s="3"/>
      <c r="AG145" s="3"/>
      <c r="AH145" s="3"/>
      <c r="AI145" s="3"/>
      <c r="AJ145" s="3"/>
      <c r="AK145" s="3"/>
      <c r="AL145" s="4"/>
      <c r="AM145" s="4"/>
      <c r="AN145" s="4"/>
      <c r="AO145" s="4"/>
      <c r="AP145" s="4"/>
      <c r="AQ145" s="4"/>
      <c r="AR145" s="4"/>
      <c r="AS145" s="4"/>
      <c r="AT145" s="4"/>
      <c r="AU145" s="4"/>
      <c r="AV145" s="4"/>
      <c r="AW145" s="4"/>
      <c r="AX145" s="4"/>
      <c r="AY145" s="4"/>
    </row>
    <row r="146" spans="1:58" ht="14" x14ac:dyDescent="0.2">
      <c r="A146" s="3"/>
      <c r="B146" s="1"/>
      <c r="C146" s="32">
        <f>SUM(C137:C145)</f>
        <v>685.08</v>
      </c>
      <c r="E146" s="1"/>
      <c r="F146" s="1"/>
      <c r="G146" s="3"/>
      <c r="H146" s="1"/>
      <c r="I146" s="32">
        <f>SUM(I137:I145)</f>
        <v>2578.8699999999994</v>
      </c>
      <c r="K146" s="1"/>
      <c r="L146" s="4"/>
      <c r="M146" s="3"/>
      <c r="N146" s="1"/>
      <c r="O146" s="32">
        <f>SUM(O137:O145)</f>
        <v>2919.44</v>
      </c>
      <c r="Q146" s="1"/>
      <c r="R146" s="1"/>
      <c r="S146" s="3"/>
      <c r="T146" s="1"/>
      <c r="U146" s="32">
        <f>SUM(U137:U145)</f>
        <v>6183.3899999999994</v>
      </c>
      <c r="W146" s="1"/>
      <c r="X146" s="1"/>
      <c r="Y146" s="1"/>
      <c r="Z146" s="1"/>
      <c r="AA146" s="1"/>
      <c r="AB146" s="1"/>
      <c r="AC146" s="1"/>
      <c r="AD146" s="1"/>
      <c r="AE146" s="1"/>
      <c r="AF146" s="1"/>
      <c r="AG146" s="1"/>
      <c r="AH146" s="1"/>
      <c r="AI146" s="1"/>
      <c r="AJ146" s="1"/>
      <c r="AK146" s="1"/>
      <c r="AL146" s="4"/>
      <c r="AM146" s="4"/>
      <c r="AN146" s="4"/>
      <c r="AO146" s="4"/>
      <c r="AP146" s="4"/>
      <c r="AQ146" s="4"/>
      <c r="AR146" s="4"/>
      <c r="AS146" s="4"/>
      <c r="AT146" s="4"/>
      <c r="AU146" s="4"/>
      <c r="AV146" s="4"/>
      <c r="AW146" s="4"/>
      <c r="AX146" s="4"/>
      <c r="AY146" s="4"/>
    </row>
    <row r="147" spans="1:58" ht="14" x14ac:dyDescent="0.2">
      <c r="A147" s="3"/>
      <c r="B147" s="1"/>
      <c r="C147" s="1"/>
      <c r="D147" s="32"/>
      <c r="E147" s="1"/>
      <c r="F147" s="1"/>
      <c r="G147" s="3"/>
      <c r="H147" s="1"/>
      <c r="I147" s="1"/>
      <c r="J147" s="32"/>
      <c r="K147" s="1"/>
      <c r="L147" s="1"/>
      <c r="M147" s="3"/>
      <c r="N147" s="1"/>
      <c r="O147" s="1"/>
      <c r="P147" s="32"/>
      <c r="Q147" s="1"/>
      <c r="R147" s="23"/>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spans="1:58" ht="14"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spans="1:58" ht="7.5" customHeight="1" x14ac:dyDescent="0.2">
      <c r="A149" s="80"/>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4"/>
    </row>
    <row r="150" spans="1:58" ht="14" x14ac:dyDescent="0.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spans="1:58" ht="14" x14ac:dyDescent="0.2">
      <c r="A151" s="3"/>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spans="1:58" ht="7.5" customHeight="1" x14ac:dyDescent="0.2">
      <c r="A152" s="77"/>
      <c r="B152" s="78"/>
      <c r="C152" s="78"/>
      <c r="D152" s="78"/>
      <c r="E152" s="78"/>
      <c r="F152" s="78"/>
      <c r="G152" s="78"/>
      <c r="H152" s="78"/>
      <c r="I152" s="78"/>
      <c r="J152" s="78"/>
      <c r="K152" s="4"/>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row>
    <row r="153" spans="1:58" ht="14" x14ac:dyDescent="0.2">
      <c r="A153" s="3"/>
      <c r="B153" s="4"/>
      <c r="C153" s="4"/>
      <c r="D153" s="4"/>
      <c r="E153" s="4"/>
      <c r="F153" s="4"/>
      <c r="G153" s="4"/>
      <c r="H153" s="4"/>
      <c r="I153" s="4"/>
      <c r="J153" s="4"/>
      <c r="K153" s="4"/>
      <c r="L153" s="4"/>
      <c r="M153" s="4"/>
      <c r="N153" s="4"/>
      <c r="O153" s="4"/>
      <c r="P153" s="4"/>
      <c r="Q153" s="4"/>
      <c r="R153" s="4"/>
      <c r="S153" s="4"/>
      <c r="T153" s="4"/>
      <c r="U153" s="4"/>
      <c r="V153" s="4"/>
      <c r="W153" s="4">
        <v>0</v>
      </c>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row>
    <row r="154" spans="1:58" ht="14" x14ac:dyDescent="0.2">
      <c r="A154" s="52" t="s">
        <v>269</v>
      </c>
      <c r="B154" s="4"/>
      <c r="C154" s="4"/>
      <c r="D154" s="4"/>
      <c r="E154" s="4"/>
      <c r="F154" s="4"/>
      <c r="G154" s="4"/>
      <c r="H154" s="4"/>
      <c r="I154" s="4"/>
      <c r="J154" s="4"/>
      <c r="K154" s="4"/>
      <c r="L154" s="52" t="s">
        <v>290</v>
      </c>
      <c r="M154" s="4"/>
      <c r="N154" s="4"/>
      <c r="O154" s="4"/>
      <c r="P154" s="4"/>
      <c r="Q154" s="4"/>
      <c r="R154" s="4"/>
      <c r="S154" s="4"/>
      <c r="T154" s="4"/>
      <c r="U154" s="4"/>
      <c r="V154" s="4"/>
      <c r="W154" s="52" t="s">
        <v>444</v>
      </c>
      <c r="X154" s="4"/>
      <c r="Y154" s="4"/>
      <c r="Z154" s="4"/>
      <c r="AA154" s="4"/>
      <c r="AB154" s="4"/>
      <c r="AC154" s="4"/>
      <c r="AD154" s="4"/>
      <c r="AE154" s="4"/>
      <c r="AF154" s="4"/>
      <c r="AG154" s="4"/>
      <c r="AH154" s="4"/>
      <c r="AI154" s="4"/>
      <c r="AJ154" s="4"/>
      <c r="AK154" s="4"/>
      <c r="AL154" s="4"/>
      <c r="AM154" s="4"/>
      <c r="AN154" s="4"/>
      <c r="AO154" s="52" t="s">
        <v>441</v>
      </c>
      <c r="AP154" s="4"/>
      <c r="AQ154" s="4"/>
      <c r="AT154" s="4"/>
      <c r="AU154" s="4"/>
      <c r="AV154" s="4"/>
      <c r="AW154" s="4"/>
      <c r="AX154" s="4"/>
      <c r="BB154" s="4"/>
      <c r="BC154" s="4"/>
      <c r="BD154" s="4"/>
      <c r="BE154" s="4"/>
      <c r="BF154" s="4"/>
    </row>
    <row r="155" spans="1:58" ht="30" x14ac:dyDescent="0.2">
      <c r="A155" s="1" t="s">
        <v>177</v>
      </c>
      <c r="B155" s="8" t="s">
        <v>5</v>
      </c>
      <c r="C155" s="9" t="s">
        <v>7</v>
      </c>
      <c r="D155" s="9" t="s">
        <v>226</v>
      </c>
      <c r="E155" s="9" t="s">
        <v>227</v>
      </c>
      <c r="F155" s="4"/>
      <c r="G155" s="4"/>
      <c r="H155" s="47" t="s">
        <v>228</v>
      </c>
      <c r="I155" s="4"/>
      <c r="J155" s="4"/>
      <c r="K155" s="4"/>
      <c r="L155" s="1" t="s">
        <v>177</v>
      </c>
      <c r="M155" s="8" t="s">
        <v>5</v>
      </c>
      <c r="N155" s="9" t="s">
        <v>7</v>
      </c>
      <c r="O155" s="9" t="s">
        <v>226</v>
      </c>
      <c r="P155" s="9" t="s">
        <v>227</v>
      </c>
      <c r="Q155" s="4"/>
      <c r="R155" s="4"/>
      <c r="S155" s="47" t="s">
        <v>228</v>
      </c>
      <c r="T155" s="47"/>
      <c r="U155" s="4"/>
      <c r="V155" s="4"/>
      <c r="W155" s="1" t="s">
        <v>177</v>
      </c>
      <c r="X155" s="8" t="s">
        <v>5</v>
      </c>
      <c r="Y155" s="8"/>
      <c r="Z155" s="9" t="s">
        <v>7</v>
      </c>
      <c r="AA155" s="9" t="s">
        <v>226</v>
      </c>
      <c r="AB155" s="9" t="s">
        <v>227</v>
      </c>
      <c r="AC155" s="9"/>
      <c r="AD155" s="9"/>
      <c r="AE155" s="9"/>
      <c r="AF155" s="9"/>
      <c r="AG155" s="9"/>
      <c r="AH155" s="9"/>
      <c r="AI155" s="4"/>
      <c r="AJ155" s="4"/>
      <c r="AK155" s="47" t="s">
        <v>228</v>
      </c>
      <c r="AL155" s="4"/>
      <c r="AM155" s="4"/>
      <c r="AO155" s="1" t="s">
        <v>177</v>
      </c>
      <c r="AP155" s="8" t="s">
        <v>5</v>
      </c>
      <c r="AQ155" s="9" t="s">
        <v>7</v>
      </c>
      <c r="AR155" s="9" t="s">
        <v>226</v>
      </c>
      <c r="AS155" s="9" t="s">
        <v>227</v>
      </c>
      <c r="AT155" s="4"/>
      <c r="AU155" s="4"/>
      <c r="AV155" s="47" t="s">
        <v>228</v>
      </c>
      <c r="AW155" s="4"/>
      <c r="AX155" s="4"/>
    </row>
    <row r="156" spans="1:58" ht="14" x14ac:dyDescent="0.2">
      <c r="A156" s="3" t="s">
        <v>9</v>
      </c>
      <c r="B156" s="3" t="s">
        <v>129</v>
      </c>
      <c r="C156" s="40">
        <f t="shared" ref="C156:C161" si="5">D93</f>
        <v>509.5</v>
      </c>
      <c r="D156" s="119">
        <f>(C156/$B$213)*$B$211</f>
        <v>28692.006276039087</v>
      </c>
      <c r="E156" s="3" t="s">
        <v>229</v>
      </c>
      <c r="F156" s="4"/>
      <c r="G156" s="4"/>
      <c r="H156" s="3" t="s">
        <v>241</v>
      </c>
      <c r="J156" s="44">
        <f>(D84/$B$213)*$B$211</f>
        <v>219478.36164913588</v>
      </c>
      <c r="K156" s="4"/>
      <c r="L156" s="3" t="s">
        <v>9</v>
      </c>
      <c r="M156" s="3" t="s">
        <v>129</v>
      </c>
      <c r="N156" s="40">
        <f t="shared" ref="N156:N161" si="6">J93</f>
        <v>2.08</v>
      </c>
      <c r="O156" s="119">
        <f t="shared" ref="O156:O174" si="7">(N156/$M$213)*$M$211</f>
        <v>117.10226300354283</v>
      </c>
      <c r="P156" s="3" t="s">
        <v>229</v>
      </c>
      <c r="Q156" s="4"/>
      <c r="R156" s="4"/>
      <c r="S156" s="3" t="s">
        <v>241</v>
      </c>
      <c r="T156" s="3"/>
      <c r="U156" s="119">
        <f>((J84/$M$213)*$M$211)-38.38</f>
        <v>339774.37150351144</v>
      </c>
      <c r="W156" s="3" t="s">
        <v>9</v>
      </c>
      <c r="X156" s="3" t="s">
        <v>129</v>
      </c>
      <c r="Y156" s="3"/>
      <c r="Z156" s="40">
        <f t="shared" ref="Z156:Z175" si="8">P93</f>
        <v>0</v>
      </c>
      <c r="AA156" s="119">
        <f t="shared" ref="AA156:AA195" si="9">(Z156/$X$213)*$X$211</f>
        <v>0</v>
      </c>
      <c r="AB156" s="3" t="s">
        <v>229</v>
      </c>
      <c r="AC156" s="3"/>
      <c r="AD156" s="3"/>
      <c r="AE156" s="3"/>
      <c r="AF156" s="3"/>
      <c r="AG156" s="3"/>
      <c r="AH156" s="3"/>
      <c r="AI156" s="4"/>
      <c r="AJ156" s="4"/>
      <c r="AK156" s="3" t="s">
        <v>241</v>
      </c>
      <c r="AM156" s="119">
        <f>(P84/$X$213)*$X$211</f>
        <v>148664.79183654953</v>
      </c>
      <c r="AO156" s="3" t="s">
        <v>9</v>
      </c>
      <c r="AP156" s="3" t="s">
        <v>129</v>
      </c>
      <c r="AQ156" s="40">
        <f>SUM(C156,N156,Z156)</f>
        <v>511.58</v>
      </c>
      <c r="AR156" s="119">
        <f>SUM(D156,O156,AA156)</f>
        <v>28809.108539042631</v>
      </c>
      <c r="AS156" s="3" t="s">
        <v>229</v>
      </c>
      <c r="AT156" s="4"/>
      <c r="AU156" s="4"/>
      <c r="AV156" s="3" t="s">
        <v>241</v>
      </c>
      <c r="AX156" s="119">
        <f t="shared" ref="AX156:AX161" si="10">SUM(J156,U156,AM156)</f>
        <v>707917.5249891968</v>
      </c>
    </row>
    <row r="157" spans="1:58" ht="15" x14ac:dyDescent="0.2">
      <c r="A157" s="3" t="s">
        <v>10</v>
      </c>
      <c r="B157" s="36" t="s">
        <v>130</v>
      </c>
      <c r="C157" s="40">
        <f t="shared" si="5"/>
        <v>731.62999999999988</v>
      </c>
      <c r="D157" s="119">
        <f>(C157/$B$213)*$B$211</f>
        <v>41201.045243843917</v>
      </c>
      <c r="E157" s="50" t="s">
        <v>248</v>
      </c>
      <c r="F157" s="4"/>
      <c r="G157" s="4"/>
      <c r="H157" s="3" t="s">
        <v>243</v>
      </c>
      <c r="J157" s="44">
        <f>(D87/$B$213)*$B$211</f>
        <v>374531.20247385622</v>
      </c>
      <c r="K157" s="4"/>
      <c r="L157" s="3" t="s">
        <v>10</v>
      </c>
      <c r="M157" s="36" t="s">
        <v>130</v>
      </c>
      <c r="N157" s="40">
        <f t="shared" si="6"/>
        <v>3629.1099999999997</v>
      </c>
      <c r="O157" s="119">
        <f t="shared" si="7"/>
        <v>204315.86235037848</v>
      </c>
      <c r="P157" s="50" t="s">
        <v>248</v>
      </c>
      <c r="Q157" s="4"/>
      <c r="R157" s="4"/>
      <c r="S157" s="3" t="s">
        <v>243</v>
      </c>
      <c r="T157" s="3"/>
      <c r="U157" s="119">
        <f>(J87/$M$213)*$M$211</f>
        <v>954778.66361651069</v>
      </c>
      <c r="W157" s="3" t="s">
        <v>10</v>
      </c>
      <c r="X157" s="36" t="s">
        <v>130</v>
      </c>
      <c r="Y157" s="36"/>
      <c r="Z157" s="40">
        <f t="shared" si="8"/>
        <v>618.35</v>
      </c>
      <c r="AA157" s="119">
        <f t="shared" si="9"/>
        <v>35067.480026966368</v>
      </c>
      <c r="AB157" s="50" t="s">
        <v>248</v>
      </c>
      <c r="AC157" s="50"/>
      <c r="AD157" s="50"/>
      <c r="AE157" s="50"/>
      <c r="AF157" s="50"/>
      <c r="AG157" s="50"/>
      <c r="AH157" s="50"/>
      <c r="AI157" s="4"/>
      <c r="AJ157" s="4"/>
      <c r="AK157" s="3" t="s">
        <v>243</v>
      </c>
      <c r="AM157" s="119">
        <f>(P87/$X$213)*$X$211</f>
        <v>744679.92820909969</v>
      </c>
      <c r="AO157" s="3" t="s">
        <v>10</v>
      </c>
      <c r="AP157" s="36" t="s">
        <v>130</v>
      </c>
      <c r="AQ157" s="40">
        <f t="shared" ref="AQ157:AQ195" si="11">SUM(C157,N157,Z157)</f>
        <v>4979.09</v>
      </c>
      <c r="AR157" s="119">
        <f t="shared" ref="AR157:AR195" si="12">SUM(D157,O157,AA157)</f>
        <v>280584.38762118877</v>
      </c>
      <c r="AS157" s="50" t="s">
        <v>248</v>
      </c>
      <c r="AT157" s="4"/>
      <c r="AU157" s="4"/>
      <c r="AV157" s="3" t="s">
        <v>243</v>
      </c>
      <c r="AX157" s="119">
        <f t="shared" si="10"/>
        <v>2073989.7942994665</v>
      </c>
    </row>
    <row r="158" spans="1:58" ht="14" x14ac:dyDescent="0.2">
      <c r="A158" s="3" t="s">
        <v>287</v>
      </c>
      <c r="B158" s="36"/>
      <c r="C158" s="40">
        <f t="shared" si="5"/>
        <v>0</v>
      </c>
      <c r="D158" s="119">
        <f>(C158/$B$213)*$B$211</f>
        <v>0</v>
      </c>
      <c r="E158" s="3" t="s">
        <v>229</v>
      </c>
      <c r="F158" s="4"/>
      <c r="G158" s="4"/>
      <c r="H158" s="3" t="s">
        <v>230</v>
      </c>
      <c r="I158" s="4"/>
      <c r="J158" s="44">
        <f>SUM(D170,D178,D182,D183,D184,D190,D191,D192)</f>
        <v>451890.93331099139</v>
      </c>
      <c r="K158" s="4"/>
      <c r="L158" s="3" t="s">
        <v>287</v>
      </c>
      <c r="M158" s="36"/>
      <c r="N158" s="40">
        <f t="shared" si="6"/>
        <v>13.91</v>
      </c>
      <c r="O158" s="119">
        <f t="shared" si="7"/>
        <v>783.12138383619265</v>
      </c>
      <c r="P158" s="3" t="s">
        <v>229</v>
      </c>
      <c r="Q158" s="4"/>
      <c r="R158" s="4"/>
      <c r="S158" s="3" t="s">
        <v>230</v>
      </c>
      <c r="T158" s="3"/>
      <c r="U158" s="119">
        <f>SUM(O170,O178,O182,O183,O184,O190,O191,O192)</f>
        <v>1078674.5468492063</v>
      </c>
      <c r="W158" s="3" t="s">
        <v>287</v>
      </c>
      <c r="X158" s="36"/>
      <c r="Y158" s="36"/>
      <c r="Z158" s="40">
        <f t="shared" si="8"/>
        <v>51.42</v>
      </c>
      <c r="AA158" s="119">
        <f t="shared" si="9"/>
        <v>2916.0990102476117</v>
      </c>
      <c r="AB158" s="3" t="s">
        <v>229</v>
      </c>
      <c r="AC158" s="3"/>
      <c r="AD158" s="3"/>
      <c r="AE158" s="3"/>
      <c r="AF158" s="3"/>
      <c r="AG158" s="3"/>
      <c r="AH158" s="3"/>
      <c r="AI158" s="4"/>
      <c r="AJ158" s="4"/>
      <c r="AK158" s="3" t="s">
        <v>230</v>
      </c>
      <c r="AL158" s="4"/>
      <c r="AM158" s="119">
        <f>SUM(AA170,AA178,AA182,AA183,AA184,AA185,AA190,AA191,AA192)</f>
        <v>807986.83846074122</v>
      </c>
      <c r="AO158" s="3" t="s">
        <v>287</v>
      </c>
      <c r="AP158" s="36"/>
      <c r="AQ158" s="40">
        <f t="shared" si="11"/>
        <v>65.33</v>
      </c>
      <c r="AR158" s="119">
        <f t="shared" si="12"/>
        <v>3699.2203940838044</v>
      </c>
      <c r="AS158" s="3" t="s">
        <v>229</v>
      </c>
      <c r="AT158" s="4"/>
      <c r="AU158" s="4"/>
      <c r="AV158" s="3" t="s">
        <v>230</v>
      </c>
      <c r="AW158" s="4"/>
      <c r="AX158" s="119">
        <f t="shared" si="10"/>
        <v>2338552.3186209388</v>
      </c>
    </row>
    <row r="159" spans="1:58" ht="14" x14ac:dyDescent="0.2">
      <c r="A159" s="3" t="s">
        <v>11</v>
      </c>
      <c r="B159" s="3" t="s">
        <v>131</v>
      </c>
      <c r="C159" s="40">
        <f t="shared" si="5"/>
        <v>328</v>
      </c>
      <c r="D159" s="119">
        <f>(C159/$B$213)*$B$211</f>
        <v>18471.006984378451</v>
      </c>
      <c r="E159" s="3" t="s">
        <v>229</v>
      </c>
      <c r="F159" s="4"/>
      <c r="G159" s="4"/>
      <c r="H159" s="3" t="s">
        <v>229</v>
      </c>
      <c r="I159" s="4"/>
      <c r="J159" s="44">
        <f>SUM(D156,D159,D160,D161,D164,D165, D167,D168,D176,D177,D195)</f>
        <v>684386.84976045939</v>
      </c>
      <c r="K159" s="4"/>
      <c r="L159" s="3" t="s">
        <v>11</v>
      </c>
      <c r="M159" s="3" t="s">
        <v>131</v>
      </c>
      <c r="N159" s="40">
        <f t="shared" si="6"/>
        <v>101.16</v>
      </c>
      <c r="O159" s="119">
        <f t="shared" si="7"/>
        <v>5695.2235218453807</v>
      </c>
      <c r="P159" s="3" t="s">
        <v>229</v>
      </c>
      <c r="Q159" s="4"/>
      <c r="R159" s="4"/>
      <c r="S159" s="3" t="s">
        <v>229</v>
      </c>
      <c r="T159" s="3"/>
      <c r="U159" s="119">
        <f>SUM(O156,O158,O159, O160,O161,O164,O165,O167,O168,O176,O177,O195)</f>
        <v>1067208.6589245421</v>
      </c>
      <c r="V159" s="4"/>
      <c r="W159" s="3" t="s">
        <v>11</v>
      </c>
      <c r="X159" s="3" t="s">
        <v>131</v>
      </c>
      <c r="Y159" s="3"/>
      <c r="Z159" s="40">
        <f t="shared" si="8"/>
        <v>34.42</v>
      </c>
      <c r="AA159" s="119">
        <f t="shared" si="9"/>
        <v>1952.0055996251033</v>
      </c>
      <c r="AB159" s="3" t="s">
        <v>229</v>
      </c>
      <c r="AC159" s="3"/>
      <c r="AD159" s="3"/>
      <c r="AE159" s="3"/>
      <c r="AF159" s="3"/>
      <c r="AG159" s="3"/>
      <c r="AH159" s="3"/>
      <c r="AI159" s="4"/>
      <c r="AJ159" s="4"/>
      <c r="AK159" s="3" t="s">
        <v>229</v>
      </c>
      <c r="AL159" s="4"/>
      <c r="AM159" s="119">
        <f>SUM(AA156,AA158,AA159,AA160,AA161,AA164,AA165, AA166, AA167,AA168,AA176,AA177,AA195)</f>
        <v>830931.12740601518</v>
      </c>
      <c r="AO159" s="3" t="s">
        <v>11</v>
      </c>
      <c r="AP159" s="3" t="s">
        <v>131</v>
      </c>
      <c r="AQ159" s="40">
        <f t="shared" si="11"/>
        <v>463.58</v>
      </c>
      <c r="AR159" s="119">
        <f t="shared" si="12"/>
        <v>26118.236105848933</v>
      </c>
      <c r="AS159" s="3" t="s">
        <v>229</v>
      </c>
      <c r="AT159" s="4"/>
      <c r="AU159" s="4"/>
      <c r="AV159" s="3" t="s">
        <v>229</v>
      </c>
      <c r="AW159" s="4"/>
      <c r="AX159" s="119">
        <f t="shared" si="10"/>
        <v>2582526.6360910167</v>
      </c>
    </row>
    <row r="160" spans="1:58" ht="30" x14ac:dyDescent="0.2">
      <c r="A160" s="3" t="s">
        <v>12</v>
      </c>
      <c r="B160" s="3" t="s">
        <v>129</v>
      </c>
      <c r="C160" s="40">
        <f t="shared" si="5"/>
        <v>1692.67</v>
      </c>
      <c r="D160" s="119">
        <f t="shared" ref="D160:D185" si="13">(C160/$B$213)*$B$211</f>
        <v>95321.095708072782</v>
      </c>
      <c r="E160" s="3" t="s">
        <v>229</v>
      </c>
      <c r="F160" s="4"/>
      <c r="G160" s="4"/>
      <c r="H160" s="53" t="s">
        <v>248</v>
      </c>
      <c r="I160" s="4"/>
      <c r="J160" s="44">
        <f>SUM(D157,D171,D179,D181,D189)</f>
        <v>57912.801441051684</v>
      </c>
      <c r="K160" s="4"/>
      <c r="L160" s="3" t="s">
        <v>12</v>
      </c>
      <c r="M160" s="3" t="s">
        <v>129</v>
      </c>
      <c r="N160" s="40">
        <f t="shared" si="6"/>
        <v>95.92</v>
      </c>
      <c r="O160" s="119">
        <f t="shared" si="7"/>
        <v>5400.2158977403014</v>
      </c>
      <c r="P160" s="3" t="s">
        <v>229</v>
      </c>
      <c r="Q160" s="4"/>
      <c r="R160" s="4"/>
      <c r="S160" s="53" t="s">
        <v>248</v>
      </c>
      <c r="T160" s="53"/>
      <c r="U160" s="119">
        <f>SUM(O157,O171,O179,O181,O187,O189)</f>
        <v>240568.58360800892</v>
      </c>
      <c r="V160" s="4"/>
      <c r="W160" s="3" t="s">
        <v>12</v>
      </c>
      <c r="X160" s="3" t="s">
        <v>129</v>
      </c>
      <c r="Y160" s="3"/>
      <c r="Z160" s="40">
        <f t="shared" si="8"/>
        <v>0</v>
      </c>
      <c r="AA160" s="119">
        <f t="shared" si="9"/>
        <v>0</v>
      </c>
      <c r="AB160" s="3" t="s">
        <v>229</v>
      </c>
      <c r="AC160" s="3"/>
      <c r="AD160" s="3"/>
      <c r="AE160" s="3"/>
      <c r="AF160" s="3"/>
      <c r="AG160" s="3"/>
      <c r="AH160" s="3"/>
      <c r="AI160" s="4"/>
      <c r="AJ160" s="4"/>
      <c r="AK160" s="53" t="s">
        <v>248</v>
      </c>
      <c r="AL160" s="4"/>
      <c r="AM160" s="119">
        <f>SUM(AA157,AA171,AA179,AA181,AA187,AA189)</f>
        <v>89186.580075375401</v>
      </c>
      <c r="AO160" s="3" t="s">
        <v>12</v>
      </c>
      <c r="AP160" s="3" t="s">
        <v>129</v>
      </c>
      <c r="AQ160" s="40">
        <f t="shared" si="11"/>
        <v>1788.5900000000001</v>
      </c>
      <c r="AR160" s="119">
        <f t="shared" si="12"/>
        <v>100721.31160581308</v>
      </c>
      <c r="AS160" s="3" t="s">
        <v>229</v>
      </c>
      <c r="AT160" s="4"/>
      <c r="AU160" s="4"/>
      <c r="AV160" s="53" t="s">
        <v>248</v>
      </c>
      <c r="AW160" s="4"/>
      <c r="AX160" s="119">
        <f t="shared" si="10"/>
        <v>387667.96512443601</v>
      </c>
    </row>
    <row r="161" spans="1:50" ht="15" customHeight="1" x14ac:dyDescent="0.2">
      <c r="A161" s="3" t="s">
        <v>13</v>
      </c>
      <c r="B161" s="3" t="s">
        <v>132</v>
      </c>
      <c r="C161" s="40">
        <f t="shared" si="5"/>
        <v>277.54000000000002</v>
      </c>
      <c r="D161" s="119">
        <f t="shared" si="13"/>
        <v>15629.400239159744</v>
      </c>
      <c r="E161" s="3" t="s">
        <v>229</v>
      </c>
      <c r="F161" s="4"/>
      <c r="G161" s="4"/>
      <c r="H161" s="3" t="s">
        <v>267</v>
      </c>
      <c r="I161" s="4"/>
      <c r="J161" s="44">
        <f>SUM(D172,D173,D174)</f>
        <v>20180.1382708903</v>
      </c>
      <c r="K161" s="4"/>
      <c r="L161" s="3" t="s">
        <v>13</v>
      </c>
      <c r="M161" s="3" t="s">
        <v>132</v>
      </c>
      <c r="N161" s="40">
        <f t="shared" si="6"/>
        <v>1765.1999999999998</v>
      </c>
      <c r="O161" s="119">
        <f t="shared" si="7"/>
        <v>99379.285891275838</v>
      </c>
      <c r="P161" s="3" t="s">
        <v>229</v>
      </c>
      <c r="Q161" s="4"/>
      <c r="R161" s="4"/>
      <c r="S161" s="3" t="s">
        <v>267</v>
      </c>
      <c r="T161" s="3"/>
      <c r="U161" s="119">
        <f>SUM(O172,O173,O174)</f>
        <v>249260.04868612767</v>
      </c>
      <c r="V161" s="4"/>
      <c r="W161" s="3" t="s">
        <v>13</v>
      </c>
      <c r="X161" s="3" t="s">
        <v>132</v>
      </c>
      <c r="Y161" s="3"/>
      <c r="Z161" s="40">
        <f t="shared" si="8"/>
        <v>404.78</v>
      </c>
      <c r="AA161" s="119">
        <f t="shared" si="9"/>
        <v>22955.631220692885</v>
      </c>
      <c r="AB161" s="3" t="s">
        <v>229</v>
      </c>
      <c r="AC161" s="3"/>
      <c r="AD161" s="3"/>
      <c r="AE161" s="3"/>
      <c r="AF161" s="3"/>
      <c r="AG161" s="3"/>
      <c r="AH161" s="3"/>
      <c r="AI161" s="4"/>
      <c r="AJ161" s="4"/>
      <c r="AK161" s="3" t="s">
        <v>267</v>
      </c>
      <c r="AL161" s="4"/>
      <c r="AM161" s="119">
        <f>SUM(AA162, AA163, AA172,AA173,AA180,AA174,AA175)</f>
        <v>265878.81500901736</v>
      </c>
      <c r="AO161" s="3" t="s">
        <v>13</v>
      </c>
      <c r="AP161" s="3" t="s">
        <v>132</v>
      </c>
      <c r="AQ161" s="40">
        <f t="shared" si="11"/>
        <v>2447.5199999999995</v>
      </c>
      <c r="AR161" s="119">
        <f t="shared" si="12"/>
        <v>137964.31735112847</v>
      </c>
      <c r="AS161" s="3" t="s">
        <v>229</v>
      </c>
      <c r="AT161" s="4"/>
      <c r="AU161" s="4"/>
      <c r="AV161" s="3" t="s">
        <v>267</v>
      </c>
      <c r="AW161" s="4"/>
      <c r="AX161" s="119">
        <f t="shared" si="10"/>
        <v>535319.00196603534</v>
      </c>
    </row>
    <row r="162" spans="1:50" ht="15" customHeight="1" x14ac:dyDescent="0.2">
      <c r="A162" s="3" t="s">
        <v>416</v>
      </c>
      <c r="B162" s="3"/>
      <c r="C162" s="40"/>
      <c r="D162" s="119">
        <f t="shared" si="13"/>
        <v>0</v>
      </c>
      <c r="E162" s="3" t="s">
        <v>138</v>
      </c>
      <c r="F162" s="4"/>
      <c r="G162" s="4"/>
      <c r="H162" s="3"/>
      <c r="I162" s="4"/>
      <c r="J162" s="44"/>
      <c r="K162" s="4"/>
      <c r="L162" s="3" t="s">
        <v>416</v>
      </c>
      <c r="M162" s="3"/>
      <c r="N162" s="40"/>
      <c r="O162" s="119">
        <f t="shared" si="7"/>
        <v>0</v>
      </c>
      <c r="P162" s="3" t="s">
        <v>138</v>
      </c>
      <c r="Q162" s="4"/>
      <c r="R162" s="4"/>
      <c r="S162" s="3"/>
      <c r="T162" s="3"/>
      <c r="U162" s="119"/>
      <c r="V162" s="4"/>
      <c r="W162" s="3" t="s">
        <v>416</v>
      </c>
      <c r="X162" s="3"/>
      <c r="Y162" s="3"/>
      <c r="Z162" s="40">
        <f t="shared" si="8"/>
        <v>137.82999999999998</v>
      </c>
      <c r="AA162" s="119">
        <f t="shared" si="9"/>
        <v>7816.5291050647284</v>
      </c>
      <c r="AB162" s="3" t="s">
        <v>138</v>
      </c>
      <c r="AC162" s="3"/>
      <c r="AD162" s="3"/>
      <c r="AE162" s="3"/>
      <c r="AF162" s="3"/>
      <c r="AG162" s="3"/>
      <c r="AH162" s="3"/>
      <c r="AI162" s="4"/>
      <c r="AJ162" s="4"/>
      <c r="AK162" s="3"/>
      <c r="AL162" s="4"/>
      <c r="AM162" s="119"/>
      <c r="AO162" s="3" t="s">
        <v>416</v>
      </c>
      <c r="AP162" s="3"/>
      <c r="AQ162" s="40">
        <f t="shared" si="11"/>
        <v>137.82999999999998</v>
      </c>
      <c r="AR162" s="119">
        <f t="shared" si="12"/>
        <v>7816.5291050647284</v>
      </c>
      <c r="AS162" s="3" t="s">
        <v>138</v>
      </c>
      <c r="AT162" s="4"/>
      <c r="AU162" s="4"/>
      <c r="AV162" s="3"/>
      <c r="AW162" s="4"/>
      <c r="AX162" s="119"/>
    </row>
    <row r="163" spans="1:50" ht="15" customHeight="1" x14ac:dyDescent="0.2">
      <c r="A163" s="3" t="s">
        <v>417</v>
      </c>
      <c r="B163" s="3"/>
      <c r="C163" s="40"/>
      <c r="D163" s="119">
        <f t="shared" si="13"/>
        <v>0</v>
      </c>
      <c r="E163" s="3" t="s">
        <v>138</v>
      </c>
      <c r="F163" s="4"/>
      <c r="G163" s="4"/>
      <c r="H163" s="3"/>
      <c r="I163" s="4"/>
      <c r="J163" s="44"/>
      <c r="K163" s="4"/>
      <c r="L163" s="3" t="s">
        <v>417</v>
      </c>
      <c r="M163" s="3"/>
      <c r="N163" s="40"/>
      <c r="O163" s="119">
        <f t="shared" si="7"/>
        <v>0</v>
      </c>
      <c r="P163" s="3" t="s">
        <v>138</v>
      </c>
      <c r="Q163" s="4"/>
      <c r="R163" s="4"/>
      <c r="S163" s="3"/>
      <c r="T163" s="3"/>
      <c r="U163" s="119"/>
      <c r="V163" s="4"/>
      <c r="W163" s="3" t="s">
        <v>417</v>
      </c>
      <c r="X163" s="3"/>
      <c r="Y163" s="3"/>
      <c r="Z163" s="40">
        <f t="shared" si="8"/>
        <v>493.40999999999997</v>
      </c>
      <c r="AA163" s="119">
        <f t="shared" si="9"/>
        <v>27981.960572661883</v>
      </c>
      <c r="AB163" s="3" t="s">
        <v>138</v>
      </c>
      <c r="AC163" s="3"/>
      <c r="AD163" s="3"/>
      <c r="AE163" s="3"/>
      <c r="AF163" s="3"/>
      <c r="AG163" s="3"/>
      <c r="AH163" s="3"/>
      <c r="AI163" s="4"/>
      <c r="AJ163" s="4"/>
      <c r="AK163" s="3"/>
      <c r="AL163" s="4"/>
      <c r="AM163" s="119"/>
      <c r="AO163" s="3" t="s">
        <v>417</v>
      </c>
      <c r="AP163" s="3"/>
      <c r="AQ163" s="40">
        <f t="shared" si="11"/>
        <v>493.40999999999997</v>
      </c>
      <c r="AR163" s="119">
        <f t="shared" si="12"/>
        <v>27981.960572661883</v>
      </c>
      <c r="AS163" s="3" t="s">
        <v>138</v>
      </c>
      <c r="AT163" s="4"/>
      <c r="AU163" s="4"/>
      <c r="AV163" s="3"/>
      <c r="AW163" s="4"/>
      <c r="AX163" s="119"/>
    </row>
    <row r="164" spans="1:50" ht="14" x14ac:dyDescent="0.2">
      <c r="A164" s="3" t="s">
        <v>14</v>
      </c>
      <c r="B164" s="3" t="s">
        <v>133</v>
      </c>
      <c r="C164" s="40">
        <f>D101</f>
        <v>8786.94</v>
      </c>
      <c r="D164" s="119">
        <f t="shared" si="13"/>
        <v>494828.14058327558</v>
      </c>
      <c r="E164" s="3" t="s">
        <v>229</v>
      </c>
      <c r="F164" s="4"/>
      <c r="G164" s="4"/>
      <c r="H164" s="3" t="s">
        <v>251</v>
      </c>
      <c r="I164" s="4"/>
      <c r="J164" s="44">
        <f>SUM(D169,D186,D188,D193)</f>
        <v>1450.0866763650765</v>
      </c>
      <c r="K164" s="51"/>
      <c r="L164" s="3" t="s">
        <v>14</v>
      </c>
      <c r="M164" s="3" t="s">
        <v>133</v>
      </c>
      <c r="N164" s="40">
        <f>J101</f>
        <v>12692.5</v>
      </c>
      <c r="O164" s="119">
        <f t="shared" si="7"/>
        <v>714577.15056368615</v>
      </c>
      <c r="P164" s="3" t="s">
        <v>229</v>
      </c>
      <c r="Q164" s="4"/>
      <c r="R164" s="4"/>
      <c r="S164" s="3" t="s">
        <v>251</v>
      </c>
      <c r="T164" s="3"/>
      <c r="U164" s="119">
        <f>SUM(O169,O186,O188,O193)</f>
        <v>14264.519412119062</v>
      </c>
      <c r="V164" s="4"/>
      <c r="W164" s="3" t="s">
        <v>14</v>
      </c>
      <c r="X164" s="3" t="s">
        <v>133</v>
      </c>
      <c r="Y164" s="3"/>
      <c r="Z164" s="40">
        <f t="shared" si="8"/>
        <v>10064.560000000001</v>
      </c>
      <c r="AA164" s="119">
        <f t="shared" si="9"/>
        <v>570775.05745969876</v>
      </c>
      <c r="AB164" s="3" t="s">
        <v>229</v>
      </c>
      <c r="AC164" s="3"/>
      <c r="AD164" s="3"/>
      <c r="AE164" s="3"/>
      <c r="AF164" s="3"/>
      <c r="AG164" s="3"/>
      <c r="AH164" s="3"/>
      <c r="AI164" s="4"/>
      <c r="AJ164" s="4"/>
      <c r="AK164" s="3" t="s">
        <v>251</v>
      </c>
      <c r="AL164" s="4"/>
      <c r="AM164" s="119">
        <f>SUM(AA169,AA186,AA188,AA193, AA194)</f>
        <v>11994.45625568592</v>
      </c>
      <c r="AO164" s="3" t="s">
        <v>14</v>
      </c>
      <c r="AP164" s="3" t="s">
        <v>133</v>
      </c>
      <c r="AQ164" s="40">
        <f t="shared" si="11"/>
        <v>31544.000000000004</v>
      </c>
      <c r="AR164" s="119">
        <f t="shared" si="12"/>
        <v>1780180.3486066605</v>
      </c>
      <c r="AS164" s="3" t="s">
        <v>229</v>
      </c>
      <c r="AT164" s="4"/>
      <c r="AU164" s="4"/>
      <c r="AV164" s="3" t="s">
        <v>251</v>
      </c>
      <c r="AW164" s="4"/>
      <c r="AX164" s="119">
        <f>SUM(J164,U164,AM164)</f>
        <v>27709.062344170059</v>
      </c>
    </row>
    <row r="165" spans="1:50" ht="14" x14ac:dyDescent="0.2">
      <c r="A165" s="3" t="s">
        <v>277</v>
      </c>
      <c r="B165" s="3"/>
      <c r="C165" s="40">
        <f>D102</f>
        <v>0</v>
      </c>
      <c r="D165" s="119">
        <f t="shared" si="13"/>
        <v>0</v>
      </c>
      <c r="E165" s="3" t="s">
        <v>229</v>
      </c>
      <c r="F165" s="4"/>
      <c r="G165" s="4"/>
      <c r="H165" s="3" t="s">
        <v>268</v>
      </c>
      <c r="I165" s="4"/>
      <c r="J165" s="44">
        <f>SUM(D199:D207)</f>
        <v>38579.626417249965</v>
      </c>
      <c r="K165" s="51"/>
      <c r="L165" s="3" t="s">
        <v>277</v>
      </c>
      <c r="M165" s="3"/>
      <c r="N165" s="40">
        <f>J102</f>
        <v>427.59000000000003</v>
      </c>
      <c r="O165" s="119">
        <f t="shared" si="7"/>
        <v>24072.959921963884</v>
      </c>
      <c r="P165" s="3" t="s">
        <v>229</v>
      </c>
      <c r="Q165" s="4"/>
      <c r="R165" s="4"/>
      <c r="S165" s="3" t="s">
        <v>268</v>
      </c>
      <c r="T165" s="3"/>
      <c r="U165" s="119">
        <f>SUM(O199:O207)</f>
        <v>145226.60299330504</v>
      </c>
      <c r="V165" s="4"/>
      <c r="W165" s="3" t="s">
        <v>277</v>
      </c>
      <c r="X165" s="3"/>
      <c r="Y165" s="3"/>
      <c r="Z165" s="40">
        <f t="shared" si="8"/>
        <v>1354.59</v>
      </c>
      <c r="AA165" s="119">
        <f t="shared" si="9"/>
        <v>76820.66429971435</v>
      </c>
      <c r="AB165" s="3" t="s">
        <v>229</v>
      </c>
      <c r="AC165" s="3"/>
      <c r="AD165" s="3"/>
      <c r="AE165" s="3"/>
      <c r="AF165" s="3"/>
      <c r="AG165" s="3"/>
      <c r="AH165" s="3"/>
      <c r="AI165" s="4"/>
      <c r="AJ165" s="4"/>
      <c r="AK165" s="3" t="s">
        <v>268</v>
      </c>
      <c r="AL165" s="4"/>
      <c r="AM165" s="119">
        <f>SUM(AA199:AA207)</f>
        <v>165565.46274751629</v>
      </c>
      <c r="AO165" s="3" t="s">
        <v>277</v>
      </c>
      <c r="AP165" s="3"/>
      <c r="AQ165" s="40">
        <f t="shared" si="11"/>
        <v>1782.1799999999998</v>
      </c>
      <c r="AR165" s="119">
        <f t="shared" si="12"/>
        <v>100893.62422167824</v>
      </c>
      <c r="AS165" s="3" t="s">
        <v>229</v>
      </c>
      <c r="AT165" s="4"/>
      <c r="AU165" s="4"/>
      <c r="AV165" s="3" t="s">
        <v>268</v>
      </c>
      <c r="AW165" s="4"/>
      <c r="AX165" s="119">
        <f>SUM(J165,U165,AM165)</f>
        <v>349371.69215807132</v>
      </c>
    </row>
    <row r="166" spans="1:50" ht="14" x14ac:dyDescent="0.2">
      <c r="A166" s="3" t="s">
        <v>421</v>
      </c>
      <c r="B166" s="3"/>
      <c r="C166" s="40"/>
      <c r="D166" s="119">
        <f t="shared" si="13"/>
        <v>0</v>
      </c>
      <c r="E166" s="3" t="s">
        <v>229</v>
      </c>
      <c r="F166" s="4"/>
      <c r="G166" s="4"/>
      <c r="H166" s="3"/>
      <c r="I166" s="4"/>
      <c r="J166" s="44"/>
      <c r="K166" s="51"/>
      <c r="L166" s="3" t="s">
        <v>421</v>
      </c>
      <c r="M166" s="3"/>
      <c r="N166" s="40"/>
      <c r="O166" s="119">
        <f t="shared" si="7"/>
        <v>0</v>
      </c>
      <c r="P166" s="3" t="s">
        <v>229</v>
      </c>
      <c r="Q166" s="4"/>
      <c r="R166" s="4"/>
      <c r="S166" s="3"/>
      <c r="T166" s="3"/>
      <c r="U166" s="119"/>
      <c r="V166" s="4"/>
      <c r="W166" s="3" t="s">
        <v>421</v>
      </c>
      <c r="X166" s="3"/>
      <c r="Y166" s="3"/>
      <c r="Z166" s="40">
        <f t="shared" si="8"/>
        <v>0</v>
      </c>
      <c r="AA166" s="119">
        <f t="shared" si="9"/>
        <v>0</v>
      </c>
      <c r="AB166" s="3" t="s">
        <v>229</v>
      </c>
      <c r="AC166" s="3"/>
      <c r="AD166" s="3"/>
      <c r="AE166" s="3"/>
      <c r="AF166" s="3"/>
      <c r="AG166" s="3"/>
      <c r="AH166" s="3"/>
      <c r="AI166" s="4"/>
      <c r="AJ166" s="4"/>
      <c r="AK166" s="3"/>
      <c r="AL166" s="4"/>
      <c r="AM166" s="119"/>
      <c r="AO166" s="3" t="s">
        <v>421</v>
      </c>
      <c r="AP166" s="3"/>
      <c r="AQ166" s="40">
        <f t="shared" si="11"/>
        <v>0</v>
      </c>
      <c r="AR166" s="119">
        <f t="shared" si="12"/>
        <v>0</v>
      </c>
      <c r="AS166" s="3" t="s">
        <v>229</v>
      </c>
      <c r="AT166" s="4"/>
      <c r="AU166" s="4"/>
      <c r="AV166" s="3"/>
      <c r="AW166" s="4"/>
      <c r="AX166" s="119"/>
    </row>
    <row r="167" spans="1:50" ht="14" x14ac:dyDescent="0.2">
      <c r="A167" s="3" t="s">
        <v>122</v>
      </c>
      <c r="B167" s="3" t="s">
        <v>134</v>
      </c>
      <c r="C167" s="40">
        <f t="shared" ref="C167:C174" si="14">D104</f>
        <v>81.400000000000006</v>
      </c>
      <c r="D167" s="119">
        <f t="shared" si="13"/>
        <v>4583.9633186841647</v>
      </c>
      <c r="E167" s="3" t="s">
        <v>229</v>
      </c>
      <c r="F167" s="4"/>
      <c r="G167" s="4"/>
      <c r="H167" s="4"/>
      <c r="I167" s="4"/>
      <c r="J167" s="48">
        <f>SUM(J156:J165)</f>
        <v>1848410</v>
      </c>
      <c r="K167" s="4"/>
      <c r="L167" s="3" t="s">
        <v>122</v>
      </c>
      <c r="M167" s="3" t="s">
        <v>134</v>
      </c>
      <c r="N167" s="40">
        <f t="shared" ref="N167:N174" si="15">J104</f>
        <v>2182.7200000000003</v>
      </c>
      <c r="O167" s="119">
        <f t="shared" si="7"/>
        <v>122885.31322264088</v>
      </c>
      <c r="P167" s="3" t="s">
        <v>229</v>
      </c>
      <c r="Q167" s="4"/>
      <c r="R167" s="4"/>
      <c r="S167" s="4"/>
      <c r="T167" s="4"/>
      <c r="U167" s="120">
        <f>SUM(U156:U165)</f>
        <v>4089755.9955933313</v>
      </c>
      <c r="V167" s="4"/>
      <c r="W167" s="3" t="s">
        <v>122</v>
      </c>
      <c r="X167" s="3" t="s">
        <v>134</v>
      </c>
      <c r="Y167" s="3"/>
      <c r="Z167" s="40">
        <f t="shared" si="8"/>
        <v>1206.93</v>
      </c>
      <c r="AA167" s="119">
        <f t="shared" si="9"/>
        <v>68446.662357801441</v>
      </c>
      <c r="AB167" s="3" t="s">
        <v>229</v>
      </c>
      <c r="AC167" s="3"/>
      <c r="AD167" s="3"/>
      <c r="AE167" s="3"/>
      <c r="AF167" s="3"/>
      <c r="AG167" s="3"/>
      <c r="AH167" s="3"/>
      <c r="AI167" s="4"/>
      <c r="AJ167" s="4"/>
      <c r="AK167" s="4"/>
      <c r="AL167" s="4"/>
      <c r="AM167" s="120">
        <f>SUM(AM156:AM165)</f>
        <v>3064888.0000000005</v>
      </c>
      <c r="AO167" s="3" t="s">
        <v>122</v>
      </c>
      <c r="AP167" s="3" t="s">
        <v>134</v>
      </c>
      <c r="AQ167" s="40">
        <f t="shared" si="11"/>
        <v>3471.05</v>
      </c>
      <c r="AR167" s="119">
        <f t="shared" si="12"/>
        <v>195915.93889912649</v>
      </c>
      <c r="AS167" s="3" t="s">
        <v>229</v>
      </c>
      <c r="AT167" s="4"/>
      <c r="AU167" s="4"/>
      <c r="AV167" s="4"/>
      <c r="AW167" s="4"/>
      <c r="AX167" s="120">
        <f>SUM(AX156:AX165)</f>
        <v>9003053.9955933299</v>
      </c>
    </row>
    <row r="168" spans="1:50" ht="14" x14ac:dyDescent="0.2">
      <c r="A168" s="3" t="s">
        <v>183</v>
      </c>
      <c r="B168" s="3"/>
      <c r="C168" s="40">
        <f t="shared" si="14"/>
        <v>0</v>
      </c>
      <c r="D168" s="119">
        <f t="shared" si="13"/>
        <v>0</v>
      </c>
      <c r="E168" s="3" t="s">
        <v>229</v>
      </c>
      <c r="F168" s="4"/>
      <c r="G168" s="4"/>
      <c r="K168" s="4"/>
      <c r="L168" s="3" t="s">
        <v>183</v>
      </c>
      <c r="M168" s="3"/>
      <c r="N168" s="40">
        <f t="shared" si="15"/>
        <v>146.66</v>
      </c>
      <c r="O168" s="119">
        <f t="shared" si="7"/>
        <v>8256.8355250478799</v>
      </c>
      <c r="P168" s="3" t="s">
        <v>229</v>
      </c>
      <c r="Q168" s="4"/>
      <c r="R168" s="4"/>
      <c r="V168" s="4"/>
      <c r="W168" s="3" t="s">
        <v>183</v>
      </c>
      <c r="X168" s="3"/>
      <c r="Y168" s="3"/>
      <c r="Z168" s="40">
        <f t="shared" si="8"/>
        <v>415.94</v>
      </c>
      <c r="AA168" s="119">
        <f t="shared" si="9"/>
        <v>23588.530189078014</v>
      </c>
      <c r="AB168" s="3" t="s">
        <v>229</v>
      </c>
      <c r="AC168" s="3"/>
      <c r="AD168" s="3"/>
      <c r="AE168" s="3"/>
      <c r="AF168" s="3"/>
      <c r="AG168" s="3"/>
      <c r="AH168" s="3"/>
      <c r="AI168" s="4"/>
      <c r="AJ168" s="4"/>
      <c r="AO168" s="3" t="s">
        <v>183</v>
      </c>
      <c r="AP168" s="3"/>
      <c r="AQ168" s="40">
        <f t="shared" si="11"/>
        <v>562.6</v>
      </c>
      <c r="AR168" s="119">
        <f t="shared" si="12"/>
        <v>31845.365714125895</v>
      </c>
      <c r="AS168" s="3" t="s">
        <v>229</v>
      </c>
      <c r="AT168" s="4"/>
      <c r="AU168" s="4"/>
    </row>
    <row r="169" spans="1:50" ht="14" x14ac:dyDescent="0.2">
      <c r="A169" s="3" t="s">
        <v>123</v>
      </c>
      <c r="B169" s="3" t="s">
        <v>135</v>
      </c>
      <c r="C169" s="40">
        <f t="shared" si="14"/>
        <v>25.75</v>
      </c>
      <c r="D169" s="119">
        <f t="shared" si="13"/>
        <v>1450.0866763650765</v>
      </c>
      <c r="E169" s="3" t="s">
        <v>251</v>
      </c>
      <c r="F169" s="4"/>
      <c r="G169" s="4"/>
      <c r="K169" s="4"/>
      <c r="L169" s="3" t="s">
        <v>123</v>
      </c>
      <c r="M169" s="3" t="s">
        <v>135</v>
      </c>
      <c r="N169" s="40">
        <f t="shared" si="15"/>
        <v>128.1</v>
      </c>
      <c r="O169" s="119">
        <f t="shared" si="7"/>
        <v>7211.9230244008822</v>
      </c>
      <c r="P169" s="3" t="s">
        <v>251</v>
      </c>
      <c r="Q169" s="4"/>
      <c r="R169" s="4"/>
      <c r="V169" s="4"/>
      <c r="W169" s="3" t="s">
        <v>123</v>
      </c>
      <c r="X169" s="3" t="s">
        <v>135</v>
      </c>
      <c r="Y169" s="3"/>
      <c r="Z169" s="40">
        <f t="shared" si="8"/>
        <v>114.84</v>
      </c>
      <c r="AA169" s="119">
        <f t="shared" si="9"/>
        <v>6512.7345456405246</v>
      </c>
      <c r="AB169" s="3" t="s">
        <v>251</v>
      </c>
      <c r="AC169" s="3"/>
      <c r="AD169" s="3"/>
      <c r="AE169" s="3"/>
      <c r="AF169" s="3"/>
      <c r="AG169" s="3"/>
      <c r="AH169" s="3"/>
      <c r="AI169" s="4"/>
      <c r="AJ169" s="4"/>
      <c r="AO169" s="3" t="s">
        <v>123</v>
      </c>
      <c r="AP169" s="3" t="s">
        <v>135</v>
      </c>
      <c r="AQ169" s="40">
        <f t="shared" si="11"/>
        <v>268.69</v>
      </c>
      <c r="AR169" s="119">
        <f t="shared" si="12"/>
        <v>15174.744246406484</v>
      </c>
      <c r="AS169" s="3" t="s">
        <v>251</v>
      </c>
      <c r="AT169" s="4"/>
      <c r="AU169" s="4"/>
    </row>
    <row r="170" spans="1:50" ht="14" x14ac:dyDescent="0.2">
      <c r="A170" s="3" t="s">
        <v>113</v>
      </c>
      <c r="B170" s="3" t="s">
        <v>136</v>
      </c>
      <c r="C170" s="40">
        <f t="shared" si="14"/>
        <v>316.17</v>
      </c>
      <c r="D170" s="119">
        <f t="shared" si="13"/>
        <v>17804.811823935779</v>
      </c>
      <c r="E170" s="3" t="s">
        <v>230</v>
      </c>
      <c r="F170" s="4"/>
      <c r="G170" s="4"/>
      <c r="J170" s="4"/>
      <c r="K170" s="4"/>
      <c r="L170" s="3" t="s">
        <v>113</v>
      </c>
      <c r="M170" s="3" t="s">
        <v>136</v>
      </c>
      <c r="N170" s="40">
        <f t="shared" si="15"/>
        <v>1072.27</v>
      </c>
      <c r="O170" s="119">
        <f t="shared" si="7"/>
        <v>60367.905553273486</v>
      </c>
      <c r="P170" s="3" t="s">
        <v>230</v>
      </c>
      <c r="Q170" s="4"/>
      <c r="R170" s="4"/>
      <c r="U170" s="122"/>
      <c r="W170" s="3" t="s">
        <v>113</v>
      </c>
      <c r="X170" s="3" t="s">
        <v>136</v>
      </c>
      <c r="Y170" s="3"/>
      <c r="Z170" s="40">
        <f t="shared" si="8"/>
        <v>1361.01</v>
      </c>
      <c r="AA170" s="119">
        <f t="shared" si="9"/>
        <v>77184.751340667091</v>
      </c>
      <c r="AB170" s="3" t="s">
        <v>230</v>
      </c>
      <c r="AC170" s="3"/>
      <c r="AD170" s="3"/>
      <c r="AE170" s="3"/>
      <c r="AF170" s="3"/>
      <c r="AG170" s="3"/>
      <c r="AH170" s="3"/>
      <c r="AI170" s="4"/>
      <c r="AJ170" s="4"/>
      <c r="AM170" s="123"/>
      <c r="AO170" s="3" t="s">
        <v>113</v>
      </c>
      <c r="AP170" s="3" t="s">
        <v>136</v>
      </c>
      <c r="AQ170" s="40">
        <f t="shared" si="11"/>
        <v>2749.45</v>
      </c>
      <c r="AR170" s="119">
        <f t="shared" si="12"/>
        <v>155357.46871787636</v>
      </c>
      <c r="AS170" s="3" t="s">
        <v>230</v>
      </c>
      <c r="AT170" s="4"/>
      <c r="AU170" s="4"/>
      <c r="AX170" s="4"/>
    </row>
    <row r="171" spans="1:50" ht="14" x14ac:dyDescent="0.2">
      <c r="A171" s="3" t="s">
        <v>15</v>
      </c>
      <c r="B171" s="3" t="s">
        <v>137</v>
      </c>
      <c r="C171" s="40">
        <f t="shared" si="14"/>
        <v>243.93</v>
      </c>
      <c r="D171" s="119">
        <f t="shared" si="13"/>
        <v>13736.685163717792</v>
      </c>
      <c r="E171" s="50" t="s">
        <v>248</v>
      </c>
      <c r="F171" s="4"/>
      <c r="G171" s="4"/>
      <c r="J171" s="4"/>
      <c r="K171" s="4"/>
      <c r="L171" s="3" t="s">
        <v>15</v>
      </c>
      <c r="M171" s="3" t="s">
        <v>137</v>
      </c>
      <c r="N171" s="40">
        <f t="shared" si="15"/>
        <v>0</v>
      </c>
      <c r="O171" s="119">
        <f t="shared" si="7"/>
        <v>0</v>
      </c>
      <c r="P171" s="50" t="s">
        <v>248</v>
      </c>
      <c r="Q171" s="4"/>
      <c r="R171" s="4"/>
      <c r="W171" s="3" t="s">
        <v>15</v>
      </c>
      <c r="X171" s="3" t="s">
        <v>137</v>
      </c>
      <c r="Y171" s="3"/>
      <c r="Z171" s="40">
        <f t="shared" si="8"/>
        <v>0</v>
      </c>
      <c r="AA171" s="119">
        <f t="shared" si="9"/>
        <v>0</v>
      </c>
      <c r="AB171" s="50" t="s">
        <v>248</v>
      </c>
      <c r="AC171" s="50"/>
      <c r="AD171" s="50"/>
      <c r="AE171" s="50"/>
      <c r="AF171" s="50"/>
      <c r="AG171" s="50"/>
      <c r="AH171" s="50"/>
      <c r="AI171" s="4"/>
      <c r="AJ171" s="4"/>
      <c r="AM171" s="123"/>
      <c r="AO171" s="3" t="s">
        <v>15</v>
      </c>
      <c r="AP171" s="3" t="s">
        <v>137</v>
      </c>
      <c r="AQ171" s="40">
        <f t="shared" si="11"/>
        <v>243.93</v>
      </c>
      <c r="AR171" s="119">
        <f t="shared" si="12"/>
        <v>13736.685163717792</v>
      </c>
      <c r="AS171" s="50" t="s">
        <v>248</v>
      </c>
      <c r="AT171" s="4"/>
      <c r="AU171" s="4"/>
      <c r="AX171" s="4"/>
    </row>
    <row r="172" spans="1:50" ht="14" x14ac:dyDescent="0.2">
      <c r="A172" s="3" t="s">
        <v>16</v>
      </c>
      <c r="C172" s="40">
        <f t="shared" si="14"/>
        <v>358.35</v>
      </c>
      <c r="D172" s="119">
        <f t="shared" si="13"/>
        <v>20180.1382708903</v>
      </c>
      <c r="E172" s="3" t="s">
        <v>138</v>
      </c>
      <c r="F172" s="4"/>
      <c r="G172" s="4"/>
      <c r="J172" s="4"/>
      <c r="K172" s="4"/>
      <c r="L172" s="3" t="s">
        <v>16</v>
      </c>
      <c r="M172" s="3"/>
      <c r="N172" s="40">
        <f t="shared" si="15"/>
        <v>4384.17</v>
      </c>
      <c r="O172" s="119">
        <f t="shared" si="7"/>
        <v>246825.10980396264</v>
      </c>
      <c r="P172" s="3" t="s">
        <v>138</v>
      </c>
      <c r="Q172" s="4"/>
      <c r="R172" s="4"/>
      <c r="W172" s="3" t="s">
        <v>16</v>
      </c>
      <c r="X172" s="3"/>
      <c r="Y172" s="3"/>
      <c r="Z172" s="40">
        <f t="shared" si="8"/>
        <v>1245.56</v>
      </c>
      <c r="AA172" s="119">
        <f t="shared" si="9"/>
        <v>70637.422854998353</v>
      </c>
      <c r="AB172" s="3" t="s">
        <v>138</v>
      </c>
      <c r="AC172" s="3"/>
      <c r="AD172" s="3"/>
      <c r="AE172" s="3"/>
      <c r="AF172" s="3"/>
      <c r="AG172" s="3"/>
      <c r="AH172" s="3"/>
      <c r="AI172" s="4"/>
      <c r="AJ172" s="4"/>
      <c r="AM172" s="4"/>
      <c r="AO172" s="3" t="s">
        <v>16</v>
      </c>
      <c r="AP172" s="3"/>
      <c r="AQ172" s="40">
        <f t="shared" si="11"/>
        <v>5988.08</v>
      </c>
      <c r="AR172" s="119">
        <f t="shared" si="12"/>
        <v>337642.67092985124</v>
      </c>
      <c r="AS172" s="3" t="s">
        <v>138</v>
      </c>
      <c r="AT172" s="4"/>
      <c r="AU172" s="4"/>
      <c r="AX172" s="4"/>
    </row>
    <row r="173" spans="1:50" ht="14" x14ac:dyDescent="0.2">
      <c r="A173" s="3" t="s">
        <v>161</v>
      </c>
      <c r="C173" s="40">
        <f t="shared" si="14"/>
        <v>0</v>
      </c>
      <c r="D173" s="119">
        <f t="shared" si="13"/>
        <v>0</v>
      </c>
      <c r="E173" s="3" t="s">
        <v>138</v>
      </c>
      <c r="F173" s="4"/>
      <c r="G173" s="4"/>
      <c r="J173" s="4"/>
      <c r="K173" s="4"/>
      <c r="L173" s="3" t="s">
        <v>161</v>
      </c>
      <c r="M173" s="3"/>
      <c r="N173" s="40">
        <f t="shared" si="15"/>
        <v>19.5</v>
      </c>
      <c r="O173" s="119">
        <f t="shared" si="7"/>
        <v>1097.833715658214</v>
      </c>
      <c r="P173" s="3" t="s">
        <v>138</v>
      </c>
      <c r="Q173" s="4"/>
      <c r="R173" s="4"/>
      <c r="W173" s="3" t="s">
        <v>161</v>
      </c>
      <c r="X173" s="3"/>
      <c r="Y173" s="3"/>
      <c r="Z173" s="40">
        <f t="shared" si="8"/>
        <v>2068.5</v>
      </c>
      <c r="AA173" s="119">
        <f t="shared" si="9"/>
        <v>117307.48352192114</v>
      </c>
      <c r="AB173" s="3" t="s">
        <v>138</v>
      </c>
      <c r="AC173" s="3"/>
      <c r="AD173" s="3"/>
      <c r="AE173" s="3"/>
      <c r="AF173" s="3"/>
      <c r="AG173" s="3"/>
      <c r="AH173" s="3"/>
      <c r="AI173" s="4"/>
      <c r="AJ173" s="4"/>
      <c r="AM173" s="4"/>
      <c r="AO173" s="3" t="s">
        <v>161</v>
      </c>
      <c r="AP173" s="3"/>
      <c r="AQ173" s="40">
        <f t="shared" si="11"/>
        <v>2088</v>
      </c>
      <c r="AR173" s="119">
        <f t="shared" si="12"/>
        <v>118405.31723757935</v>
      </c>
      <c r="AS173" s="3" t="s">
        <v>138</v>
      </c>
      <c r="AT173" s="4"/>
      <c r="AU173" s="4"/>
      <c r="AX173" s="4"/>
    </row>
    <row r="174" spans="1:50" ht="14" x14ac:dyDescent="0.2">
      <c r="A174" s="3" t="s">
        <v>162</v>
      </c>
      <c r="C174" s="40">
        <f t="shared" si="14"/>
        <v>0</v>
      </c>
      <c r="D174" s="119">
        <f t="shared" si="13"/>
        <v>0</v>
      </c>
      <c r="E174" s="3" t="s">
        <v>138</v>
      </c>
      <c r="F174" s="4"/>
      <c r="G174" s="4"/>
      <c r="J174" s="4"/>
      <c r="K174" s="4"/>
      <c r="L174" s="3" t="s">
        <v>162</v>
      </c>
      <c r="M174" s="3"/>
      <c r="N174" s="40">
        <f t="shared" si="15"/>
        <v>23.75</v>
      </c>
      <c r="O174" s="119">
        <f t="shared" si="7"/>
        <v>1337.1051665067989</v>
      </c>
      <c r="P174" s="3" t="s">
        <v>138</v>
      </c>
      <c r="Q174" s="4"/>
      <c r="R174" s="4"/>
      <c r="W174" s="3" t="s">
        <v>162</v>
      </c>
      <c r="X174" s="3"/>
      <c r="Y174" s="3"/>
      <c r="Z174" s="40">
        <f t="shared" si="8"/>
        <v>184.23</v>
      </c>
      <c r="AA174" s="119">
        <f t="shared" si="9"/>
        <v>10447.937002293223</v>
      </c>
      <c r="AB174" s="3" t="s">
        <v>138</v>
      </c>
      <c r="AC174" s="3"/>
      <c r="AD174" s="3"/>
      <c r="AE174" s="3"/>
      <c r="AF174" s="3"/>
      <c r="AG174" s="3"/>
      <c r="AH174" s="3"/>
      <c r="AI174" s="4"/>
      <c r="AJ174" s="4"/>
      <c r="AM174" s="4"/>
      <c r="AO174" s="3" t="s">
        <v>162</v>
      </c>
      <c r="AP174" s="3"/>
      <c r="AQ174" s="40">
        <f t="shared" si="11"/>
        <v>207.98</v>
      </c>
      <c r="AR174" s="119">
        <f t="shared" si="12"/>
        <v>11785.042168800022</v>
      </c>
      <c r="AS174" s="3" t="s">
        <v>138</v>
      </c>
      <c r="AT174" s="4"/>
      <c r="AU174" s="4"/>
      <c r="AX174" s="4"/>
    </row>
    <row r="175" spans="1:50" ht="14" x14ac:dyDescent="0.2">
      <c r="A175" s="3" t="s">
        <v>434</v>
      </c>
      <c r="C175" s="40"/>
      <c r="D175" s="119">
        <f t="shared" si="13"/>
        <v>0</v>
      </c>
      <c r="E175" s="3" t="s">
        <v>138</v>
      </c>
      <c r="F175" s="4"/>
      <c r="G175" s="4"/>
      <c r="J175" s="4"/>
      <c r="K175" s="4"/>
      <c r="L175" s="3" t="s">
        <v>434</v>
      </c>
      <c r="M175" s="3"/>
      <c r="N175" s="40"/>
      <c r="O175" s="119">
        <f t="shared" ref="O175:O180" si="16">(N175/$M$213)*$M$211</f>
        <v>0</v>
      </c>
      <c r="P175" s="3" t="s">
        <v>138</v>
      </c>
      <c r="Q175" s="4"/>
      <c r="R175" s="4"/>
      <c r="W175" s="3" t="s">
        <v>434</v>
      </c>
      <c r="X175" s="3"/>
      <c r="Y175" s="3"/>
      <c r="Z175" s="40">
        <f t="shared" si="8"/>
        <v>114.33</v>
      </c>
      <c r="AA175" s="119">
        <f t="shared" si="9"/>
        <v>6483.8117433218486</v>
      </c>
      <c r="AB175" s="3" t="s">
        <v>138</v>
      </c>
      <c r="AC175" s="3"/>
      <c r="AD175" s="3"/>
      <c r="AE175" s="3"/>
      <c r="AF175" s="3"/>
      <c r="AG175" s="3"/>
      <c r="AH175" s="3"/>
      <c r="AI175" s="4"/>
      <c r="AJ175" s="4"/>
      <c r="AM175" s="4"/>
      <c r="AO175" s="3" t="s">
        <v>434</v>
      </c>
      <c r="AP175" s="3"/>
      <c r="AQ175" s="40">
        <f t="shared" si="11"/>
        <v>114.33</v>
      </c>
      <c r="AR175" s="119">
        <f t="shared" si="12"/>
        <v>6483.8117433218486</v>
      </c>
      <c r="AS175" s="3"/>
      <c r="AT175" s="4"/>
      <c r="AU175" s="4"/>
      <c r="AX175" s="4"/>
    </row>
    <row r="176" spans="1:50" ht="14" x14ac:dyDescent="0.2">
      <c r="A176" s="3" t="s">
        <v>172</v>
      </c>
      <c r="B176" s="3"/>
      <c r="C176" s="40">
        <f>D113</f>
        <v>0</v>
      </c>
      <c r="D176" s="119">
        <f t="shared" si="13"/>
        <v>0</v>
      </c>
      <c r="E176" s="3" t="s">
        <v>229</v>
      </c>
      <c r="F176" s="4"/>
      <c r="G176" s="4"/>
      <c r="H176" s="3"/>
      <c r="I176" s="3"/>
      <c r="J176" s="4"/>
      <c r="K176" s="4"/>
      <c r="L176" s="3" t="s">
        <v>172</v>
      </c>
      <c r="M176" s="3"/>
      <c r="N176" s="40">
        <f>J113</f>
        <v>119.18</v>
      </c>
      <c r="O176" s="119">
        <f t="shared" si="16"/>
        <v>6709.7344734433818</v>
      </c>
      <c r="P176" s="3" t="s">
        <v>229</v>
      </c>
      <c r="Q176" s="4"/>
      <c r="R176" s="4"/>
      <c r="S176" s="3"/>
      <c r="T176" s="3"/>
      <c r="U176" s="3"/>
      <c r="V176" s="3"/>
      <c r="W176" s="3" t="s">
        <v>172</v>
      </c>
      <c r="X176" s="3"/>
      <c r="Y176" s="3"/>
      <c r="Z176" s="40">
        <f t="shared" ref="Z176:Z195" si="17">P113</f>
        <v>18.75</v>
      </c>
      <c r="AA176" s="119">
        <f t="shared" si="9"/>
        <v>1063.3383205395317</v>
      </c>
      <c r="AB176" s="3" t="s">
        <v>229</v>
      </c>
      <c r="AC176" s="3"/>
      <c r="AD176" s="3"/>
      <c r="AE176" s="3"/>
      <c r="AF176" s="3"/>
      <c r="AG176" s="3"/>
      <c r="AH176" s="3"/>
      <c r="AI176" s="4"/>
      <c r="AJ176" s="4"/>
      <c r="AK176" s="3"/>
      <c r="AL176" s="3"/>
      <c r="AM176" s="4"/>
      <c r="AO176" s="3" t="s">
        <v>172</v>
      </c>
      <c r="AP176" s="3"/>
      <c r="AQ176" s="40">
        <f t="shared" si="11"/>
        <v>137.93</v>
      </c>
      <c r="AR176" s="119">
        <f t="shared" si="12"/>
        <v>7773.0727939829139</v>
      </c>
      <c r="AS176" s="3" t="s">
        <v>229</v>
      </c>
      <c r="AT176" s="4"/>
      <c r="AU176" s="4"/>
      <c r="AV176" s="3"/>
      <c r="AW176" s="3"/>
      <c r="AX176" s="4"/>
    </row>
    <row r="177" spans="1:50" ht="14" x14ac:dyDescent="0.2">
      <c r="A177" s="3" t="s">
        <v>124</v>
      </c>
      <c r="B177" s="3" t="s">
        <v>139</v>
      </c>
      <c r="C177" s="40">
        <f>D114</f>
        <v>3.5</v>
      </c>
      <c r="D177" s="119">
        <f t="shared" si="13"/>
        <v>197.09915989428225</v>
      </c>
      <c r="E177" s="3" t="s">
        <v>229</v>
      </c>
      <c r="F177" s="4"/>
      <c r="G177" s="4"/>
      <c r="H177" s="3"/>
      <c r="I177" s="3"/>
      <c r="J177" s="4"/>
      <c r="K177" s="4"/>
      <c r="L177" s="3" t="s">
        <v>124</v>
      </c>
      <c r="M177" s="3" t="s">
        <v>139</v>
      </c>
      <c r="N177" s="40">
        <f>J114</f>
        <v>0</v>
      </c>
      <c r="O177" s="119">
        <f t="shared" si="16"/>
        <v>0</v>
      </c>
      <c r="P177" s="3" t="s">
        <v>229</v>
      </c>
      <c r="Q177" s="4"/>
      <c r="R177" s="4"/>
      <c r="S177" s="3"/>
      <c r="T177" s="3"/>
      <c r="U177" s="3"/>
      <c r="V177" s="3"/>
      <c r="W177" s="3" t="s">
        <v>124</v>
      </c>
      <c r="X177" s="3" t="s">
        <v>139</v>
      </c>
      <c r="Y177" s="3"/>
      <c r="Z177" s="40">
        <f t="shared" si="17"/>
        <v>0</v>
      </c>
      <c r="AA177" s="119">
        <f t="shared" si="9"/>
        <v>0</v>
      </c>
      <c r="AB177" s="3" t="s">
        <v>229</v>
      </c>
      <c r="AC177" s="3"/>
      <c r="AD177" s="3"/>
      <c r="AE177" s="3"/>
      <c r="AF177" s="3"/>
      <c r="AG177" s="3"/>
      <c r="AH177" s="3"/>
      <c r="AI177" s="4"/>
      <c r="AJ177" s="4"/>
      <c r="AK177" s="3"/>
      <c r="AL177" s="3"/>
      <c r="AM177" s="4"/>
      <c r="AO177" s="3" t="s">
        <v>124</v>
      </c>
      <c r="AP177" s="3" t="s">
        <v>139</v>
      </c>
      <c r="AQ177" s="40">
        <f t="shared" si="11"/>
        <v>3.5</v>
      </c>
      <c r="AR177" s="119">
        <f t="shared" si="12"/>
        <v>197.09915989428225</v>
      </c>
      <c r="AS177" s="3" t="s">
        <v>229</v>
      </c>
      <c r="AT177" s="4"/>
      <c r="AU177" s="4"/>
      <c r="AV177" s="3"/>
      <c r="AW177" s="3"/>
      <c r="AX177" s="4"/>
    </row>
    <row r="178" spans="1:50" ht="14" x14ac:dyDescent="0.2">
      <c r="A178" s="3" t="s">
        <v>107</v>
      </c>
      <c r="B178" s="3" t="s">
        <v>140</v>
      </c>
      <c r="C178" s="40">
        <f>D115</f>
        <v>459.17</v>
      </c>
      <c r="D178" s="119">
        <f t="shared" si="13"/>
        <v>25857.72035675931</v>
      </c>
      <c r="E178" s="3" t="s">
        <v>230</v>
      </c>
      <c r="F178" s="4"/>
      <c r="G178" s="4"/>
      <c r="H178" s="3"/>
      <c r="I178" s="3"/>
      <c r="J178" s="4"/>
      <c r="K178" s="4"/>
      <c r="L178" s="3" t="s">
        <v>107</v>
      </c>
      <c r="M178" s="3" t="s">
        <v>140</v>
      </c>
      <c r="N178" s="40">
        <f>J115</f>
        <v>2160.3599999999997</v>
      </c>
      <c r="O178" s="119">
        <f t="shared" si="16"/>
        <v>121626.46389535276</v>
      </c>
      <c r="P178" s="3" t="s">
        <v>230</v>
      </c>
      <c r="Q178" s="4"/>
      <c r="R178" s="4"/>
      <c r="S178" s="3"/>
      <c r="T178" s="3"/>
      <c r="U178" s="3"/>
      <c r="V178" s="3"/>
      <c r="W178" s="3" t="s">
        <v>107</v>
      </c>
      <c r="X178" s="3" t="s">
        <v>140</v>
      </c>
      <c r="Y178" s="3"/>
      <c r="Z178" s="40">
        <f t="shared" si="17"/>
        <v>1732.5</v>
      </c>
      <c r="AA178" s="119">
        <f t="shared" si="9"/>
        <v>98252.460817852727</v>
      </c>
      <c r="AB178" s="3" t="s">
        <v>230</v>
      </c>
      <c r="AC178" s="3"/>
      <c r="AD178" s="3"/>
      <c r="AE178" s="3"/>
      <c r="AF178" s="3"/>
      <c r="AG178" s="3"/>
      <c r="AH178" s="3"/>
      <c r="AI178" s="4"/>
      <c r="AJ178" s="4"/>
      <c r="AK178" s="3"/>
      <c r="AL178" s="3"/>
      <c r="AM178" s="4"/>
      <c r="AO178" s="3" t="s">
        <v>107</v>
      </c>
      <c r="AP178" s="3" t="s">
        <v>140</v>
      </c>
      <c r="AQ178" s="40">
        <f t="shared" si="11"/>
        <v>4352.03</v>
      </c>
      <c r="AR178" s="119">
        <f t="shared" si="12"/>
        <v>245736.64506996478</v>
      </c>
      <c r="AS178" s="3" t="s">
        <v>230</v>
      </c>
      <c r="AT178" s="4"/>
      <c r="AU178" s="4"/>
      <c r="AV178" s="3"/>
      <c r="AW178" s="3"/>
      <c r="AX178" s="4"/>
    </row>
    <row r="179" spans="1:50" ht="14" x14ac:dyDescent="0.2">
      <c r="A179" s="3" t="s">
        <v>165</v>
      </c>
      <c r="B179" s="3"/>
      <c r="C179" s="40">
        <f>D116</f>
        <v>0</v>
      </c>
      <c r="D179" s="119">
        <f t="shared" si="13"/>
        <v>0</v>
      </c>
      <c r="E179" s="50" t="s">
        <v>248</v>
      </c>
      <c r="F179" s="4"/>
      <c r="G179" s="4"/>
      <c r="H179" s="3"/>
      <c r="I179" s="4"/>
      <c r="J179" s="4"/>
      <c r="K179" s="4"/>
      <c r="L179" s="3" t="s">
        <v>165</v>
      </c>
      <c r="M179" s="3"/>
      <c r="N179" s="40">
        <f>J116</f>
        <v>279.92</v>
      </c>
      <c r="O179" s="119">
        <f t="shared" si="16"/>
        <v>15759.262240361399</v>
      </c>
      <c r="P179" s="50" t="s">
        <v>248</v>
      </c>
      <c r="Q179" s="4"/>
      <c r="R179" s="4"/>
      <c r="S179" s="3"/>
      <c r="T179" s="3"/>
      <c r="U179" s="4"/>
      <c r="V179" s="4"/>
      <c r="W179" s="3" t="s">
        <v>165</v>
      </c>
      <c r="X179" s="3"/>
      <c r="Y179" s="3"/>
      <c r="Z179" s="40">
        <f t="shared" si="17"/>
        <v>68</v>
      </c>
      <c r="AA179" s="119">
        <f t="shared" si="9"/>
        <v>3856.3736424900353</v>
      </c>
      <c r="AB179" s="50" t="s">
        <v>248</v>
      </c>
      <c r="AC179" s="50"/>
      <c r="AD179" s="50"/>
      <c r="AE179" s="50"/>
      <c r="AF179" s="50"/>
      <c r="AG179" s="50"/>
      <c r="AH179" s="50"/>
      <c r="AI179" s="4"/>
      <c r="AJ179" s="4"/>
      <c r="AK179" s="3"/>
      <c r="AL179" s="4"/>
      <c r="AM179" s="4"/>
      <c r="AO179" s="3" t="s">
        <v>165</v>
      </c>
      <c r="AP179" s="3"/>
      <c r="AQ179" s="40">
        <f t="shared" si="11"/>
        <v>347.92</v>
      </c>
      <c r="AR179" s="119">
        <f t="shared" si="12"/>
        <v>19615.635882851435</v>
      </c>
      <c r="AS179" s="50" t="s">
        <v>248</v>
      </c>
      <c r="AT179" s="4"/>
      <c r="AU179" s="4"/>
      <c r="AV179" s="3"/>
      <c r="AW179" s="4"/>
      <c r="AX179" s="4"/>
    </row>
    <row r="180" spans="1:50" ht="14" x14ac:dyDescent="0.2">
      <c r="A180" s="3" t="s">
        <v>418</v>
      </c>
      <c r="B180" s="3"/>
      <c r="C180" s="40"/>
      <c r="D180" s="119">
        <f t="shared" si="13"/>
        <v>0</v>
      </c>
      <c r="E180" s="50" t="s">
        <v>138</v>
      </c>
      <c r="F180" s="4"/>
      <c r="G180" s="4"/>
      <c r="H180" s="3"/>
      <c r="I180" s="4"/>
      <c r="J180" s="4"/>
      <c r="K180" s="4"/>
      <c r="L180" s="3" t="s">
        <v>418</v>
      </c>
      <c r="M180" s="3"/>
      <c r="N180" s="40"/>
      <c r="O180" s="119">
        <f t="shared" si="16"/>
        <v>0</v>
      </c>
      <c r="P180" s="50" t="s">
        <v>138</v>
      </c>
      <c r="Q180" s="4"/>
      <c r="R180" s="4"/>
      <c r="S180" s="3"/>
      <c r="T180" s="3"/>
      <c r="U180" s="4"/>
      <c r="V180" s="4"/>
      <c r="W180" s="3" t="s">
        <v>418</v>
      </c>
      <c r="X180" s="3"/>
      <c r="Y180" s="3"/>
      <c r="Z180" s="40">
        <f t="shared" si="17"/>
        <v>444.42</v>
      </c>
      <c r="AA180" s="119">
        <f t="shared" si="9"/>
        <v>25203.670208756201</v>
      </c>
      <c r="AB180" s="50" t="s">
        <v>138</v>
      </c>
      <c r="AC180" s="50"/>
      <c r="AD180" s="50"/>
      <c r="AE180" s="50"/>
      <c r="AF180" s="50"/>
      <c r="AG180" s="50"/>
      <c r="AH180" s="50"/>
      <c r="AI180" s="4"/>
      <c r="AJ180" s="4"/>
      <c r="AK180" s="3"/>
      <c r="AL180" s="4"/>
      <c r="AM180" s="4"/>
      <c r="AO180" s="3" t="s">
        <v>418</v>
      </c>
      <c r="AP180" s="3"/>
      <c r="AQ180" s="40">
        <f t="shared" si="11"/>
        <v>444.42</v>
      </c>
      <c r="AR180" s="119">
        <f t="shared" si="12"/>
        <v>25203.670208756201</v>
      </c>
      <c r="AS180" s="50" t="s">
        <v>138</v>
      </c>
      <c r="AT180" s="4"/>
      <c r="AU180" s="4"/>
      <c r="AV180" s="3"/>
      <c r="AW180" s="4"/>
      <c r="AX180" s="4"/>
    </row>
    <row r="181" spans="1:50" ht="14" x14ac:dyDescent="0.2">
      <c r="A181" s="3" t="s">
        <v>371</v>
      </c>
      <c r="B181" s="3" t="s">
        <v>141</v>
      </c>
      <c r="C181" s="40">
        <f>D118</f>
        <v>52.83</v>
      </c>
      <c r="D181" s="119">
        <f t="shared" si="13"/>
        <v>2975.0710334899804</v>
      </c>
      <c r="E181" s="50" t="s">
        <v>248</v>
      </c>
      <c r="F181" s="4"/>
      <c r="G181" s="4"/>
      <c r="H181" s="1"/>
      <c r="I181" s="4"/>
      <c r="J181" s="4"/>
      <c r="K181" s="4"/>
      <c r="L181" s="3" t="s">
        <v>371</v>
      </c>
      <c r="M181" s="3" t="s">
        <v>141</v>
      </c>
      <c r="N181" s="40">
        <f>J118</f>
        <v>327.84</v>
      </c>
      <c r="O181" s="119">
        <f t="shared" ref="O181:O195" si="18">(N181/$M$213)*$M$211</f>
        <v>18457.118222635323</v>
      </c>
      <c r="P181" s="50" t="s">
        <v>248</v>
      </c>
      <c r="Q181" s="4"/>
      <c r="R181" s="4"/>
      <c r="S181" s="1"/>
      <c r="T181" s="1"/>
      <c r="U181" s="4"/>
      <c r="V181" s="4"/>
      <c r="W181" s="3" t="s">
        <v>371</v>
      </c>
      <c r="X181" s="3" t="s">
        <v>141</v>
      </c>
      <c r="Y181" s="3"/>
      <c r="Z181" s="40">
        <f t="shared" si="17"/>
        <v>739.04</v>
      </c>
      <c r="AA181" s="119">
        <f t="shared" si="9"/>
        <v>41911.976128615221</v>
      </c>
      <c r="AB181" s="50" t="s">
        <v>248</v>
      </c>
      <c r="AC181" s="50"/>
      <c r="AD181" s="50"/>
      <c r="AE181" s="50"/>
      <c r="AF181" s="50"/>
      <c r="AG181" s="50"/>
      <c r="AH181" s="50"/>
      <c r="AI181" s="4"/>
      <c r="AJ181" s="4"/>
      <c r="AK181" s="1"/>
      <c r="AL181" s="4"/>
      <c r="AM181" s="4"/>
      <c r="AO181" s="3" t="s">
        <v>371</v>
      </c>
      <c r="AP181" s="3" t="s">
        <v>141</v>
      </c>
      <c r="AQ181" s="40">
        <f t="shared" si="11"/>
        <v>1119.71</v>
      </c>
      <c r="AR181" s="119">
        <f t="shared" si="12"/>
        <v>63344.165384740525</v>
      </c>
      <c r="AS181" s="50" t="s">
        <v>248</v>
      </c>
      <c r="AT181" s="4"/>
      <c r="AU181" s="4"/>
      <c r="AV181" s="1"/>
      <c r="AW181" s="4"/>
      <c r="AX181" s="4"/>
    </row>
    <row r="182" spans="1:50" ht="14" x14ac:dyDescent="0.2">
      <c r="A182" s="3" t="s">
        <v>17</v>
      </c>
      <c r="B182" s="3" t="s">
        <v>142</v>
      </c>
      <c r="C182" s="40">
        <f>D119</f>
        <v>45</v>
      </c>
      <c r="D182" s="119">
        <f t="shared" si="13"/>
        <v>2534.1320557836289</v>
      </c>
      <c r="E182" s="3" t="s">
        <v>230</v>
      </c>
      <c r="F182" s="4"/>
      <c r="G182" s="4"/>
      <c r="H182" s="1"/>
      <c r="I182" s="2"/>
      <c r="J182" s="4"/>
      <c r="K182" s="4"/>
      <c r="L182" s="3" t="s">
        <v>17</v>
      </c>
      <c r="M182" s="3" t="s">
        <v>142</v>
      </c>
      <c r="N182" s="40">
        <f>J119</f>
        <v>1.5</v>
      </c>
      <c r="O182" s="119">
        <f t="shared" si="18"/>
        <v>84.448747358324141</v>
      </c>
      <c r="P182" s="3" t="s">
        <v>230</v>
      </c>
      <c r="Q182" s="4"/>
      <c r="R182" s="4"/>
      <c r="S182" s="1"/>
      <c r="T182" s="1"/>
      <c r="U182" s="2"/>
      <c r="V182" s="2"/>
      <c r="W182" s="3" t="s">
        <v>17</v>
      </c>
      <c r="X182" s="3" t="s">
        <v>142</v>
      </c>
      <c r="Y182" s="3"/>
      <c r="Z182" s="40">
        <f t="shared" si="17"/>
        <v>0</v>
      </c>
      <c r="AA182" s="119">
        <f t="shared" si="9"/>
        <v>0</v>
      </c>
      <c r="AB182" s="3" t="s">
        <v>230</v>
      </c>
      <c r="AC182" s="3"/>
      <c r="AD182" s="3"/>
      <c r="AE182" s="3"/>
      <c r="AF182" s="3"/>
      <c r="AG182" s="3"/>
      <c r="AH182" s="3"/>
      <c r="AI182" s="4"/>
      <c r="AJ182" s="4"/>
      <c r="AK182" s="1"/>
      <c r="AL182" s="2"/>
      <c r="AM182" s="4"/>
      <c r="AO182" s="3" t="s">
        <v>17</v>
      </c>
      <c r="AP182" s="3" t="s">
        <v>142</v>
      </c>
      <c r="AQ182" s="40">
        <f t="shared" si="11"/>
        <v>46.5</v>
      </c>
      <c r="AR182" s="119">
        <f t="shared" si="12"/>
        <v>2618.5808031419529</v>
      </c>
      <c r="AS182" s="3" t="s">
        <v>230</v>
      </c>
      <c r="AT182" s="4"/>
      <c r="AU182" s="4"/>
      <c r="AV182" s="1"/>
      <c r="AW182" s="2"/>
      <c r="AX182" s="4"/>
    </row>
    <row r="183" spans="1:50" ht="14" x14ac:dyDescent="0.2">
      <c r="A183" s="3" t="s">
        <v>18</v>
      </c>
      <c r="B183" s="3" t="s">
        <v>143</v>
      </c>
      <c r="C183" s="40">
        <f>D120</f>
        <v>3307.59</v>
      </c>
      <c r="D183" s="119">
        <f t="shared" si="13"/>
        <v>186263.77436420831</v>
      </c>
      <c r="E183" s="3" t="s">
        <v>230</v>
      </c>
      <c r="F183" s="4"/>
      <c r="G183" s="4"/>
      <c r="H183" s="3"/>
      <c r="I183" s="3"/>
      <c r="J183" s="4"/>
      <c r="K183" s="4"/>
      <c r="L183" s="3" t="s">
        <v>18</v>
      </c>
      <c r="M183" s="3" t="s">
        <v>143</v>
      </c>
      <c r="N183" s="40">
        <f>J120</f>
        <v>8577.7699999999986</v>
      </c>
      <c r="O183" s="119">
        <f t="shared" si="18"/>
        <v>482921.28775187471</v>
      </c>
      <c r="P183" s="3" t="s">
        <v>230</v>
      </c>
      <c r="Q183" s="4"/>
      <c r="R183" s="4"/>
      <c r="S183" s="3"/>
      <c r="T183" s="3"/>
      <c r="U183" s="3"/>
      <c r="V183" s="3"/>
      <c r="W183" s="3" t="s">
        <v>18</v>
      </c>
      <c r="X183" s="3" t="s">
        <v>143</v>
      </c>
      <c r="Y183" s="3"/>
      <c r="Z183" s="40">
        <f t="shared" si="17"/>
        <v>5643.2300000000005</v>
      </c>
      <c r="AA183" s="119">
        <f t="shared" si="9"/>
        <v>320035.34456630942</v>
      </c>
      <c r="AB183" s="3" t="s">
        <v>230</v>
      </c>
      <c r="AC183" s="3"/>
      <c r="AD183" s="3"/>
      <c r="AE183" s="3"/>
      <c r="AF183" s="3"/>
      <c r="AG183" s="3"/>
      <c r="AH183" s="3"/>
      <c r="AI183" s="4"/>
      <c r="AJ183" s="4"/>
      <c r="AK183" s="3"/>
      <c r="AL183" s="3"/>
      <c r="AM183" s="4"/>
      <c r="AO183" s="3" t="s">
        <v>18</v>
      </c>
      <c r="AP183" s="3" t="s">
        <v>143</v>
      </c>
      <c r="AQ183" s="40">
        <f t="shared" si="11"/>
        <v>17528.59</v>
      </c>
      <c r="AR183" s="119">
        <f t="shared" si="12"/>
        <v>989220.40668239235</v>
      </c>
      <c r="AS183" s="3" t="s">
        <v>230</v>
      </c>
      <c r="AT183" s="4"/>
      <c r="AU183" s="4"/>
      <c r="AV183" s="3"/>
      <c r="AW183" s="3"/>
      <c r="AX183" s="4"/>
    </row>
    <row r="184" spans="1:50" ht="14" x14ac:dyDescent="0.2">
      <c r="A184" s="3" t="s">
        <v>19</v>
      </c>
      <c r="B184" s="3" t="s">
        <v>144</v>
      </c>
      <c r="C184" s="40">
        <f>D121</f>
        <v>3187.1799999999994</v>
      </c>
      <c r="D184" s="119">
        <f t="shared" si="13"/>
        <v>179483.0001233881</v>
      </c>
      <c r="E184" s="3" t="s">
        <v>230</v>
      </c>
      <c r="F184" s="4"/>
      <c r="G184" s="4"/>
      <c r="H184" s="3"/>
      <c r="I184" s="3"/>
      <c r="J184" s="4"/>
      <c r="K184" s="4"/>
      <c r="L184" s="3" t="s">
        <v>19</v>
      </c>
      <c r="M184" s="3" t="s">
        <v>144</v>
      </c>
      <c r="N184" s="40">
        <f>J121</f>
        <v>5271.2599999999993</v>
      </c>
      <c r="O184" s="119">
        <f t="shared" si="18"/>
        <v>296767.53600002645</v>
      </c>
      <c r="P184" s="3" t="s">
        <v>230</v>
      </c>
      <c r="Q184" s="4"/>
      <c r="R184" s="4"/>
      <c r="S184" s="3"/>
      <c r="T184" s="3"/>
      <c r="U184" s="3"/>
      <c r="V184" s="3"/>
      <c r="W184" s="3" t="s">
        <v>19</v>
      </c>
      <c r="X184" s="3" t="s">
        <v>144</v>
      </c>
      <c r="Y184" s="3"/>
      <c r="Z184" s="40">
        <f t="shared" si="17"/>
        <v>3564.06</v>
      </c>
      <c r="AA184" s="119">
        <f t="shared" si="9"/>
        <v>202122.75065077993</v>
      </c>
      <c r="AB184" s="3" t="s">
        <v>230</v>
      </c>
      <c r="AC184" s="3"/>
      <c r="AD184" s="3"/>
      <c r="AE184" s="3"/>
      <c r="AF184" s="3"/>
      <c r="AG184" s="3"/>
      <c r="AH184" s="3"/>
      <c r="AI184" s="4"/>
      <c r="AJ184" s="4"/>
      <c r="AK184" s="3"/>
      <c r="AL184" s="3"/>
      <c r="AM184" s="4"/>
      <c r="AO184" s="3" t="s">
        <v>19</v>
      </c>
      <c r="AP184" s="3" t="s">
        <v>144</v>
      </c>
      <c r="AQ184" s="40">
        <f t="shared" si="11"/>
        <v>12022.499999999998</v>
      </c>
      <c r="AR184" s="119">
        <f t="shared" si="12"/>
        <v>678373.28677419445</v>
      </c>
      <c r="AS184" s="3" t="s">
        <v>230</v>
      </c>
      <c r="AT184" s="4"/>
      <c r="AU184" s="4"/>
      <c r="AV184" s="3"/>
      <c r="AW184" s="3"/>
      <c r="AX184" s="4"/>
    </row>
    <row r="185" spans="1:50" ht="14" x14ac:dyDescent="0.2">
      <c r="A185" s="3" t="s">
        <v>422</v>
      </c>
      <c r="B185" s="3"/>
      <c r="C185" s="40"/>
      <c r="D185" s="119">
        <f t="shared" si="13"/>
        <v>0</v>
      </c>
      <c r="E185" s="3" t="s">
        <v>230</v>
      </c>
      <c r="F185" s="4"/>
      <c r="G185" s="4"/>
      <c r="H185" s="3"/>
      <c r="I185" s="3"/>
      <c r="J185" s="4"/>
      <c r="K185" s="4"/>
      <c r="L185" s="3" t="s">
        <v>422</v>
      </c>
      <c r="M185" s="3"/>
      <c r="N185" s="40"/>
      <c r="O185" s="119">
        <f t="shared" si="18"/>
        <v>0</v>
      </c>
      <c r="P185" s="3" t="s">
        <v>230</v>
      </c>
      <c r="Q185" s="4"/>
      <c r="R185" s="4"/>
      <c r="S185" s="3"/>
      <c r="T185" s="3"/>
      <c r="U185" s="3"/>
      <c r="V185" s="3"/>
      <c r="W185" s="3" t="s">
        <v>422</v>
      </c>
      <c r="X185" s="3"/>
      <c r="Y185" s="3"/>
      <c r="Z185" s="40">
        <f t="shared" si="17"/>
        <v>0</v>
      </c>
      <c r="AA185" s="119">
        <f t="shared" si="9"/>
        <v>0</v>
      </c>
      <c r="AB185" s="3" t="s">
        <v>230</v>
      </c>
      <c r="AC185" s="3"/>
      <c r="AD185" s="3"/>
      <c r="AE185" s="3"/>
      <c r="AF185" s="3"/>
      <c r="AG185" s="3"/>
      <c r="AH185" s="3"/>
      <c r="AI185" s="4"/>
      <c r="AJ185" s="4"/>
      <c r="AK185" s="3"/>
      <c r="AL185" s="3"/>
      <c r="AM185" s="4"/>
      <c r="AO185" s="3" t="s">
        <v>422</v>
      </c>
      <c r="AP185" s="3"/>
      <c r="AQ185" s="40">
        <f t="shared" si="11"/>
        <v>0</v>
      </c>
      <c r="AR185" s="119">
        <f t="shared" si="12"/>
        <v>0</v>
      </c>
      <c r="AS185" s="3"/>
      <c r="AT185" s="4"/>
      <c r="AU185" s="4"/>
      <c r="AV185" s="3"/>
      <c r="AW185" s="3"/>
      <c r="AX185" s="4"/>
    </row>
    <row r="186" spans="1:50" ht="14" x14ac:dyDescent="0.2">
      <c r="A186" s="3" t="s">
        <v>187</v>
      </c>
      <c r="B186" s="3"/>
      <c r="C186" s="40">
        <f t="shared" ref="C186:C193" si="19">D123</f>
        <v>0</v>
      </c>
      <c r="D186" s="119">
        <f t="shared" ref="D186:D193" si="20">(C186/$B$213)*$B$211</f>
        <v>0</v>
      </c>
      <c r="E186" s="3" t="s">
        <v>251</v>
      </c>
      <c r="F186" s="4"/>
      <c r="G186" s="4"/>
      <c r="H186" s="4"/>
      <c r="I186" s="4"/>
      <c r="J186" s="4"/>
      <c r="K186" s="4"/>
      <c r="L186" s="3" t="s">
        <v>187</v>
      </c>
      <c r="M186" s="3"/>
      <c r="N186" s="40">
        <f t="shared" ref="N186:N193" si="21">J123</f>
        <v>35.6</v>
      </c>
      <c r="O186" s="119">
        <f t="shared" si="18"/>
        <v>2004.2502706375599</v>
      </c>
      <c r="P186" s="3" t="s">
        <v>251</v>
      </c>
      <c r="Q186" s="4"/>
      <c r="R186" s="4"/>
      <c r="S186" s="4"/>
      <c r="T186" s="4"/>
      <c r="U186" s="4"/>
      <c r="V186" s="4"/>
      <c r="W186" s="3" t="s">
        <v>187</v>
      </c>
      <c r="X186" s="3"/>
      <c r="Y186" s="3"/>
      <c r="Z186" s="40">
        <f t="shared" si="17"/>
        <v>88.16</v>
      </c>
      <c r="AA186" s="119">
        <f t="shared" si="9"/>
        <v>4999.6750047341393</v>
      </c>
      <c r="AB186" s="3" t="s">
        <v>251</v>
      </c>
      <c r="AC186" s="3"/>
      <c r="AD186" s="3"/>
      <c r="AE186" s="3"/>
      <c r="AF186" s="3"/>
      <c r="AG186" s="3"/>
      <c r="AH186" s="3"/>
      <c r="AI186" s="4"/>
      <c r="AJ186" s="4"/>
      <c r="AK186" s="4"/>
      <c r="AL186" s="4"/>
      <c r="AM186" s="4"/>
      <c r="AO186" s="3" t="s">
        <v>187</v>
      </c>
      <c r="AP186" s="3"/>
      <c r="AQ186" s="40">
        <f t="shared" si="11"/>
        <v>123.75999999999999</v>
      </c>
      <c r="AR186" s="119">
        <f t="shared" si="12"/>
        <v>7003.9252753716992</v>
      </c>
      <c r="AS186" s="3" t="s">
        <v>251</v>
      </c>
      <c r="AT186" s="4"/>
      <c r="AU186" s="4"/>
      <c r="AV186" s="4"/>
      <c r="AW186" s="4"/>
      <c r="AX186" s="4"/>
    </row>
    <row r="187" spans="1:50" ht="14" x14ac:dyDescent="0.2">
      <c r="A187" s="3" t="s">
        <v>288</v>
      </c>
      <c r="B187" s="3"/>
      <c r="C187" s="40">
        <f t="shared" si="19"/>
        <v>0</v>
      </c>
      <c r="D187" s="119">
        <f t="shared" si="20"/>
        <v>0</v>
      </c>
      <c r="E187" s="50" t="s">
        <v>248</v>
      </c>
      <c r="F187" s="4"/>
      <c r="G187" s="4"/>
      <c r="H187" s="4"/>
      <c r="I187" s="4"/>
      <c r="J187" s="4"/>
      <c r="K187" s="4"/>
      <c r="L187" s="3" t="s">
        <v>288</v>
      </c>
      <c r="M187" s="3"/>
      <c r="N187" s="40">
        <f t="shared" si="21"/>
        <v>0.25</v>
      </c>
      <c r="O187" s="119">
        <f t="shared" si="18"/>
        <v>14.074791226387358</v>
      </c>
      <c r="P187" s="50" t="s">
        <v>248</v>
      </c>
      <c r="Q187" s="4"/>
      <c r="R187" s="4"/>
      <c r="S187" s="4"/>
      <c r="T187" s="4"/>
      <c r="U187" s="4"/>
      <c r="V187" s="4"/>
      <c r="W187" s="3" t="s">
        <v>288</v>
      </c>
      <c r="X187" s="3"/>
      <c r="Y187" s="3"/>
      <c r="Z187" s="40">
        <f t="shared" si="17"/>
        <v>147.25</v>
      </c>
      <c r="AA187" s="119">
        <f t="shared" si="9"/>
        <v>8350.7502773037886</v>
      </c>
      <c r="AB187" s="50" t="s">
        <v>248</v>
      </c>
      <c r="AC187" s="50"/>
      <c r="AD187" s="50"/>
      <c r="AE187" s="50"/>
      <c r="AF187" s="50"/>
      <c r="AG187" s="50"/>
      <c r="AH187" s="50"/>
      <c r="AI187" s="4"/>
      <c r="AJ187" s="4"/>
      <c r="AK187" s="4"/>
      <c r="AL187" s="4"/>
      <c r="AM187" s="4"/>
      <c r="AO187" s="3" t="s">
        <v>288</v>
      </c>
      <c r="AP187" s="3"/>
      <c r="AQ187" s="40">
        <f t="shared" si="11"/>
        <v>147.5</v>
      </c>
      <c r="AR187" s="119">
        <f t="shared" si="12"/>
        <v>8364.8250685301755</v>
      </c>
      <c r="AS187" s="50" t="s">
        <v>248</v>
      </c>
      <c r="AT187" s="4"/>
      <c r="AU187" s="4"/>
      <c r="AV187" s="4"/>
      <c r="AW187" s="4"/>
      <c r="AX187" s="4"/>
    </row>
    <row r="188" spans="1:50" ht="14" x14ac:dyDescent="0.2">
      <c r="A188" s="3" t="s">
        <v>184</v>
      </c>
      <c r="B188" s="3"/>
      <c r="C188" s="40">
        <f t="shared" si="19"/>
        <v>0</v>
      </c>
      <c r="D188" s="119">
        <f t="shared" si="20"/>
        <v>0</v>
      </c>
      <c r="E188" s="3" t="s">
        <v>251</v>
      </c>
      <c r="F188" s="4"/>
      <c r="G188" s="4"/>
      <c r="H188" s="4"/>
      <c r="I188" s="4"/>
      <c r="J188" s="4"/>
      <c r="K188" s="4"/>
      <c r="L188" s="3" t="s">
        <v>184</v>
      </c>
      <c r="M188" s="3"/>
      <c r="N188" s="40">
        <f t="shared" si="21"/>
        <v>89.67</v>
      </c>
      <c r="O188" s="119">
        <f t="shared" si="18"/>
        <v>5048.3461170806177</v>
      </c>
      <c r="P188" s="3" t="s">
        <v>251</v>
      </c>
      <c r="Q188" s="4"/>
      <c r="R188" s="4"/>
      <c r="S188" s="4"/>
      <c r="T188" s="4"/>
      <c r="U188" s="4"/>
      <c r="V188" s="4"/>
      <c r="W188" s="3" t="s">
        <v>184</v>
      </c>
      <c r="X188" s="3"/>
      <c r="Y188" s="3"/>
      <c r="Z188" s="40">
        <f t="shared" si="17"/>
        <v>0</v>
      </c>
      <c r="AA188" s="119">
        <f t="shared" si="9"/>
        <v>0</v>
      </c>
      <c r="AB188" s="3" t="s">
        <v>251</v>
      </c>
      <c r="AC188" s="3"/>
      <c r="AD188" s="3"/>
      <c r="AE188" s="3"/>
      <c r="AF188" s="3"/>
      <c r="AG188" s="3"/>
      <c r="AH188" s="3"/>
      <c r="AI188" s="4"/>
      <c r="AJ188" s="4"/>
      <c r="AK188" s="4"/>
      <c r="AL188" s="4"/>
      <c r="AM188" s="4"/>
      <c r="AO188" s="3" t="s">
        <v>184</v>
      </c>
      <c r="AP188" s="3"/>
      <c r="AQ188" s="40">
        <f t="shared" si="11"/>
        <v>89.67</v>
      </c>
      <c r="AR188" s="119">
        <f t="shared" si="12"/>
        <v>5048.3461170806177</v>
      </c>
      <c r="AS188" s="3" t="s">
        <v>251</v>
      </c>
      <c r="AT188" s="4"/>
      <c r="AU188" s="4"/>
      <c r="AV188" s="4"/>
      <c r="AW188" s="4"/>
      <c r="AX188" s="4"/>
    </row>
    <row r="189" spans="1:50" ht="14" x14ac:dyDescent="0.2">
      <c r="A189" s="3" t="s">
        <v>157</v>
      </c>
      <c r="B189" s="3" t="s">
        <v>159</v>
      </c>
      <c r="C189" s="40">
        <f t="shared" si="19"/>
        <v>0</v>
      </c>
      <c r="D189" s="119">
        <f t="shared" si="20"/>
        <v>0</v>
      </c>
      <c r="E189" s="50" t="s">
        <v>248</v>
      </c>
      <c r="F189" s="4"/>
      <c r="G189" s="4"/>
      <c r="H189" s="4"/>
      <c r="I189" s="4"/>
      <c r="J189" s="4"/>
      <c r="K189" s="4"/>
      <c r="L189" s="3" t="s">
        <v>157</v>
      </c>
      <c r="M189" s="3" t="s">
        <v>159</v>
      </c>
      <c r="N189" s="40">
        <f t="shared" si="21"/>
        <v>35.92</v>
      </c>
      <c r="O189" s="119">
        <f t="shared" si="18"/>
        <v>2022.2660034073356</v>
      </c>
      <c r="P189" s="50" t="s">
        <v>248</v>
      </c>
      <c r="Q189" s="4"/>
      <c r="R189" s="4"/>
      <c r="S189" s="4"/>
      <c r="T189" s="4"/>
      <c r="U189" s="4"/>
      <c r="V189" s="4"/>
      <c r="W189" s="3" t="s">
        <v>157</v>
      </c>
      <c r="X189" s="3" t="s">
        <v>159</v>
      </c>
      <c r="Y189" s="3"/>
      <c r="Z189" s="40">
        <f t="shared" si="17"/>
        <v>0</v>
      </c>
      <c r="AA189" s="119">
        <f t="shared" si="9"/>
        <v>0</v>
      </c>
      <c r="AB189" s="50" t="s">
        <v>248</v>
      </c>
      <c r="AC189" s="50"/>
      <c r="AD189" s="50"/>
      <c r="AE189" s="50"/>
      <c r="AF189" s="50"/>
      <c r="AG189" s="50"/>
      <c r="AH189" s="50"/>
      <c r="AI189" s="4"/>
      <c r="AJ189" s="4"/>
      <c r="AK189" s="4"/>
      <c r="AL189" s="4"/>
      <c r="AM189" s="4"/>
      <c r="AO189" s="3" t="s">
        <v>157</v>
      </c>
      <c r="AP189" s="3" t="s">
        <v>159</v>
      </c>
      <c r="AQ189" s="40">
        <f t="shared" si="11"/>
        <v>35.92</v>
      </c>
      <c r="AR189" s="119">
        <f t="shared" si="12"/>
        <v>2022.2660034073356</v>
      </c>
      <c r="AS189" s="50" t="s">
        <v>248</v>
      </c>
      <c r="AT189" s="4"/>
      <c r="AU189" s="4"/>
      <c r="AV189" s="4"/>
      <c r="AW189" s="4"/>
      <c r="AX189" s="4"/>
    </row>
    <row r="190" spans="1:50" ht="14" x14ac:dyDescent="0.2">
      <c r="A190" s="3" t="s">
        <v>158</v>
      </c>
      <c r="B190" s="3" t="s">
        <v>160</v>
      </c>
      <c r="C190" s="40">
        <f t="shared" si="19"/>
        <v>0</v>
      </c>
      <c r="D190" s="119">
        <f t="shared" si="20"/>
        <v>0</v>
      </c>
      <c r="E190" s="3" t="s">
        <v>230</v>
      </c>
      <c r="F190" s="4"/>
      <c r="G190" s="4"/>
      <c r="H190" s="4"/>
      <c r="I190" s="4"/>
      <c r="J190" s="4"/>
      <c r="K190" s="4"/>
      <c r="L190" s="3" t="s">
        <v>158</v>
      </c>
      <c r="M190" s="3" t="s">
        <v>160</v>
      </c>
      <c r="N190" s="40">
        <f t="shared" si="21"/>
        <v>116.34</v>
      </c>
      <c r="O190" s="119">
        <f t="shared" si="18"/>
        <v>6549.844845111621</v>
      </c>
      <c r="P190" s="3" t="s">
        <v>230</v>
      </c>
      <c r="Q190" s="4"/>
      <c r="R190" s="4"/>
      <c r="S190" s="4"/>
      <c r="T190" s="4"/>
      <c r="U190" s="4"/>
      <c r="V190" s="4"/>
      <c r="W190" s="3" t="s">
        <v>158</v>
      </c>
      <c r="X190" s="3" t="s">
        <v>160</v>
      </c>
      <c r="Y190" s="3"/>
      <c r="Z190" s="40">
        <f t="shared" si="17"/>
        <v>0</v>
      </c>
      <c r="AA190" s="119">
        <f t="shared" si="9"/>
        <v>0</v>
      </c>
      <c r="AB190" s="3" t="s">
        <v>230</v>
      </c>
      <c r="AC190" s="3"/>
      <c r="AD190" s="3"/>
      <c r="AE190" s="3"/>
      <c r="AF190" s="3"/>
      <c r="AG190" s="3"/>
      <c r="AH190" s="3"/>
      <c r="AI190" s="4"/>
      <c r="AJ190" s="4"/>
      <c r="AK190" s="4"/>
      <c r="AL190" s="4"/>
      <c r="AM190" s="4"/>
      <c r="AO190" s="3" t="s">
        <v>158</v>
      </c>
      <c r="AP190" s="3" t="s">
        <v>160</v>
      </c>
      <c r="AQ190" s="40">
        <f t="shared" si="11"/>
        <v>116.34</v>
      </c>
      <c r="AR190" s="119">
        <f t="shared" si="12"/>
        <v>6549.844845111621</v>
      </c>
      <c r="AS190" s="3" t="s">
        <v>230</v>
      </c>
      <c r="AT190" s="4"/>
      <c r="AU190" s="4"/>
      <c r="AV190" s="4"/>
      <c r="AW190" s="4"/>
      <c r="AX190" s="4"/>
    </row>
    <row r="191" spans="1:50" ht="14" x14ac:dyDescent="0.2">
      <c r="A191" s="3" t="s">
        <v>115</v>
      </c>
      <c r="B191" s="3" t="s">
        <v>145</v>
      </c>
      <c r="C191" s="40">
        <f t="shared" si="19"/>
        <v>27.25</v>
      </c>
      <c r="D191" s="119">
        <f t="shared" si="20"/>
        <v>1534.5577448911977</v>
      </c>
      <c r="E191" s="3" t="s">
        <v>230</v>
      </c>
      <c r="F191" s="4"/>
      <c r="G191" s="4"/>
      <c r="H191" s="4"/>
      <c r="I191" s="4"/>
      <c r="J191" s="4"/>
      <c r="K191" s="4"/>
      <c r="L191" s="3" t="s">
        <v>115</v>
      </c>
      <c r="M191" s="3" t="s">
        <v>145</v>
      </c>
      <c r="N191" s="40">
        <f t="shared" si="21"/>
        <v>134.67000000000002</v>
      </c>
      <c r="O191" s="119">
        <f t="shared" si="18"/>
        <v>7581.8085378303431</v>
      </c>
      <c r="P191" s="3" t="s">
        <v>230</v>
      </c>
      <c r="Q191" s="4"/>
      <c r="R191" s="4"/>
      <c r="S191" s="4"/>
      <c r="T191" s="4"/>
      <c r="U191" s="4"/>
      <c r="V191" s="4"/>
      <c r="W191" s="3" t="s">
        <v>115</v>
      </c>
      <c r="X191" s="3" t="s">
        <v>145</v>
      </c>
      <c r="Y191" s="3"/>
      <c r="Z191" s="40">
        <f t="shared" si="17"/>
        <v>0</v>
      </c>
      <c r="AA191" s="119">
        <f t="shared" si="9"/>
        <v>0</v>
      </c>
      <c r="AB191" s="3" t="s">
        <v>230</v>
      </c>
      <c r="AC191" s="3"/>
      <c r="AD191" s="3"/>
      <c r="AE191" s="3"/>
      <c r="AF191" s="3"/>
      <c r="AG191" s="3"/>
      <c r="AH191" s="3"/>
      <c r="AI191" s="4"/>
      <c r="AJ191" s="4"/>
      <c r="AK191" s="4"/>
      <c r="AL191" s="4"/>
      <c r="AM191" s="4"/>
      <c r="AO191" s="3" t="s">
        <v>115</v>
      </c>
      <c r="AP191" s="3" t="s">
        <v>145</v>
      </c>
      <c r="AQ191" s="40">
        <f t="shared" si="11"/>
        <v>161.92000000000002</v>
      </c>
      <c r="AR191" s="119">
        <f t="shared" si="12"/>
        <v>9116.3662827215412</v>
      </c>
      <c r="AS191" s="3" t="s">
        <v>230</v>
      </c>
      <c r="AT191" s="4"/>
      <c r="AU191" s="4"/>
      <c r="AV191" s="4"/>
      <c r="AW191" s="4"/>
      <c r="AX191" s="4"/>
    </row>
    <row r="192" spans="1:50" ht="14" x14ac:dyDescent="0.2">
      <c r="A192" s="3" t="s">
        <v>128</v>
      </c>
      <c r="B192" s="3" t="s">
        <v>146</v>
      </c>
      <c r="C192" s="40">
        <f t="shared" si="19"/>
        <v>682.12</v>
      </c>
      <c r="D192" s="119">
        <f t="shared" si="20"/>
        <v>38412.93684202509</v>
      </c>
      <c r="E192" s="3" t="s">
        <v>230</v>
      </c>
      <c r="F192" s="4"/>
      <c r="G192" s="4"/>
      <c r="H192" s="4"/>
      <c r="I192" s="4"/>
      <c r="J192" s="4"/>
      <c r="K192" s="4"/>
      <c r="L192" s="3" t="s">
        <v>128</v>
      </c>
      <c r="M192" s="3" t="s">
        <v>146</v>
      </c>
      <c r="N192" s="40">
        <f t="shared" si="21"/>
        <v>1825.52</v>
      </c>
      <c r="O192" s="119">
        <f t="shared" si="18"/>
        <v>102775.2515183786</v>
      </c>
      <c r="P192" s="3" t="s">
        <v>230</v>
      </c>
      <c r="Q192" s="4"/>
      <c r="R192" s="4"/>
      <c r="S192" s="4"/>
      <c r="T192" s="4"/>
      <c r="U192" s="4"/>
      <c r="V192" s="4"/>
      <c r="W192" s="3" t="s">
        <v>128</v>
      </c>
      <c r="X192" s="3" t="s">
        <v>146</v>
      </c>
      <c r="Y192" s="3"/>
      <c r="Z192" s="40">
        <f t="shared" si="17"/>
        <v>1946.55</v>
      </c>
      <c r="AA192" s="119">
        <f t="shared" si="9"/>
        <v>110391.53108513202</v>
      </c>
      <c r="AB192" s="3" t="s">
        <v>230</v>
      </c>
      <c r="AC192" s="3"/>
      <c r="AD192" s="3"/>
      <c r="AE192" s="3"/>
      <c r="AF192" s="3"/>
      <c r="AG192" s="3"/>
      <c r="AH192" s="3"/>
      <c r="AI192" s="4"/>
      <c r="AJ192" s="4"/>
      <c r="AK192" s="4"/>
      <c r="AL192" s="4"/>
      <c r="AM192" s="4"/>
      <c r="AO192" s="3" t="s">
        <v>128</v>
      </c>
      <c r="AP192" s="3" t="s">
        <v>146</v>
      </c>
      <c r="AQ192" s="40">
        <f t="shared" si="11"/>
        <v>4454.1899999999996</v>
      </c>
      <c r="AR192" s="119">
        <f t="shared" si="12"/>
        <v>251579.71944553574</v>
      </c>
      <c r="AS192" s="3" t="s">
        <v>230</v>
      </c>
      <c r="AT192" s="4"/>
      <c r="AU192" s="4"/>
      <c r="AV192" s="4"/>
      <c r="AW192" s="4"/>
      <c r="AX192" s="4"/>
    </row>
    <row r="193" spans="1:50" ht="15" x14ac:dyDescent="0.2">
      <c r="A193" s="3" t="s">
        <v>20</v>
      </c>
      <c r="B193" s="36" t="s">
        <v>147</v>
      </c>
      <c r="C193" s="40">
        <f t="shared" si="19"/>
        <v>0</v>
      </c>
      <c r="D193" s="119">
        <f t="shared" si="20"/>
        <v>0</v>
      </c>
      <c r="E193" s="3" t="s">
        <v>251</v>
      </c>
      <c r="F193" s="4"/>
      <c r="G193" s="4"/>
      <c r="H193" s="4"/>
      <c r="I193" s="4"/>
      <c r="J193" s="4"/>
      <c r="K193" s="4"/>
      <c r="L193" s="3" t="s">
        <v>20</v>
      </c>
      <c r="M193" s="36" t="s">
        <v>147</v>
      </c>
      <c r="N193" s="40">
        <f t="shared" si="21"/>
        <v>0</v>
      </c>
      <c r="O193" s="119">
        <f t="shared" si="18"/>
        <v>0</v>
      </c>
      <c r="P193" s="3" t="s">
        <v>251</v>
      </c>
      <c r="Q193" s="4"/>
      <c r="R193" s="4"/>
      <c r="S193" s="4"/>
      <c r="T193" s="4"/>
      <c r="U193" s="4"/>
      <c r="V193" s="4"/>
      <c r="W193" s="3" t="s">
        <v>20</v>
      </c>
      <c r="X193" s="36" t="s">
        <v>147</v>
      </c>
      <c r="Y193" s="36"/>
      <c r="Z193" s="40">
        <f t="shared" si="17"/>
        <v>0</v>
      </c>
      <c r="AA193" s="119">
        <f t="shared" si="9"/>
        <v>0</v>
      </c>
      <c r="AB193" s="3" t="s">
        <v>251</v>
      </c>
      <c r="AC193" s="3"/>
      <c r="AD193" s="3"/>
      <c r="AE193" s="3"/>
      <c r="AF193" s="3"/>
      <c r="AG193" s="3"/>
      <c r="AH193" s="3"/>
      <c r="AI193" s="4"/>
      <c r="AJ193" s="4"/>
      <c r="AK193" s="4"/>
      <c r="AL193" s="4"/>
      <c r="AM193" s="4"/>
      <c r="AO193" s="3" t="s">
        <v>20</v>
      </c>
      <c r="AP193" s="36" t="s">
        <v>147</v>
      </c>
      <c r="AQ193" s="40">
        <f t="shared" si="11"/>
        <v>0</v>
      </c>
      <c r="AR193" s="119">
        <f t="shared" si="12"/>
        <v>0</v>
      </c>
      <c r="AS193" s="3" t="s">
        <v>251</v>
      </c>
      <c r="AT193" s="4"/>
      <c r="AU193" s="4"/>
      <c r="AV193" s="4"/>
      <c r="AW193" s="4"/>
      <c r="AX193" s="4"/>
    </row>
    <row r="194" spans="1:50" ht="14" x14ac:dyDescent="0.2">
      <c r="A194" s="3" t="s">
        <v>420</v>
      </c>
      <c r="B194" s="36"/>
      <c r="C194" s="40"/>
      <c r="D194" s="119"/>
      <c r="E194" s="3" t="s">
        <v>251</v>
      </c>
      <c r="F194" s="4"/>
      <c r="G194" s="4"/>
      <c r="H194" s="4"/>
      <c r="I194" s="4"/>
      <c r="J194" s="4"/>
      <c r="K194" s="4"/>
      <c r="L194" s="3" t="s">
        <v>420</v>
      </c>
      <c r="M194" s="36"/>
      <c r="N194" s="40"/>
      <c r="O194" s="119">
        <f t="shared" si="18"/>
        <v>0</v>
      </c>
      <c r="P194" s="3" t="s">
        <v>251</v>
      </c>
      <c r="Q194" s="4"/>
      <c r="R194" s="4"/>
      <c r="S194" s="4"/>
      <c r="T194" s="4"/>
      <c r="U194" s="4"/>
      <c r="V194" s="4"/>
      <c r="W194" s="3" t="s">
        <v>420</v>
      </c>
      <c r="X194" s="36"/>
      <c r="Y194" s="36"/>
      <c r="Z194" s="40">
        <f t="shared" si="17"/>
        <v>8.5</v>
      </c>
      <c r="AA194" s="119">
        <f t="shared" si="9"/>
        <v>482.04670531125441</v>
      </c>
      <c r="AB194" s="3" t="s">
        <v>251</v>
      </c>
      <c r="AC194" s="3"/>
      <c r="AD194" s="3"/>
      <c r="AE194" s="3"/>
      <c r="AF194" s="3"/>
      <c r="AG194" s="3"/>
      <c r="AH194" s="3"/>
      <c r="AI194" s="4"/>
      <c r="AJ194" s="4"/>
      <c r="AK194" s="4"/>
      <c r="AL194" s="4"/>
      <c r="AM194" s="4"/>
      <c r="AO194" s="3" t="s">
        <v>423</v>
      </c>
      <c r="AP194" s="36"/>
      <c r="AQ194" s="40">
        <f t="shared" si="11"/>
        <v>8.5</v>
      </c>
      <c r="AR194" s="119">
        <f t="shared" si="12"/>
        <v>482.04670531125441</v>
      </c>
      <c r="AS194" s="3" t="s">
        <v>251</v>
      </c>
      <c r="AT194" s="4"/>
      <c r="AU194" s="4"/>
      <c r="AV194" s="4"/>
      <c r="AW194" s="4"/>
      <c r="AX194" s="4"/>
    </row>
    <row r="195" spans="1:50" ht="14" x14ac:dyDescent="0.2">
      <c r="A195" s="3" t="s">
        <v>21</v>
      </c>
      <c r="B195" s="3" t="s">
        <v>148</v>
      </c>
      <c r="C195" s="40">
        <f>D132</f>
        <v>473.49</v>
      </c>
      <c r="D195" s="119">
        <f>(C195/$B$213)*$B$211</f>
        <v>26664.137490955341</v>
      </c>
      <c r="E195" s="3" t="s">
        <v>229</v>
      </c>
      <c r="F195" s="4"/>
      <c r="G195" s="4"/>
      <c r="H195" s="4"/>
      <c r="I195" s="4"/>
      <c r="J195" s="4"/>
      <c r="K195" s="4"/>
      <c r="L195" s="3" t="s">
        <v>21</v>
      </c>
      <c r="M195" s="3" t="s">
        <v>148</v>
      </c>
      <c r="N195" s="40">
        <f>J132</f>
        <v>1409.11</v>
      </c>
      <c r="O195" s="119">
        <f t="shared" si="18"/>
        <v>79331.716260058762</v>
      </c>
      <c r="P195" s="3" t="s">
        <v>229</v>
      </c>
      <c r="Q195" s="4"/>
      <c r="R195" s="4"/>
      <c r="S195" s="4"/>
      <c r="T195" s="4"/>
      <c r="U195" s="4"/>
      <c r="V195" s="4"/>
      <c r="W195" s="3" t="s">
        <v>21</v>
      </c>
      <c r="X195" s="3" t="s">
        <v>148</v>
      </c>
      <c r="Y195" s="3"/>
      <c r="Z195" s="40">
        <f t="shared" si="17"/>
        <v>1100.5400000000002</v>
      </c>
      <c r="AA195" s="119">
        <f t="shared" si="9"/>
        <v>62413.138948617408</v>
      </c>
      <c r="AB195" s="3" t="s">
        <v>229</v>
      </c>
      <c r="AC195" s="3"/>
      <c r="AD195" s="3"/>
      <c r="AE195" s="3"/>
      <c r="AF195" s="3"/>
      <c r="AG195" s="3"/>
      <c r="AH195" s="3"/>
      <c r="AI195" s="4"/>
      <c r="AJ195" s="4"/>
      <c r="AK195" s="4"/>
      <c r="AL195" s="4"/>
      <c r="AM195" s="4"/>
      <c r="AO195" s="3" t="s">
        <v>21</v>
      </c>
      <c r="AP195" s="3" t="s">
        <v>148</v>
      </c>
      <c r="AQ195" s="40">
        <f t="shared" si="11"/>
        <v>2983.1400000000003</v>
      </c>
      <c r="AR195" s="119">
        <f t="shared" si="12"/>
        <v>168408.99269963152</v>
      </c>
      <c r="AS195" s="3" t="s">
        <v>229</v>
      </c>
      <c r="AT195" s="4"/>
      <c r="AU195" s="4"/>
      <c r="AV195" s="4"/>
      <c r="AW195" s="4"/>
      <c r="AX195" s="4"/>
    </row>
    <row r="196" spans="1:50" ht="14" x14ac:dyDescent="0.2">
      <c r="A196" s="3"/>
      <c r="B196" s="3"/>
      <c r="C196" s="79">
        <f>SUM(C156:C195)</f>
        <v>21590.010000000002</v>
      </c>
      <c r="D196" s="120">
        <f>SUM(D156:D195)</f>
        <v>1215820.809459758</v>
      </c>
      <c r="E196" s="3"/>
      <c r="F196" s="4"/>
      <c r="G196" s="4"/>
      <c r="H196" s="4"/>
      <c r="I196" s="4"/>
      <c r="J196" s="4"/>
      <c r="K196" s="4"/>
      <c r="L196" s="3"/>
      <c r="M196" s="3"/>
      <c r="N196" s="79">
        <f>SUM(N156:N195)</f>
        <v>47069.549999999988</v>
      </c>
      <c r="O196" s="120">
        <f>SUM(O156:O195)</f>
        <v>2649976.357480004</v>
      </c>
      <c r="P196" s="3"/>
      <c r="Q196" s="4"/>
      <c r="R196" s="4"/>
      <c r="S196" s="4"/>
      <c r="T196" s="4"/>
      <c r="U196" s="4"/>
      <c r="V196" s="4"/>
      <c r="W196" s="3"/>
      <c r="X196" s="3"/>
      <c r="Y196" s="3"/>
      <c r="Z196" s="79">
        <f>SUM(Z156:Z195)</f>
        <v>35371.700000000004</v>
      </c>
      <c r="AA196" s="120">
        <f>SUM(AA156:AA195)</f>
        <v>2005977.8172068354</v>
      </c>
      <c r="AB196" s="3"/>
      <c r="AC196" s="3"/>
      <c r="AD196" s="3"/>
      <c r="AE196" s="3"/>
      <c r="AF196" s="3"/>
      <c r="AG196" s="3"/>
      <c r="AH196" s="3"/>
      <c r="AI196" s="117"/>
      <c r="AJ196" s="4"/>
      <c r="AK196" s="4"/>
      <c r="AL196" s="4"/>
      <c r="AM196" s="4"/>
      <c r="AO196" s="3"/>
      <c r="AP196" s="3"/>
      <c r="AQ196" s="79">
        <f>SUM(AQ156:AQ195)</f>
        <v>104031.26</v>
      </c>
      <c r="AR196" s="120">
        <f>SUM(AR156:AR195)</f>
        <v>5871774.9841465978</v>
      </c>
      <c r="AS196" s="3"/>
      <c r="AT196" s="117">
        <f>(SUM(D196,O196,AA196)-AR196)</f>
        <v>-9.3132257461547852E-10</v>
      </c>
      <c r="AU196" s="4"/>
      <c r="AV196" s="4"/>
      <c r="AW196" s="4"/>
      <c r="AX196" s="4"/>
    </row>
    <row r="197" spans="1:50" ht="14"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50"/>
      <c r="AJ197" s="4"/>
      <c r="AK197" s="4"/>
      <c r="AL197" s="4"/>
      <c r="AM197" s="4"/>
      <c r="AO197" s="4"/>
      <c r="AP197" s="4"/>
      <c r="AQ197" s="4"/>
      <c r="AR197" s="4"/>
      <c r="AS197" s="4"/>
      <c r="AT197" s="50"/>
      <c r="AU197" s="4"/>
      <c r="AV197" s="4"/>
      <c r="AW197" s="4"/>
      <c r="AX197" s="4"/>
    </row>
    <row r="198" spans="1:50" ht="30" x14ac:dyDescent="0.2">
      <c r="A198" s="1" t="s">
        <v>178</v>
      </c>
      <c r="B198" s="8" t="s">
        <v>5</v>
      </c>
      <c r="C198" s="9" t="s">
        <v>7</v>
      </c>
      <c r="D198" s="9" t="s">
        <v>226</v>
      </c>
      <c r="E198" s="9" t="s">
        <v>227</v>
      </c>
      <c r="F198" s="4"/>
      <c r="G198" s="4"/>
      <c r="H198" s="4"/>
      <c r="I198" s="4"/>
      <c r="J198" s="4"/>
      <c r="K198" s="4"/>
      <c r="L198" s="1" t="s">
        <v>178</v>
      </c>
      <c r="M198" s="8" t="s">
        <v>5</v>
      </c>
      <c r="N198" s="9" t="s">
        <v>7</v>
      </c>
      <c r="O198" s="9" t="s">
        <v>226</v>
      </c>
      <c r="P198" s="9" t="s">
        <v>227</v>
      </c>
      <c r="Q198" s="4"/>
      <c r="R198" s="4"/>
      <c r="S198" s="4"/>
      <c r="T198" s="4"/>
      <c r="U198" s="4"/>
      <c r="V198" s="4"/>
      <c r="W198" s="1" t="s">
        <v>178</v>
      </c>
      <c r="X198" s="8" t="s">
        <v>5</v>
      </c>
      <c r="Y198" s="8"/>
      <c r="Z198" s="9" t="s">
        <v>7</v>
      </c>
      <c r="AA198" s="9" t="s">
        <v>226</v>
      </c>
      <c r="AB198" s="9" t="s">
        <v>227</v>
      </c>
      <c r="AC198" s="9"/>
      <c r="AD198" s="9"/>
      <c r="AE198" s="9"/>
      <c r="AF198" s="9"/>
      <c r="AG198" s="9"/>
      <c r="AH198" s="9"/>
      <c r="AI198" s="50"/>
      <c r="AJ198" s="4"/>
      <c r="AK198" s="4"/>
      <c r="AL198" s="4"/>
      <c r="AM198" s="4"/>
      <c r="AO198" s="1" t="s">
        <v>178</v>
      </c>
      <c r="AP198" s="8" t="s">
        <v>5</v>
      </c>
      <c r="AQ198" s="9" t="s">
        <v>7</v>
      </c>
      <c r="AR198" s="9" t="s">
        <v>226</v>
      </c>
      <c r="AS198" s="9" t="s">
        <v>227</v>
      </c>
      <c r="AT198" s="50"/>
      <c r="AU198" s="4"/>
      <c r="AV198" s="4"/>
      <c r="AW198" s="4"/>
      <c r="AX198" s="4"/>
    </row>
    <row r="199" spans="1:50" ht="14" x14ac:dyDescent="0.2">
      <c r="A199" s="3" t="s">
        <v>23</v>
      </c>
      <c r="B199" s="3"/>
      <c r="C199" s="40">
        <f>C137</f>
        <v>0.25</v>
      </c>
      <c r="D199" s="119">
        <f>(C199/$B$213)*$B$211</f>
        <v>14.07851142102016</v>
      </c>
      <c r="E199" s="3" t="s">
        <v>229</v>
      </c>
      <c r="F199" s="4"/>
      <c r="G199" s="4"/>
      <c r="H199" s="4"/>
      <c r="I199" s="4"/>
      <c r="J199" s="4"/>
      <c r="K199" s="4"/>
      <c r="L199" s="3" t="s">
        <v>23</v>
      </c>
      <c r="M199" s="3"/>
      <c r="N199" s="40">
        <f>I137</f>
        <v>1.85</v>
      </c>
      <c r="O199" s="119">
        <f>(N199/$B$213)*$B$211</f>
        <v>104.1809845155492</v>
      </c>
      <c r="P199" s="3" t="s">
        <v>229</v>
      </c>
      <c r="Q199" s="4"/>
      <c r="R199" s="4"/>
      <c r="S199" s="4"/>
      <c r="T199" s="4"/>
      <c r="U199" s="4"/>
      <c r="V199" s="4"/>
      <c r="W199" s="3" t="s">
        <v>23</v>
      </c>
      <c r="X199" s="3"/>
      <c r="Y199" s="3"/>
      <c r="Z199" s="40">
        <f>O137</f>
        <v>2.2200000000000002</v>
      </c>
      <c r="AA199" s="119">
        <f>(Z199/$X$213)*$X$211</f>
        <v>125.89925715188056</v>
      </c>
      <c r="AB199" s="3" t="s">
        <v>229</v>
      </c>
      <c r="AC199" s="3"/>
      <c r="AD199" s="3"/>
      <c r="AE199" s="3"/>
      <c r="AF199" s="3"/>
      <c r="AG199" s="3"/>
      <c r="AH199" s="3"/>
      <c r="AI199" s="50"/>
      <c r="AJ199" s="4"/>
      <c r="AK199" s="4"/>
      <c r="AL199" s="4"/>
      <c r="AM199" s="4"/>
      <c r="AO199" s="3" t="s">
        <v>23</v>
      </c>
      <c r="AP199" s="3"/>
      <c r="AQ199" s="40">
        <f t="shared" ref="AQ199:AR207" si="22">SUM(C199,N199,Z199)</f>
        <v>4.32</v>
      </c>
      <c r="AR199" s="119">
        <f t="shared" si="22"/>
        <v>244.15875308844991</v>
      </c>
      <c r="AS199" s="3" t="s">
        <v>229</v>
      </c>
      <c r="AT199" s="50"/>
      <c r="AU199" s="4"/>
      <c r="AV199" s="4"/>
      <c r="AW199" s="4"/>
      <c r="AX199" s="4"/>
    </row>
    <row r="200" spans="1:50" ht="14" x14ac:dyDescent="0.2">
      <c r="A200" s="3" t="s">
        <v>11</v>
      </c>
      <c r="B200" s="3"/>
      <c r="C200" s="40">
        <f t="shared" ref="C200:C207" si="23">C138</f>
        <v>40.11</v>
      </c>
      <c r="D200" s="119">
        <f t="shared" ref="D200:D207" si="24">(C200/$B$213)*$B$211</f>
        <v>2258.7563723884746</v>
      </c>
      <c r="E200" s="3" t="s">
        <v>229</v>
      </c>
      <c r="F200" s="4"/>
      <c r="G200" s="4"/>
      <c r="H200" s="4"/>
      <c r="I200" s="4"/>
      <c r="J200" s="4"/>
      <c r="K200" s="4"/>
      <c r="L200" s="3" t="s">
        <v>11</v>
      </c>
      <c r="M200" s="3"/>
      <c r="N200" s="40">
        <f t="shared" ref="N200:N207" si="25">I138</f>
        <v>17.25</v>
      </c>
      <c r="O200" s="119">
        <f t="shared" ref="O200:O207" si="26">(N200/$B$213)*$B$211</f>
        <v>971.41728805039111</v>
      </c>
      <c r="P200" s="3" t="s">
        <v>229</v>
      </c>
      <c r="Q200" s="4"/>
      <c r="R200" s="4"/>
      <c r="S200" s="4"/>
      <c r="T200" s="4"/>
      <c r="U200" s="4"/>
      <c r="V200" s="4"/>
      <c r="W200" s="3" t="s">
        <v>11</v>
      </c>
      <c r="X200" s="3"/>
      <c r="Y200" s="3"/>
      <c r="Z200" s="40">
        <f t="shared" ref="Z200:Z207" si="27">O138</f>
        <v>42.6</v>
      </c>
      <c r="AA200" s="119">
        <f t="shared" ref="AA200:AA206" si="28">(Z200/$X$213)*$X$211</f>
        <v>2415.9046642658163</v>
      </c>
      <c r="AB200" s="3" t="s">
        <v>229</v>
      </c>
      <c r="AC200" s="3"/>
      <c r="AD200" s="3"/>
      <c r="AE200" s="3"/>
      <c r="AF200" s="3"/>
      <c r="AG200" s="3"/>
      <c r="AH200" s="3"/>
      <c r="AI200" s="50"/>
      <c r="AJ200" s="4"/>
      <c r="AK200" s="4"/>
      <c r="AL200" s="4"/>
      <c r="AM200" s="4"/>
      <c r="AO200" s="3" t="s">
        <v>11</v>
      </c>
      <c r="AP200" s="3"/>
      <c r="AQ200" s="40">
        <f t="shared" si="22"/>
        <v>99.960000000000008</v>
      </c>
      <c r="AR200" s="119">
        <f t="shared" si="22"/>
        <v>5646.078324704682</v>
      </c>
      <c r="AS200" s="3" t="s">
        <v>229</v>
      </c>
      <c r="AT200" s="50"/>
      <c r="AU200" s="4"/>
      <c r="AV200" s="4"/>
      <c r="AW200" s="4"/>
      <c r="AX200" s="4"/>
    </row>
    <row r="201" spans="1:50" ht="14" x14ac:dyDescent="0.2">
      <c r="A201" s="3" t="s">
        <v>14</v>
      </c>
      <c r="B201" s="3"/>
      <c r="C201" s="40">
        <f t="shared" si="23"/>
        <v>123.20000000000002</v>
      </c>
      <c r="D201" s="119">
        <f t="shared" si="24"/>
        <v>6937.8904282787362</v>
      </c>
      <c r="E201" s="3" t="s">
        <v>229</v>
      </c>
      <c r="F201" s="4"/>
      <c r="G201" s="4"/>
      <c r="H201" s="4"/>
      <c r="I201" s="4"/>
      <c r="J201" s="4"/>
      <c r="K201" s="4"/>
      <c r="L201" s="3" t="s">
        <v>14</v>
      </c>
      <c r="M201" s="3"/>
      <c r="N201" s="40">
        <f t="shared" si="25"/>
        <v>1606.15</v>
      </c>
      <c r="O201" s="119">
        <f t="shared" si="26"/>
        <v>90448.804475486133</v>
      </c>
      <c r="P201" s="3" t="s">
        <v>229</v>
      </c>
      <c r="Q201" s="4"/>
      <c r="R201" s="4"/>
      <c r="S201" s="4"/>
      <c r="T201" s="4"/>
      <c r="U201" s="4"/>
      <c r="V201" s="4"/>
      <c r="W201" s="3" t="s">
        <v>14</v>
      </c>
      <c r="X201" s="3"/>
      <c r="Y201" s="3"/>
      <c r="Z201" s="40">
        <f t="shared" si="27"/>
        <v>1754.1</v>
      </c>
      <c r="AA201" s="119">
        <f t="shared" si="28"/>
        <v>99477.426563114263</v>
      </c>
      <c r="AB201" s="3" t="s">
        <v>229</v>
      </c>
      <c r="AC201" s="3"/>
      <c r="AD201" s="3"/>
      <c r="AE201" s="3"/>
      <c r="AF201" s="3"/>
      <c r="AG201" s="3"/>
      <c r="AH201" s="3"/>
      <c r="AI201" s="50"/>
      <c r="AJ201" s="4"/>
      <c r="AK201" s="4"/>
      <c r="AL201" s="4"/>
      <c r="AM201" s="4"/>
      <c r="AO201" s="3" t="s">
        <v>14</v>
      </c>
      <c r="AP201" s="3"/>
      <c r="AQ201" s="40">
        <f t="shared" si="22"/>
        <v>3483.45</v>
      </c>
      <c r="AR201" s="119">
        <f t="shared" si="22"/>
        <v>196864.12146687915</v>
      </c>
      <c r="AS201" s="3" t="s">
        <v>229</v>
      </c>
      <c r="AT201" s="50"/>
      <c r="AU201" s="4"/>
      <c r="AV201" s="4"/>
      <c r="AW201" s="4"/>
      <c r="AX201" s="4"/>
    </row>
    <row r="202" spans="1:50" ht="14" x14ac:dyDescent="0.2">
      <c r="A202" s="3"/>
      <c r="B202" s="3"/>
      <c r="C202" s="40">
        <f t="shared" si="23"/>
        <v>0</v>
      </c>
      <c r="D202" s="119">
        <f t="shared" si="24"/>
        <v>0</v>
      </c>
      <c r="E202" s="3"/>
      <c r="F202" s="4"/>
      <c r="G202" s="4"/>
      <c r="H202" s="4"/>
      <c r="I202" s="4"/>
      <c r="J202" s="4"/>
      <c r="K202" s="4"/>
      <c r="L202" s="3" t="s">
        <v>279</v>
      </c>
      <c r="M202" s="3"/>
      <c r="N202" s="40">
        <f t="shared" si="25"/>
        <v>57.28</v>
      </c>
      <c r="O202" s="119">
        <f t="shared" si="26"/>
        <v>3225.6685367841392</v>
      </c>
      <c r="P202" s="3" t="s">
        <v>230</v>
      </c>
      <c r="Q202" s="4"/>
      <c r="R202" s="4"/>
      <c r="S202" s="4"/>
      <c r="T202" s="4"/>
      <c r="U202" s="4"/>
      <c r="V202" s="4"/>
      <c r="W202" s="3" t="s">
        <v>279</v>
      </c>
      <c r="X202" s="3"/>
      <c r="Y202" s="3"/>
      <c r="Z202" s="40">
        <f t="shared" si="27"/>
        <v>62.43</v>
      </c>
      <c r="AA202" s="119">
        <f t="shared" si="28"/>
        <v>3540.4912720684251</v>
      </c>
      <c r="AB202" s="3" t="s">
        <v>230</v>
      </c>
      <c r="AC202" s="3"/>
      <c r="AD202" s="3"/>
      <c r="AE202" s="3"/>
      <c r="AF202" s="3"/>
      <c r="AG202" s="3"/>
      <c r="AH202" s="3"/>
      <c r="AI202" s="50"/>
      <c r="AJ202" s="4"/>
      <c r="AK202" s="4"/>
      <c r="AL202" s="4"/>
      <c r="AM202" s="4"/>
      <c r="AO202" s="3" t="s">
        <v>279</v>
      </c>
      <c r="AP202" s="3"/>
      <c r="AQ202" s="40">
        <f t="shared" si="22"/>
        <v>119.71000000000001</v>
      </c>
      <c r="AR202" s="119">
        <f t="shared" si="22"/>
        <v>6766.1598088525643</v>
      </c>
      <c r="AS202" s="3" t="s">
        <v>230</v>
      </c>
      <c r="AT202" s="50"/>
      <c r="AU202" s="4"/>
      <c r="AV202" s="4"/>
      <c r="AW202" s="4"/>
      <c r="AX202" s="4"/>
    </row>
    <row r="203" spans="1:50" ht="14" x14ac:dyDescent="0.2">
      <c r="A203" s="3" t="s">
        <v>18</v>
      </c>
      <c r="B203" s="3"/>
      <c r="C203" s="40">
        <f t="shared" si="23"/>
        <v>246.07</v>
      </c>
      <c r="D203" s="119">
        <f t="shared" si="24"/>
        <v>13857.197221481723</v>
      </c>
      <c r="E203" s="3" t="s">
        <v>230</v>
      </c>
      <c r="F203" s="4"/>
      <c r="G203" s="4"/>
      <c r="H203" s="4"/>
      <c r="I203" s="4"/>
      <c r="J203" s="4"/>
      <c r="K203" s="4"/>
      <c r="L203" s="3" t="s">
        <v>18</v>
      </c>
      <c r="M203" s="3"/>
      <c r="N203" s="40">
        <f t="shared" si="25"/>
        <v>534.67000000000007</v>
      </c>
      <c r="O203" s="119">
        <f t="shared" si="26"/>
        <v>30109.430805907403</v>
      </c>
      <c r="P203" s="3" t="s">
        <v>230</v>
      </c>
      <c r="Q203" s="4"/>
      <c r="R203" s="4"/>
      <c r="S203" s="4"/>
      <c r="T203" s="4"/>
      <c r="U203" s="4"/>
      <c r="V203" s="4"/>
      <c r="W203" s="3" t="s">
        <v>18</v>
      </c>
      <c r="X203" s="3"/>
      <c r="Y203" s="3"/>
      <c r="Z203" s="40">
        <f t="shared" si="27"/>
        <v>654.73</v>
      </c>
      <c r="AA203" s="119">
        <f t="shared" si="28"/>
        <v>37130.639925698539</v>
      </c>
      <c r="AB203" s="3" t="s">
        <v>230</v>
      </c>
      <c r="AC203" s="3"/>
      <c r="AD203" s="3"/>
      <c r="AE203" s="3"/>
      <c r="AF203" s="3"/>
      <c r="AG203" s="3"/>
      <c r="AH203" s="3"/>
      <c r="AI203" s="50"/>
      <c r="AJ203" s="4"/>
      <c r="AK203" s="4"/>
      <c r="AL203" s="4"/>
      <c r="AM203" s="4"/>
      <c r="AO203" s="3" t="s">
        <v>18</v>
      </c>
      <c r="AP203" s="3"/>
      <c r="AQ203" s="40">
        <f t="shared" si="22"/>
        <v>1435.47</v>
      </c>
      <c r="AR203" s="119">
        <f t="shared" si="22"/>
        <v>81097.267953087663</v>
      </c>
      <c r="AS203" s="3" t="s">
        <v>230</v>
      </c>
      <c r="AT203" s="50"/>
      <c r="AU203" s="4"/>
      <c r="AV203" s="4"/>
      <c r="AW203" s="4"/>
      <c r="AX203" s="4"/>
    </row>
    <row r="204" spans="1:50" ht="14" x14ac:dyDescent="0.2">
      <c r="A204" s="3" t="s">
        <v>19</v>
      </c>
      <c r="B204" s="3"/>
      <c r="C204" s="40">
        <f t="shared" si="23"/>
        <v>226.12</v>
      </c>
      <c r="D204" s="119">
        <f t="shared" si="24"/>
        <v>12733.732010084315</v>
      </c>
      <c r="E204" s="3" t="s">
        <v>230</v>
      </c>
      <c r="F204" s="4"/>
      <c r="G204" s="4"/>
      <c r="H204" s="4"/>
      <c r="I204" s="4"/>
      <c r="J204" s="4"/>
      <c r="K204" s="4"/>
      <c r="L204" s="3" t="s">
        <v>19</v>
      </c>
      <c r="M204" s="3"/>
      <c r="N204" s="40">
        <f t="shared" si="25"/>
        <v>287.7</v>
      </c>
      <c r="O204" s="119">
        <f t="shared" si="26"/>
        <v>16201.55094331</v>
      </c>
      <c r="P204" s="3" t="s">
        <v>230</v>
      </c>
      <c r="Q204" s="4"/>
      <c r="R204" s="4"/>
      <c r="S204" s="4"/>
      <c r="T204" s="4"/>
      <c r="U204" s="4"/>
      <c r="V204" s="4"/>
      <c r="W204" s="3" t="s">
        <v>19</v>
      </c>
      <c r="X204" s="3"/>
      <c r="Y204" s="3"/>
      <c r="Z204" s="40">
        <f t="shared" si="27"/>
        <v>277.60000000000002</v>
      </c>
      <c r="AA204" s="119">
        <f t="shared" si="28"/>
        <v>15743.078281694616</v>
      </c>
      <c r="AB204" s="3" t="s">
        <v>230</v>
      </c>
      <c r="AC204" s="3"/>
      <c r="AD204" s="3"/>
      <c r="AE204" s="3"/>
      <c r="AF204" s="3"/>
      <c r="AG204" s="3"/>
      <c r="AH204" s="3"/>
      <c r="AI204" s="50"/>
      <c r="AJ204" s="4"/>
      <c r="AK204" s="4"/>
      <c r="AL204" s="4"/>
      <c r="AM204" s="4"/>
      <c r="AO204" s="3" t="s">
        <v>19</v>
      </c>
      <c r="AP204" s="3"/>
      <c r="AQ204" s="40">
        <f t="shared" si="22"/>
        <v>791.42</v>
      </c>
      <c r="AR204" s="119">
        <f t="shared" si="22"/>
        <v>44678.361235088931</v>
      </c>
      <c r="AS204" s="3" t="s">
        <v>230</v>
      </c>
      <c r="AT204" s="50"/>
      <c r="AU204" s="4"/>
      <c r="AV204" s="4"/>
      <c r="AW204" s="4"/>
      <c r="AX204" s="4"/>
    </row>
    <row r="205" spans="1:50" ht="14" x14ac:dyDescent="0.2">
      <c r="A205" s="3" t="s">
        <v>24</v>
      </c>
      <c r="B205" s="3"/>
      <c r="C205" s="40">
        <f t="shared" si="23"/>
        <v>29.45</v>
      </c>
      <c r="D205" s="119">
        <f t="shared" si="24"/>
        <v>1658.4486453961749</v>
      </c>
      <c r="E205" s="3" t="s">
        <v>229</v>
      </c>
      <c r="F205" s="4"/>
      <c r="G205" s="4"/>
      <c r="H205" s="4"/>
      <c r="I205" s="4"/>
      <c r="J205" s="4"/>
      <c r="K205" s="4"/>
      <c r="L205" s="3" t="s">
        <v>24</v>
      </c>
      <c r="M205" s="3"/>
      <c r="N205" s="40">
        <f t="shared" si="25"/>
        <v>4.0999999999999996</v>
      </c>
      <c r="O205" s="119">
        <f t="shared" si="26"/>
        <v>230.88758730473066</v>
      </c>
      <c r="P205" s="3" t="s">
        <v>229</v>
      </c>
      <c r="Q205" s="4"/>
      <c r="R205" s="4"/>
      <c r="S205" s="4"/>
      <c r="T205" s="4"/>
      <c r="U205" s="4"/>
      <c r="V205" s="4"/>
      <c r="W205" s="3" t="s">
        <v>24</v>
      </c>
      <c r="X205" s="3"/>
      <c r="Y205" s="3"/>
      <c r="Z205" s="40">
        <f t="shared" si="27"/>
        <v>0</v>
      </c>
      <c r="AA205" s="119">
        <f t="shared" si="28"/>
        <v>0</v>
      </c>
      <c r="AB205" s="3" t="s">
        <v>229</v>
      </c>
      <c r="AC205" s="3"/>
      <c r="AD205" s="3"/>
      <c r="AE205" s="3"/>
      <c r="AF205" s="3"/>
      <c r="AG205" s="3"/>
      <c r="AH205" s="3"/>
      <c r="AI205" s="50"/>
      <c r="AJ205" s="4"/>
      <c r="AK205" s="4"/>
      <c r="AL205" s="4"/>
      <c r="AM205" s="4"/>
      <c r="AO205" s="3" t="s">
        <v>24</v>
      </c>
      <c r="AP205" s="3"/>
      <c r="AQ205" s="40">
        <f t="shared" si="22"/>
        <v>33.549999999999997</v>
      </c>
      <c r="AR205" s="119">
        <f t="shared" si="22"/>
        <v>1889.3362327009056</v>
      </c>
      <c r="AS205" s="3" t="s">
        <v>229</v>
      </c>
      <c r="AT205" s="50"/>
      <c r="AU205" s="4"/>
      <c r="AV205" s="4"/>
      <c r="AW205" s="4"/>
      <c r="AX205" s="4"/>
    </row>
    <row r="206" spans="1:50" ht="14" x14ac:dyDescent="0.2">
      <c r="A206" s="3" t="s">
        <v>432</v>
      </c>
      <c r="B206" s="3"/>
      <c r="C206" s="40">
        <f t="shared" si="23"/>
        <v>0</v>
      </c>
      <c r="D206" s="119">
        <f t="shared" si="24"/>
        <v>0</v>
      </c>
      <c r="E206" s="3"/>
      <c r="F206" s="4"/>
      <c r="G206" s="4"/>
      <c r="H206" s="4"/>
      <c r="I206" s="4"/>
      <c r="J206" s="4"/>
      <c r="K206" s="4"/>
      <c r="L206" s="3" t="s">
        <v>432</v>
      </c>
      <c r="M206" s="3"/>
      <c r="N206" s="40">
        <f t="shared" si="25"/>
        <v>0</v>
      </c>
      <c r="O206" s="119">
        <f t="shared" si="26"/>
        <v>0</v>
      </c>
      <c r="P206" s="50" t="s">
        <v>138</v>
      </c>
      <c r="Q206" s="4"/>
      <c r="R206" s="4"/>
      <c r="S206" s="4"/>
      <c r="T206" s="4"/>
      <c r="U206" s="4"/>
      <c r="V206" s="4"/>
      <c r="W206" s="3" t="s">
        <v>432</v>
      </c>
      <c r="X206" s="3"/>
      <c r="Y206" s="3"/>
      <c r="Z206" s="40">
        <f t="shared" si="27"/>
        <v>53.57</v>
      </c>
      <c r="AA206" s="119">
        <f t="shared" si="28"/>
        <v>3038.0284710028113</v>
      </c>
      <c r="AB206" s="50" t="s">
        <v>138</v>
      </c>
      <c r="AC206" s="3"/>
      <c r="AD206" s="3"/>
      <c r="AE206" s="3"/>
      <c r="AF206" s="3"/>
      <c r="AG206" s="3"/>
      <c r="AH206" s="3"/>
      <c r="AI206" s="50"/>
      <c r="AJ206" s="4"/>
      <c r="AK206" s="4"/>
      <c r="AL206" s="4"/>
      <c r="AM206" s="4"/>
      <c r="AO206" s="3" t="s">
        <v>432</v>
      </c>
      <c r="AP206" s="3"/>
      <c r="AQ206" s="40">
        <f t="shared" si="22"/>
        <v>53.57</v>
      </c>
      <c r="AR206" s="119">
        <f t="shared" si="22"/>
        <v>3038.0284710028113</v>
      </c>
      <c r="AS206" s="50" t="s">
        <v>138</v>
      </c>
      <c r="AT206" s="50"/>
      <c r="AU206" s="4"/>
      <c r="AV206" s="4"/>
      <c r="AW206" s="4"/>
      <c r="AX206" s="4"/>
    </row>
    <row r="207" spans="1:50" ht="14" x14ac:dyDescent="0.2">
      <c r="A207" s="3" t="s">
        <v>21</v>
      </c>
      <c r="B207" s="3"/>
      <c r="C207" s="40">
        <f t="shared" si="23"/>
        <v>19.88</v>
      </c>
      <c r="D207" s="119">
        <f t="shared" si="24"/>
        <v>1119.5232281995231</v>
      </c>
      <c r="E207" s="3" t="s">
        <v>229</v>
      </c>
      <c r="F207" s="4"/>
      <c r="G207" s="4"/>
      <c r="H207" s="4"/>
      <c r="I207" s="4"/>
      <c r="J207" s="4"/>
      <c r="K207" s="4"/>
      <c r="L207" s="3" t="s">
        <v>21</v>
      </c>
      <c r="M207" s="3"/>
      <c r="N207" s="40">
        <f t="shared" si="25"/>
        <v>69.86999999999999</v>
      </c>
      <c r="O207" s="119">
        <f t="shared" si="26"/>
        <v>3934.6623719467143</v>
      </c>
      <c r="P207" s="3" t="s">
        <v>229</v>
      </c>
      <c r="Q207" s="4"/>
      <c r="R207" s="4"/>
      <c r="S207" s="4"/>
      <c r="T207" s="4"/>
      <c r="U207" s="4"/>
      <c r="V207" s="4"/>
      <c r="W207" s="3" t="s">
        <v>21</v>
      </c>
      <c r="X207" s="3"/>
      <c r="Y207" s="3"/>
      <c r="Z207" s="40">
        <f t="shared" si="27"/>
        <v>72.19</v>
      </c>
      <c r="AA207" s="119">
        <f>(Z207/$X$213)*$X$211</f>
        <v>4093.9943125199356</v>
      </c>
      <c r="AB207" s="3" t="s">
        <v>229</v>
      </c>
      <c r="AC207" s="3"/>
      <c r="AD207" s="3"/>
      <c r="AE207" s="3"/>
      <c r="AF207" s="3"/>
      <c r="AG207" s="3"/>
      <c r="AH207" s="3"/>
      <c r="AI207" s="50"/>
      <c r="AJ207" s="4"/>
      <c r="AK207" s="4"/>
      <c r="AL207" s="4"/>
      <c r="AM207" s="4"/>
      <c r="AO207" s="3" t="s">
        <v>21</v>
      </c>
      <c r="AP207" s="3"/>
      <c r="AQ207" s="40">
        <f t="shared" si="22"/>
        <v>161.94</v>
      </c>
      <c r="AR207" s="119">
        <f t="shared" si="22"/>
        <v>9148.1799126661735</v>
      </c>
      <c r="AS207" s="3" t="s">
        <v>229</v>
      </c>
      <c r="AT207" s="50"/>
      <c r="AU207" s="4"/>
      <c r="AV207" s="4"/>
      <c r="AW207" s="4"/>
      <c r="AX207" s="4"/>
    </row>
    <row r="208" spans="1:50" ht="14" x14ac:dyDescent="0.2">
      <c r="A208" s="4"/>
      <c r="B208" s="4"/>
      <c r="C208" s="79">
        <f>SUM(C199:C207)</f>
        <v>685.08</v>
      </c>
      <c r="D208" s="120">
        <f>SUM(D199:D207)</f>
        <v>38579.626417249965</v>
      </c>
      <c r="E208" s="4"/>
      <c r="F208" s="4"/>
      <c r="G208" s="4"/>
      <c r="H208" s="4"/>
      <c r="I208" s="4"/>
      <c r="J208" s="4"/>
      <c r="K208" s="4"/>
      <c r="L208" s="4"/>
      <c r="M208" s="4"/>
      <c r="N208" s="79">
        <f>SUM(N199:N207)</f>
        <v>2578.8699999999994</v>
      </c>
      <c r="O208" s="120">
        <f>SUM(O199:O207)</f>
        <v>145226.60299330504</v>
      </c>
      <c r="P208" s="4"/>
      <c r="Q208" s="4"/>
      <c r="R208" s="4"/>
      <c r="S208" s="4"/>
      <c r="T208" s="4"/>
      <c r="U208" s="4"/>
      <c r="V208" s="4"/>
      <c r="W208" s="4"/>
      <c r="X208" s="4"/>
      <c r="Y208" s="4"/>
      <c r="Z208" s="32">
        <f>SUM(Z199:Z207)</f>
        <v>2919.44</v>
      </c>
      <c r="AA208" s="120">
        <f>SUM(AA199:AA207)</f>
        <v>165565.46274751629</v>
      </c>
      <c r="AB208" s="4"/>
      <c r="AC208" s="4"/>
      <c r="AD208" s="4"/>
      <c r="AE208" s="4"/>
      <c r="AF208" s="4"/>
      <c r="AG208" s="4"/>
      <c r="AH208" s="4"/>
      <c r="AI208" s="117"/>
      <c r="AJ208" s="4"/>
      <c r="AK208" s="4"/>
      <c r="AL208" s="4"/>
      <c r="AM208" s="4"/>
      <c r="AO208" s="4"/>
      <c r="AP208" s="4"/>
      <c r="AQ208" s="32">
        <f>SUM(AQ199:AQ207)</f>
        <v>6183.3899999999994</v>
      </c>
      <c r="AR208" s="120">
        <f>SUM(AR199:AR207)</f>
        <v>349371.69215807132</v>
      </c>
      <c r="AS208" s="4"/>
      <c r="AT208" s="117">
        <f>SUM(D208,O208,AA208)-AR208</f>
        <v>0</v>
      </c>
      <c r="AU208" s="4"/>
      <c r="AV208" s="4"/>
      <c r="AW208" s="4"/>
      <c r="AX208" s="4"/>
    </row>
    <row r="209" spans="1:58" ht="14"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O209" s="4"/>
      <c r="AP209" s="4"/>
      <c r="AQ209" s="4"/>
      <c r="AR209" s="4"/>
      <c r="AS209" s="4"/>
      <c r="AT209" s="4"/>
      <c r="AU209" s="4"/>
      <c r="AV209" s="4"/>
      <c r="AW209" s="4"/>
      <c r="AX209" s="4"/>
    </row>
    <row r="210" spans="1:58" ht="30" x14ac:dyDescent="0.2">
      <c r="A210" s="4"/>
      <c r="B210" s="4"/>
      <c r="C210" s="9" t="s">
        <v>231</v>
      </c>
      <c r="D210" s="4"/>
      <c r="E210" s="4"/>
      <c r="F210" s="4"/>
      <c r="G210" s="4"/>
      <c r="H210" s="4"/>
      <c r="I210" s="4"/>
      <c r="J210" s="4"/>
      <c r="K210" s="4"/>
      <c r="L210" s="4"/>
      <c r="M210" s="4"/>
      <c r="N210" s="9" t="s">
        <v>231</v>
      </c>
      <c r="O210" s="4"/>
      <c r="P210" s="4"/>
      <c r="Q210" s="4"/>
      <c r="R210" s="4"/>
      <c r="S210" s="4"/>
      <c r="T210" s="4"/>
      <c r="U210" s="4"/>
      <c r="V210" s="4"/>
      <c r="W210" s="4"/>
      <c r="X210" s="4"/>
      <c r="Y210" s="4"/>
      <c r="Z210" s="9" t="s">
        <v>231</v>
      </c>
      <c r="AA210" s="4"/>
      <c r="AB210" s="4"/>
      <c r="AC210" s="4"/>
      <c r="AD210" s="4"/>
      <c r="AE210" s="4"/>
      <c r="AF210" s="4"/>
      <c r="AG210" s="4"/>
      <c r="AH210" s="4"/>
      <c r="AI210" s="4"/>
      <c r="AJ210" s="4"/>
      <c r="AK210" s="4"/>
      <c r="AL210" s="4"/>
      <c r="AM210" s="4"/>
      <c r="AO210" s="4"/>
      <c r="AP210" s="4"/>
      <c r="AQ210" s="9" t="s">
        <v>231</v>
      </c>
      <c r="AR210" s="4"/>
      <c r="AS210" s="4"/>
      <c r="AT210" s="4"/>
      <c r="AU210" s="4"/>
      <c r="AV210" s="4"/>
      <c r="AW210" s="4"/>
      <c r="AX210" s="4"/>
    </row>
    <row r="211" spans="1:58" ht="14" x14ac:dyDescent="0.2">
      <c r="A211" s="49" t="s">
        <v>300</v>
      </c>
      <c r="B211" s="43">
        <f>SUM(C3,D3,E3,F3,G3,H3)</f>
        <v>1848410</v>
      </c>
      <c r="C211" s="4"/>
      <c r="D211" s="4"/>
      <c r="E211" s="4"/>
      <c r="F211" s="4"/>
      <c r="G211" s="4"/>
      <c r="H211" s="4"/>
      <c r="I211" s="4"/>
      <c r="J211" s="4"/>
      <c r="K211" s="4"/>
      <c r="L211" s="49" t="s">
        <v>301</v>
      </c>
      <c r="M211" s="119">
        <f>SUM(I3,J3,K3,L3,M3,Q3,R3,S3,T3,U3,V3,W3)</f>
        <v>4089756</v>
      </c>
      <c r="N211" s="4"/>
      <c r="O211" s="4"/>
      <c r="P211" s="4"/>
      <c r="Q211" s="4"/>
      <c r="R211" s="4"/>
      <c r="S211" s="4"/>
      <c r="T211" s="4"/>
      <c r="U211" s="4"/>
      <c r="V211" s="4"/>
      <c r="W211" s="49" t="s">
        <v>451</v>
      </c>
      <c r="X211" s="119">
        <f>SUM(X3,Y3,Z3,AA3,AB3,AF3,AG3,AH3)</f>
        <v>3064888</v>
      </c>
      <c r="Y211" s="119"/>
      <c r="Z211" s="4"/>
      <c r="AA211" s="4"/>
      <c r="AB211" s="4"/>
      <c r="AC211" s="4"/>
      <c r="AD211" s="4"/>
      <c r="AE211" s="4"/>
      <c r="AF211" s="4"/>
      <c r="AG211" s="4"/>
      <c r="AH211" s="4"/>
      <c r="AI211" s="4"/>
      <c r="AJ211" s="4"/>
      <c r="AK211" s="4"/>
      <c r="AL211" s="4"/>
      <c r="AM211" s="4"/>
      <c r="AO211" s="49" t="s">
        <v>167</v>
      </c>
      <c r="AP211" s="119">
        <f>AJ3</f>
        <v>9003054</v>
      </c>
      <c r="AQ211" s="4"/>
      <c r="AR211" s="4"/>
      <c r="AS211" s="4"/>
      <c r="AT211" s="4"/>
      <c r="AU211" s="4"/>
      <c r="AV211" s="4"/>
      <c r="AW211" s="4"/>
      <c r="AX211" s="4"/>
    </row>
    <row r="212" spans="1:58" ht="14" x14ac:dyDescent="0.2">
      <c r="A212" s="1" t="s">
        <v>2</v>
      </c>
      <c r="B212" s="40">
        <f>SUM(C4,D4,E4,F4,G4,H4)</f>
        <v>31696.5</v>
      </c>
      <c r="C212" s="119">
        <f>B211/B212</f>
        <v>58.315902386698845</v>
      </c>
      <c r="D212" s="4"/>
      <c r="E212" s="4"/>
      <c r="F212" s="4"/>
      <c r="G212" s="4"/>
      <c r="H212" s="4"/>
      <c r="I212" s="4"/>
      <c r="J212" s="4"/>
      <c r="K212" s="4"/>
      <c r="L212" s="1" t="s">
        <v>2</v>
      </c>
      <c r="M212" s="40">
        <f>SUM(I4,J4,K4,L4,M4,Q4,R4,S4,T4,U4,V4,W4)</f>
        <v>70992</v>
      </c>
      <c r="N212" s="119">
        <f>M211/M212</f>
        <v>57.608688302907368</v>
      </c>
      <c r="O212" s="4"/>
      <c r="P212" s="4"/>
      <c r="Q212" s="4"/>
      <c r="R212" s="4"/>
      <c r="S212" s="4"/>
      <c r="T212" s="4"/>
      <c r="U212" s="4"/>
      <c r="V212" s="4"/>
      <c r="W212" s="1" t="s">
        <v>2</v>
      </c>
      <c r="X212" s="40">
        <f>SUM(X4,Y4,Z4,AA4,AB4,AF4,AG4, AH4)</f>
        <v>53894</v>
      </c>
      <c r="Y212" s="40"/>
      <c r="Z212" s="119">
        <f>X211/X212</f>
        <v>56.868816565851489</v>
      </c>
      <c r="AA212" s="4"/>
      <c r="AB212" s="4"/>
      <c r="AC212" s="4"/>
      <c r="AD212" s="4"/>
      <c r="AE212" s="4"/>
      <c r="AF212" s="4"/>
      <c r="AG212" s="4"/>
      <c r="AH212" s="4"/>
      <c r="AI212" s="4"/>
      <c r="AJ212" s="4"/>
      <c r="AK212" s="4"/>
      <c r="AL212" s="4"/>
      <c r="AM212" s="4"/>
      <c r="AO212" s="1" t="s">
        <v>2</v>
      </c>
      <c r="AP212" s="40">
        <f>AJ4</f>
        <v>156582.5</v>
      </c>
      <c r="AQ212" s="119">
        <f>AP211/AP212</f>
        <v>57.497191576325577</v>
      </c>
      <c r="AR212" s="4"/>
      <c r="AS212" s="4"/>
      <c r="AT212" s="4"/>
      <c r="AU212" s="4"/>
      <c r="AV212" s="4"/>
      <c r="AW212" s="4"/>
      <c r="AX212" s="4"/>
    </row>
    <row r="213" spans="1:58" ht="14" x14ac:dyDescent="0.2">
      <c r="A213" s="1" t="s">
        <v>3</v>
      </c>
      <c r="B213" s="40">
        <f>SUM(C5,D5,E5,F5,G5,H5)</f>
        <v>32823.25</v>
      </c>
      <c r="C213" s="120">
        <f>B211/B213</f>
        <v>56.314045684080646</v>
      </c>
      <c r="D213" s="3" t="s">
        <v>232</v>
      </c>
      <c r="E213" s="4"/>
      <c r="F213" s="4"/>
      <c r="G213" s="4"/>
      <c r="H213" s="4"/>
      <c r="I213" s="4"/>
      <c r="J213" s="4"/>
      <c r="K213" s="4"/>
      <c r="L213" s="1" t="s">
        <v>3</v>
      </c>
      <c r="M213" s="40">
        <f>SUM(I5,J5,K5,L5,M5,Q5,R5,S5,T5,U5,V5,W5)</f>
        <v>72643.279999999984</v>
      </c>
      <c r="N213" s="120">
        <f>M211/M213</f>
        <v>56.299164905549432</v>
      </c>
      <c r="O213" s="3" t="s">
        <v>232</v>
      </c>
      <c r="P213" s="4"/>
      <c r="Q213" s="4"/>
      <c r="R213" s="4"/>
      <c r="S213" s="4"/>
      <c r="T213" s="4"/>
      <c r="U213" s="4"/>
      <c r="V213" s="4"/>
      <c r="W213" s="1" t="s">
        <v>3</v>
      </c>
      <c r="X213" s="40">
        <f>SUM(X5,Y5,Z5,AA5,AB5,AF5,AG5,AH5)</f>
        <v>54043.617999999995</v>
      </c>
      <c r="Y213" s="40"/>
      <c r="Z213" s="120">
        <f>X211/X213</f>
        <v>56.711377095441691</v>
      </c>
      <c r="AA213" s="3" t="s">
        <v>232</v>
      </c>
      <c r="AB213" s="4"/>
      <c r="AC213" s="4"/>
      <c r="AD213" s="4"/>
      <c r="AE213" s="4"/>
      <c r="AF213" s="4"/>
      <c r="AG213" s="4"/>
      <c r="AH213" s="4"/>
      <c r="AI213" s="4"/>
      <c r="AJ213" s="4"/>
      <c r="AK213" s="4"/>
      <c r="AL213" s="4"/>
      <c r="AM213" s="4"/>
      <c r="AO213" s="1" t="s">
        <v>3</v>
      </c>
      <c r="AP213" s="40">
        <f>AJ5</f>
        <v>159510.14800000002</v>
      </c>
      <c r="AQ213" s="120">
        <f>AP211/AP213</f>
        <v>56.44188857501404</v>
      </c>
      <c r="AR213" s="3" t="s">
        <v>232</v>
      </c>
      <c r="AS213" s="4"/>
      <c r="AT213" s="4"/>
      <c r="AU213" s="4"/>
      <c r="AV213" s="4"/>
      <c r="AW213" s="4"/>
      <c r="AX213" s="4"/>
    </row>
    <row r="214" spans="1:58" ht="14"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128"/>
      <c r="AQ214" s="4"/>
      <c r="AT214" s="4"/>
      <c r="AU214" s="4"/>
      <c r="AV214" s="4"/>
      <c r="AW214" s="4"/>
      <c r="AX214" s="4"/>
      <c r="BB214" s="4"/>
      <c r="BC214" s="4"/>
      <c r="BD214" s="4"/>
      <c r="BE214" s="4"/>
      <c r="BF214" s="4"/>
    </row>
    <row r="215" spans="1:58" ht="14" x14ac:dyDescent="0.2">
      <c r="A215" s="50" t="s">
        <v>233</v>
      </c>
      <c r="B215" s="4"/>
      <c r="C215" s="4"/>
      <c r="D215" s="4"/>
      <c r="E215" s="4"/>
      <c r="F215" s="4"/>
      <c r="G215" s="4"/>
      <c r="H215" s="4"/>
      <c r="I215" s="4"/>
      <c r="J215" s="4"/>
      <c r="K215" s="4"/>
      <c r="L215" s="50" t="s">
        <v>233</v>
      </c>
      <c r="M215" s="4"/>
      <c r="N215" s="4"/>
      <c r="O215" s="4"/>
      <c r="P215" s="4"/>
      <c r="Q215" s="4"/>
      <c r="R215" s="4"/>
      <c r="S215" s="4"/>
      <c r="T215" s="4"/>
      <c r="U215" s="4"/>
      <c r="V215" s="4"/>
      <c r="W215" s="50" t="s">
        <v>233</v>
      </c>
      <c r="X215" s="4"/>
      <c r="Y215" s="4"/>
      <c r="Z215" s="4"/>
      <c r="AA215" s="4"/>
      <c r="AB215" s="4"/>
      <c r="AC215" s="4"/>
      <c r="AD215" s="4"/>
      <c r="AE215" s="4"/>
      <c r="AF215" s="4"/>
      <c r="AG215" s="4"/>
      <c r="AH215" s="4"/>
      <c r="AI215" s="4"/>
      <c r="AJ215" s="4"/>
      <c r="AK215" s="4"/>
      <c r="AL215" s="4"/>
      <c r="AM215" s="4"/>
      <c r="AN215" s="4"/>
      <c r="AO215" s="50" t="s">
        <v>233</v>
      </c>
      <c r="AP215" s="4"/>
      <c r="AQ215" s="4"/>
      <c r="AT215" s="4"/>
      <c r="AU215" s="4"/>
      <c r="AV215" s="4"/>
      <c r="AW215" s="4"/>
      <c r="AX215" s="4"/>
      <c r="BB215" s="4"/>
      <c r="BC215" s="4"/>
      <c r="BD215" s="4"/>
      <c r="BE215" s="4"/>
      <c r="BF215" s="4"/>
    </row>
    <row r="216" spans="1:58" ht="14"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58" ht="14"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58" ht="14" x14ac:dyDescent="0.2">
      <c r="A218" s="10"/>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spans="1:58" ht="14" x14ac:dyDescent="0.2">
      <c r="A219" s="1" t="s">
        <v>26</v>
      </c>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spans="1:58" ht="14" x14ac:dyDescent="0.2">
      <c r="A220" s="127" t="s">
        <v>27</v>
      </c>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spans="1:58" ht="14" x14ac:dyDescent="0.2">
      <c r="A221" s="127" t="s">
        <v>28</v>
      </c>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row>
    <row r="222" spans="1:58" ht="14" x14ac:dyDescent="0.2">
      <c r="A222" s="127" t="s">
        <v>29</v>
      </c>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row>
    <row r="223" spans="1:58" ht="14" x14ac:dyDescent="0.2">
      <c r="A223" s="127" t="s">
        <v>308</v>
      </c>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row>
    <row r="224" spans="1:58" ht="14" x14ac:dyDescent="0.2">
      <c r="A224" s="127" t="s">
        <v>380</v>
      </c>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row>
    <row r="225" spans="1:51" ht="14" x14ac:dyDescent="0.2">
      <c r="A225" s="127" t="s">
        <v>304</v>
      </c>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row>
    <row r="226" spans="1:51" ht="14" x14ac:dyDescent="0.2">
      <c r="A226" s="127" t="s">
        <v>127</v>
      </c>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row>
    <row r="227" spans="1:51" ht="14" x14ac:dyDescent="0.2">
      <c r="A227" s="127" t="s">
        <v>305</v>
      </c>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row>
    <row r="228" spans="1:51" ht="14" x14ac:dyDescent="0.2">
      <c r="A228" s="127" t="s">
        <v>306</v>
      </c>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row>
    <row r="229" spans="1:51" ht="14" x14ac:dyDescent="0.2">
      <c r="A229" s="127" t="s">
        <v>114</v>
      </c>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row>
    <row r="230" spans="1:51" ht="14"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row>
    <row r="231" spans="1:51" ht="14"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row>
    <row r="232" spans="1:51" ht="14"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row>
    <row r="233" spans="1:51" ht="14"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row>
    <row r="234" spans="1:51" ht="14"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row>
    <row r="235" spans="1:51" ht="14"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row>
    <row r="236" spans="1:51" ht="14"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row>
    <row r="237" spans="1:51" ht="14"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row>
    <row r="238" spans="1:51" ht="14"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row>
    <row r="239" spans="1:51" ht="14"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row>
    <row r="240" spans="1:51" ht="14"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row>
    <row r="241" spans="1:51" ht="14"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row>
    <row r="242" spans="1:51" ht="14"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row>
    <row r="243" spans="1:51" ht="14"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row>
    <row r="244" spans="1:51" ht="14"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row>
    <row r="245" spans="1:51" ht="14"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row>
    <row r="246" spans="1:51" ht="14"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row>
    <row r="247" spans="1:51" ht="14"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row>
    <row r="248" spans="1:51" ht="14"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row>
    <row r="249" spans="1:51" ht="14"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row>
    <row r="250" spans="1:51" ht="14"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row>
    <row r="251" spans="1:51" ht="14"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row>
    <row r="252" spans="1:51" ht="14"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row>
    <row r="253" spans="1:51" ht="14"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row>
    <row r="254" spans="1:51" ht="14"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row>
    <row r="255" spans="1:51" ht="14"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row>
    <row r="256" spans="1:51" ht="14"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row>
    <row r="257" spans="1:51" ht="14"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row>
    <row r="258" spans="1:51" ht="14"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row>
    <row r="259" spans="1:51" ht="14"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row>
    <row r="260" spans="1:51" ht="14"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row>
    <row r="261" spans="1:51" ht="14"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row>
    <row r="262" spans="1:51" ht="14"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row>
    <row r="263" spans="1:51" ht="14"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row>
    <row r="264" spans="1:51" ht="14"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row>
    <row r="265" spans="1:51" ht="14"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row>
    <row r="266" spans="1:51" ht="14"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row>
    <row r="267" spans="1:51" ht="14"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row>
    <row r="268" spans="1:51" ht="14"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row>
    <row r="269" spans="1:51" ht="14"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row>
    <row r="270" spans="1:51" ht="14"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row>
    <row r="271" spans="1:51" ht="14"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row>
    <row r="272" spans="1:51" ht="14"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row>
    <row r="273" spans="1:51" ht="14"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row>
    <row r="274" spans="1:51" ht="14"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row>
    <row r="275" spans="1:51" ht="14"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row>
    <row r="276" spans="1:51" ht="14"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row>
    <row r="277" spans="1:51" ht="14"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row>
    <row r="278" spans="1:51" ht="14"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row>
    <row r="279" spans="1:51" ht="14"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row>
    <row r="280" spans="1:51" ht="14"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row>
    <row r="281" spans="1:51" ht="14"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row>
    <row r="282" spans="1:51" ht="14"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row>
    <row r="283" spans="1:51" ht="14"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row>
    <row r="284" spans="1:51" ht="14"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row>
    <row r="285" spans="1:51" ht="14"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row>
    <row r="286" spans="1:51" ht="14"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row>
    <row r="287" spans="1:51" ht="14"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row>
    <row r="288" spans="1:51" ht="14"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row>
    <row r="289" spans="1:51" ht="14"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row>
    <row r="290" spans="1:51" ht="14"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row>
    <row r="291" spans="1:51" ht="14"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row>
    <row r="292" spans="1:51" ht="14"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row>
    <row r="293" spans="1:51" ht="14"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row>
    <row r="294" spans="1:51" ht="14"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row>
    <row r="295" spans="1:51" ht="14"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row>
    <row r="296" spans="1:51" ht="14"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row>
    <row r="297" spans="1:51" ht="14"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row>
    <row r="298" spans="1:51" ht="14"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row>
    <row r="299" spans="1:51" ht="14"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row>
    <row r="300" spans="1:51" ht="14"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row>
    <row r="301" spans="1:51" ht="14"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row>
    <row r="302" spans="1:51" ht="14"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row>
    <row r="303" spans="1:51" ht="14"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row>
    <row r="304" spans="1:51" ht="14"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row>
    <row r="305" spans="1:51" ht="14"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row>
    <row r="306" spans="1:51" ht="14"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row>
    <row r="307" spans="1:51" ht="14"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row>
    <row r="308" spans="1:51" ht="14"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row>
    <row r="309" spans="1:51" ht="14"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row>
    <row r="310" spans="1:51" ht="14"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row>
    <row r="311" spans="1:51" ht="14"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row>
    <row r="312" spans="1:51" ht="14"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row>
    <row r="313" spans="1:51" ht="14"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row>
    <row r="314" spans="1:51" ht="14"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row>
    <row r="315" spans="1:51" ht="14"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row>
    <row r="316" spans="1:51" ht="14"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row>
    <row r="317" spans="1:51" ht="14"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row>
    <row r="318" spans="1:51" ht="14"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row>
    <row r="319" spans="1:51" ht="14"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row>
    <row r="320" spans="1:51" ht="14"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row>
    <row r="321" spans="1:51" ht="14"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row>
    <row r="322" spans="1:51" ht="14"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row>
    <row r="323" spans="1:51" ht="14"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row>
    <row r="324" spans="1:51" ht="14"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row>
    <row r="325" spans="1:51" ht="14"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row>
    <row r="326" spans="1:51" ht="14"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row>
    <row r="327" spans="1:51" ht="14"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row>
    <row r="328" spans="1:51" ht="14"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row>
    <row r="329" spans="1:51" ht="14"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row>
    <row r="330" spans="1:51" ht="14"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row>
    <row r="331" spans="1:51" ht="14"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row>
    <row r="332" spans="1:51" ht="14"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row>
    <row r="333" spans="1:51" ht="14"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row>
    <row r="334" spans="1:51" ht="14"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row>
    <row r="335" spans="1:51" ht="14"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row>
    <row r="336" spans="1:51" ht="14"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row>
    <row r="337" spans="1:51" ht="14"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row>
    <row r="338" spans="1:51" ht="14"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row>
    <row r="339" spans="1:51" ht="14"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row>
    <row r="340" spans="1:51" ht="14"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row>
    <row r="341" spans="1:51" ht="14"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row>
    <row r="342" spans="1:51" ht="14"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row>
    <row r="343" spans="1:51" ht="14"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row>
    <row r="344" spans="1:51" ht="14"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row>
    <row r="345" spans="1:51" ht="14"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row>
    <row r="346" spans="1:51" ht="14"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row>
    <row r="347" spans="1:51" ht="14"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row>
    <row r="348" spans="1:51" ht="14"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row>
    <row r="349" spans="1:51" ht="14"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row>
    <row r="350" spans="1:51" ht="14"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row>
    <row r="351" spans="1:51" ht="14"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row>
    <row r="352" spans="1:51" ht="14"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row>
    <row r="353" spans="1:51" ht="14"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row>
    <row r="354" spans="1:51" ht="14"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row>
    <row r="355" spans="1:51" ht="14"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row>
    <row r="356" spans="1:51" ht="14"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row>
    <row r="357" spans="1:51" ht="14"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row>
    <row r="358" spans="1:51" ht="14"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row>
    <row r="359" spans="1:51" ht="14"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row>
    <row r="360" spans="1:51" ht="14"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row>
    <row r="361" spans="1:51" ht="14"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row>
    <row r="362" spans="1:51" ht="14"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row>
    <row r="363" spans="1:51" ht="14"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row>
    <row r="364" spans="1:51" ht="14"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row>
    <row r="365" spans="1:51" ht="14"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row>
    <row r="366" spans="1:51" ht="14"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row>
    <row r="367" spans="1:51" ht="14"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row>
    <row r="368" spans="1:51" ht="14"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row>
    <row r="369" spans="1:51" ht="14"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row>
    <row r="370" spans="1:51" ht="14"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row>
    <row r="371" spans="1:51" ht="14"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row>
    <row r="372" spans="1:51" ht="14"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row>
    <row r="373" spans="1:51" ht="14"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row>
    <row r="374" spans="1:51" ht="14"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row>
    <row r="375" spans="1:51" ht="14"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row>
    <row r="376" spans="1:51" ht="14"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row>
    <row r="377" spans="1:51" ht="14"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row>
    <row r="378" spans="1:51" ht="14"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row>
    <row r="379" spans="1:51" ht="14"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row>
    <row r="380" spans="1:51" ht="14"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row>
    <row r="381" spans="1:51" ht="14"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row>
    <row r="382" spans="1:51" ht="14"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row>
    <row r="383" spans="1:51" ht="14"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row>
    <row r="384" spans="1:51" ht="14"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row>
    <row r="385" spans="1:51" ht="14"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row>
    <row r="386" spans="1:51" ht="14"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row>
    <row r="387" spans="1:51" ht="14"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row>
    <row r="388" spans="1:51" ht="14"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row>
    <row r="389" spans="1:51" ht="14"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row>
    <row r="390" spans="1:51" ht="14"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row>
    <row r="391" spans="1:51" ht="14"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row>
    <row r="392" spans="1:51" ht="14"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row>
    <row r="393" spans="1:51" ht="14"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row>
    <row r="394" spans="1:51" ht="14"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row>
    <row r="395" spans="1:51" ht="14"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row>
    <row r="396" spans="1:51" ht="14"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row>
    <row r="397" spans="1:51" ht="14"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row>
    <row r="398" spans="1:51" ht="14"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row>
    <row r="399" spans="1:51" ht="14"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row>
    <row r="400" spans="1:51" ht="14"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row>
    <row r="401" spans="1:51" ht="14"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row>
    <row r="402" spans="1:51" ht="14"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row>
    <row r="403" spans="1:51" ht="14"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row>
    <row r="404" spans="1:51" ht="14"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row>
    <row r="405" spans="1:51" ht="14"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row>
    <row r="406" spans="1:51" ht="14"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row>
    <row r="407" spans="1:51" ht="14"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row>
    <row r="408" spans="1:51" ht="14"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row>
    <row r="409" spans="1:51" ht="14"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row>
    <row r="410" spans="1:51" ht="14"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row>
    <row r="411" spans="1:51" ht="14"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row>
    <row r="412" spans="1:51" ht="14"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row>
    <row r="413" spans="1:51" ht="14"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row>
    <row r="414" spans="1:51" ht="14"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row>
    <row r="415" spans="1:51" ht="14"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row>
    <row r="416" spans="1:51" ht="14"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row>
    <row r="417" spans="1:51" ht="14"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row>
    <row r="418" spans="1:51" ht="14"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row>
    <row r="419" spans="1:51" ht="14"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row>
    <row r="420" spans="1:51" ht="14"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row>
    <row r="421" spans="1:51" ht="14"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row>
    <row r="422" spans="1:51" ht="14"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row>
    <row r="423" spans="1:51" ht="14"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row>
    <row r="424" spans="1:51" ht="14"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row>
    <row r="425" spans="1:51" ht="14"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row>
    <row r="426" spans="1:51" ht="14"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row>
    <row r="427" spans="1:51" ht="14"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row>
    <row r="428" spans="1:51" ht="14"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row>
    <row r="429" spans="1:51" ht="14"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row>
    <row r="430" spans="1:51" ht="14"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row>
    <row r="431" spans="1:51" ht="14"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row>
    <row r="432" spans="1:51" ht="14"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row>
    <row r="433" spans="1:51" ht="14"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row>
    <row r="434" spans="1:51" ht="14"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row>
    <row r="435" spans="1:51" ht="14"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row>
    <row r="436" spans="1:51" ht="14"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row>
    <row r="437" spans="1:51" ht="14"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row>
    <row r="438" spans="1:51" ht="14"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row>
    <row r="439" spans="1:51" ht="14"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row>
    <row r="440" spans="1:51" ht="14"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row>
    <row r="441" spans="1:51" ht="14"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row>
    <row r="442" spans="1:51" ht="14"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row>
    <row r="443" spans="1:51" ht="14"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row>
    <row r="444" spans="1:51" ht="14"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row>
    <row r="445" spans="1:51" ht="14"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row>
    <row r="446" spans="1:51" ht="14"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row>
    <row r="447" spans="1:51" ht="14"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row>
    <row r="448" spans="1:51" ht="14"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row>
    <row r="449" spans="1:51" ht="14"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row>
    <row r="450" spans="1:51" ht="14"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row>
    <row r="451" spans="1:51" ht="14"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row>
    <row r="452" spans="1:51" ht="14"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row>
    <row r="453" spans="1:51" ht="14"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row>
    <row r="454" spans="1:51" ht="14"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row>
    <row r="455" spans="1:51" ht="14"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row>
    <row r="456" spans="1:51" ht="14"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row>
    <row r="457" spans="1:51" ht="14"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row>
    <row r="458" spans="1:51" ht="14"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row>
    <row r="459" spans="1:51" ht="14"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row>
    <row r="460" spans="1:51" ht="14"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row>
    <row r="461" spans="1:51" ht="14"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row>
    <row r="462" spans="1:51" ht="14"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row>
    <row r="463" spans="1:51" ht="14"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row>
    <row r="464" spans="1:51" ht="14"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row>
    <row r="465" spans="1:51" ht="14"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row>
    <row r="466" spans="1:51" ht="14"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row>
    <row r="467" spans="1:51" ht="14"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row>
    <row r="468" spans="1:51" ht="14"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row>
    <row r="469" spans="1:51" ht="14"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row>
    <row r="470" spans="1:51" ht="14"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row>
    <row r="471" spans="1:51" ht="14"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row>
    <row r="472" spans="1:51" ht="14"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row>
    <row r="473" spans="1:51" ht="14"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row>
    <row r="474" spans="1:51" ht="14"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row>
    <row r="475" spans="1:51" ht="14"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row>
    <row r="476" spans="1:51" ht="14"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row>
    <row r="477" spans="1:51" ht="14"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row>
    <row r="478" spans="1:51" ht="14"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row>
    <row r="479" spans="1:51" ht="14"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row>
    <row r="480" spans="1:51" ht="14"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row>
    <row r="481" spans="1:51" ht="14"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row>
    <row r="482" spans="1:51" ht="14"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row>
    <row r="483" spans="1:51" ht="14"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row>
    <row r="484" spans="1:51" ht="14"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row>
    <row r="485" spans="1:51" ht="14"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row>
    <row r="486" spans="1:51" ht="14"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row>
    <row r="487" spans="1:51" ht="14"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row>
    <row r="488" spans="1:51" ht="14"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row>
    <row r="489" spans="1:51" ht="14"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row>
    <row r="490" spans="1:51" ht="14"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row>
    <row r="491" spans="1:51" ht="14"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row>
    <row r="492" spans="1:51" ht="14"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row>
    <row r="493" spans="1:51" ht="14"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row>
    <row r="494" spans="1:51" ht="14"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row>
    <row r="495" spans="1:51" ht="14"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row>
    <row r="496" spans="1:51" ht="14"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row>
    <row r="497" spans="1:51" ht="14"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row>
    <row r="498" spans="1:51" ht="14"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row>
    <row r="499" spans="1:51" ht="14"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row>
    <row r="500" spans="1:51" ht="14"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row>
    <row r="501" spans="1:51" ht="14"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row>
    <row r="502" spans="1:51" ht="14"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row>
    <row r="503" spans="1:51" ht="14"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row>
    <row r="504" spans="1:51" ht="14"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row>
    <row r="505" spans="1:51" ht="14"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row>
    <row r="506" spans="1:51" ht="14"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row>
    <row r="507" spans="1:51" ht="14"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row>
    <row r="508" spans="1:51" ht="14"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row>
    <row r="509" spans="1:51" ht="14"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row>
    <row r="510" spans="1:51" ht="14"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row>
    <row r="511" spans="1:51" ht="14"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row>
    <row r="512" spans="1:51" ht="14"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row>
    <row r="513" spans="1:51" ht="14"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row>
    <row r="514" spans="1:51" ht="14"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row>
    <row r="515" spans="1:51" ht="14"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row>
    <row r="516" spans="1:51" ht="14"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row>
    <row r="517" spans="1:51" ht="14"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row>
    <row r="518" spans="1:51" ht="14"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row>
    <row r="519" spans="1:51" ht="14"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row>
    <row r="520" spans="1:51" ht="14"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row>
    <row r="521" spans="1:51" ht="14"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row>
    <row r="522" spans="1:51" ht="14"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row>
    <row r="523" spans="1:51" ht="14"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row>
    <row r="524" spans="1:51" ht="14"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row>
    <row r="525" spans="1:51" ht="14"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row>
    <row r="526" spans="1:51" ht="14"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row>
    <row r="527" spans="1:51" ht="14"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row>
    <row r="528" spans="1:51" ht="14"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row>
    <row r="529" spans="1:51" ht="14"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row>
    <row r="530" spans="1:51" ht="14"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row>
    <row r="531" spans="1:51" ht="14"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row>
    <row r="532" spans="1:51" ht="14"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row>
    <row r="533" spans="1:51" ht="14"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row>
    <row r="534" spans="1:51" ht="14"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row>
    <row r="535" spans="1:51" ht="14"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row>
    <row r="536" spans="1:51" ht="14"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row>
    <row r="537" spans="1:51" ht="14"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row>
    <row r="538" spans="1:51" ht="14"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row>
    <row r="539" spans="1:51" ht="14"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row>
    <row r="540" spans="1:51" ht="14"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row>
    <row r="541" spans="1:51" ht="14"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row>
    <row r="542" spans="1:51" ht="14"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row>
    <row r="543" spans="1:51" ht="14"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row>
    <row r="544" spans="1:51" ht="14"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row>
    <row r="545" spans="1:51" ht="14"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row>
    <row r="546" spans="1:51" ht="14"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row>
    <row r="547" spans="1:51" ht="14"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row>
    <row r="548" spans="1:51" ht="14"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row>
    <row r="549" spans="1:51" ht="14"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row>
    <row r="550" spans="1:51" ht="14"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row>
    <row r="551" spans="1:51" ht="14"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row>
    <row r="552" spans="1:51" ht="14"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row>
    <row r="553" spans="1:51" ht="14"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row>
    <row r="554" spans="1:51" ht="14"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row>
    <row r="555" spans="1:51" ht="14"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row>
    <row r="556" spans="1:51" ht="14"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row>
    <row r="557" spans="1:51" ht="14"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row>
    <row r="558" spans="1:51" ht="14"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row>
    <row r="559" spans="1:51" ht="14"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row>
    <row r="560" spans="1:51" ht="14"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row>
    <row r="561" spans="1:51" ht="14"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row>
    <row r="562" spans="1:51" ht="14"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row>
    <row r="563" spans="1:51" ht="14"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row>
    <row r="564" spans="1:51" ht="14"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row>
    <row r="565" spans="1:51" ht="14"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row>
    <row r="566" spans="1:51" ht="14"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row>
    <row r="567" spans="1:51" ht="14"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row>
    <row r="568" spans="1:51" ht="14"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row>
    <row r="569" spans="1:51" ht="14"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row>
    <row r="570" spans="1:51" ht="14"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row>
    <row r="571" spans="1:51" ht="14"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row>
    <row r="572" spans="1:51" ht="14"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row>
    <row r="573" spans="1:51" ht="14"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row>
    <row r="574" spans="1:51" ht="14"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row>
    <row r="575" spans="1:51" ht="14"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row>
    <row r="576" spans="1:51" ht="14"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row>
    <row r="577" spans="1:51" ht="14"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row>
    <row r="578" spans="1:51" ht="14"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row>
    <row r="579" spans="1:51" ht="14"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row>
    <row r="580" spans="1:51" ht="14"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row>
    <row r="581" spans="1:51" ht="14"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row>
    <row r="582" spans="1:51" ht="14"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row>
    <row r="583" spans="1:51" ht="14"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row>
    <row r="584" spans="1:51" ht="14"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row>
    <row r="585" spans="1:51" ht="14"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row>
    <row r="586" spans="1:51" ht="14"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row>
    <row r="587" spans="1:51" ht="14"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row>
    <row r="588" spans="1:51" ht="14"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row>
    <row r="589" spans="1:51" ht="14"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row>
    <row r="590" spans="1:51" ht="14"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row>
    <row r="591" spans="1:51" ht="14"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row>
    <row r="592" spans="1:51" ht="14"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row>
    <row r="593" spans="1:51" ht="14"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row>
    <row r="594" spans="1:51" ht="14"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row>
    <row r="595" spans="1:51" ht="14"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row>
    <row r="596" spans="1:51" ht="14"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row>
    <row r="597" spans="1:51" ht="14"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row>
    <row r="598" spans="1:51" ht="14"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row>
    <row r="599" spans="1:51" ht="14"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row>
    <row r="600" spans="1:51" ht="14"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row>
    <row r="601" spans="1:51" ht="14"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row>
    <row r="602" spans="1:51" ht="14"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row>
    <row r="603" spans="1:51" ht="14"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row>
    <row r="604" spans="1:51" ht="14"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row>
    <row r="605" spans="1:51" ht="14"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row>
    <row r="606" spans="1:51" ht="14"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row>
    <row r="607" spans="1:51" ht="14"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row>
    <row r="608" spans="1:51" ht="14"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row>
    <row r="609" spans="1:51" ht="14"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row>
    <row r="610" spans="1:51" ht="14"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row>
    <row r="611" spans="1:51" ht="14"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row>
    <row r="612" spans="1:51" ht="14"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row>
    <row r="613" spans="1:51" ht="14"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row>
    <row r="614" spans="1:51" ht="14"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row>
    <row r="615" spans="1:51" ht="14"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row>
    <row r="616" spans="1:51" ht="14"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row>
    <row r="617" spans="1:51" ht="14"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row>
    <row r="618" spans="1:51" ht="14"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row>
    <row r="619" spans="1:51" ht="14"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row>
    <row r="620" spans="1:51" ht="14"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row>
    <row r="621" spans="1:51" ht="14"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row>
    <row r="622" spans="1:51" ht="14"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row>
    <row r="623" spans="1:51" ht="14"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row>
    <row r="624" spans="1:51" ht="14"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row>
    <row r="625" spans="1:51" ht="14"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row>
    <row r="626" spans="1:51" ht="14"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row>
    <row r="627" spans="1:51" ht="14"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row>
    <row r="628" spans="1:51" ht="14"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row>
    <row r="629" spans="1:51" ht="14"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row>
    <row r="630" spans="1:51" ht="14"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row>
    <row r="631" spans="1:51" ht="14"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row>
    <row r="632" spans="1:51" ht="14"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row>
    <row r="633" spans="1:51" ht="14"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row>
    <row r="634" spans="1:51" ht="14"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row>
    <row r="635" spans="1:51" ht="14"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row>
    <row r="636" spans="1:51" ht="14"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row>
    <row r="637" spans="1:51" ht="14"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row>
    <row r="638" spans="1:51" ht="14"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row>
    <row r="639" spans="1:51" ht="14"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row>
    <row r="640" spans="1:51" ht="14"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row>
    <row r="641" spans="1:51" ht="14"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row>
    <row r="642" spans="1:51" ht="14"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row>
    <row r="643" spans="1:51" ht="14"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row>
    <row r="644" spans="1:51" ht="14"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row>
    <row r="645" spans="1:51" ht="14"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row>
    <row r="646" spans="1:51" ht="14"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row>
    <row r="647" spans="1:51" ht="14"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row>
    <row r="648" spans="1:51" ht="14"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row>
    <row r="649" spans="1:51" ht="14"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row>
    <row r="650" spans="1:51" ht="14"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row>
    <row r="651" spans="1:51" ht="14"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row>
    <row r="652" spans="1:51" ht="14"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row>
    <row r="653" spans="1:51" ht="14"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row>
    <row r="654" spans="1:51" ht="14"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row>
    <row r="655" spans="1:51" ht="14"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row>
    <row r="656" spans="1:51" ht="14"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row>
    <row r="657" spans="1:51" ht="14"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row>
    <row r="658" spans="1:51" ht="14"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row>
    <row r="659" spans="1:51" ht="14"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row>
    <row r="660" spans="1:51" ht="14"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row>
    <row r="661" spans="1:51" ht="14"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row>
    <row r="662" spans="1:51" ht="14"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row>
    <row r="663" spans="1:51" ht="14"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row>
    <row r="664" spans="1:51" ht="14"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row>
    <row r="665" spans="1:51" ht="14"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row>
    <row r="666" spans="1:51" ht="14"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row>
    <row r="667" spans="1:51" ht="14"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row>
    <row r="668" spans="1:51" ht="14"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row>
    <row r="669" spans="1:51" ht="14"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row>
    <row r="670" spans="1:51" ht="14"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row>
    <row r="671" spans="1:51" ht="14"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row>
    <row r="672" spans="1:51" ht="14"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row>
    <row r="673" spans="1:51" ht="14"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row>
    <row r="674" spans="1:51" ht="14"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row>
    <row r="675" spans="1:51" ht="14"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row>
    <row r="676" spans="1:51" ht="14"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row>
    <row r="677" spans="1:51" ht="14"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row>
    <row r="678" spans="1:51" ht="14"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row>
    <row r="679" spans="1:51" ht="14"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row>
    <row r="680" spans="1:51" ht="14"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row>
    <row r="681" spans="1:51" ht="14"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row>
    <row r="682" spans="1:51" ht="14"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row>
    <row r="683" spans="1:51" ht="14"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row>
    <row r="684" spans="1:51" ht="14"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row>
    <row r="685" spans="1:51" ht="14"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row>
    <row r="686" spans="1:51" ht="14"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row>
    <row r="687" spans="1:51" ht="14"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row>
    <row r="688" spans="1:51" ht="14"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row>
    <row r="689" spans="1:51" ht="14"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row>
    <row r="690" spans="1:51" ht="14"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row>
    <row r="691" spans="1:51" ht="14"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row>
    <row r="692" spans="1:51" ht="14"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row>
    <row r="693" spans="1:51" ht="14"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row>
    <row r="694" spans="1:51" ht="14"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row>
    <row r="695" spans="1:51" ht="14"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row>
    <row r="696" spans="1:51" ht="14"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row>
    <row r="697" spans="1:51" ht="14"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row>
    <row r="698" spans="1:51" ht="14"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row>
    <row r="699" spans="1:51" ht="14"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row>
    <row r="700" spans="1:51" ht="14"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row>
    <row r="701" spans="1:51" ht="14"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row>
    <row r="702" spans="1:51" ht="14"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row>
    <row r="703" spans="1:51" ht="14"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row>
    <row r="704" spans="1:51" ht="14"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row>
    <row r="705" spans="1:51" ht="14"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row>
    <row r="706" spans="1:51" ht="14"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row>
    <row r="707" spans="1:51" ht="14"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row>
    <row r="708" spans="1:51" ht="14"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row>
    <row r="709" spans="1:51" ht="14"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row>
    <row r="710" spans="1:51" ht="14"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row>
    <row r="711" spans="1:51" ht="14"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row>
    <row r="712" spans="1:51" ht="14"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row>
    <row r="713" spans="1:51" ht="14"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row>
    <row r="714" spans="1:51" ht="14"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row>
    <row r="715" spans="1:51" ht="14"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row>
    <row r="716" spans="1:51" ht="14"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row>
    <row r="717" spans="1:51" ht="14"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row>
    <row r="718" spans="1:51" ht="14"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row>
    <row r="719" spans="1:51" ht="14"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row>
    <row r="720" spans="1:51" ht="14"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row>
    <row r="721" spans="1:51" ht="14"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row>
    <row r="722" spans="1:51" ht="14"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row>
    <row r="723" spans="1:51" ht="14"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row>
    <row r="724" spans="1:51" ht="14"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row>
    <row r="725" spans="1:51" ht="14"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row>
    <row r="726" spans="1:51" ht="14"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row>
    <row r="727" spans="1:51" ht="14"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row>
    <row r="728" spans="1:51" ht="14"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row>
    <row r="729" spans="1:51" ht="14"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row>
    <row r="730" spans="1:51" ht="14"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row>
    <row r="731" spans="1:51" ht="14"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row>
    <row r="732" spans="1:51" ht="14"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row>
    <row r="733" spans="1:51" ht="14"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row>
    <row r="734" spans="1:51" ht="14"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row>
    <row r="735" spans="1:51" ht="14"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row>
    <row r="736" spans="1:51" ht="14"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row>
    <row r="737" spans="1:51" ht="14"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row>
    <row r="738" spans="1:51" ht="14"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row>
    <row r="739" spans="1:51" ht="14"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row>
    <row r="740" spans="1:51" ht="14"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row>
    <row r="741" spans="1:51" ht="14"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row>
    <row r="742" spans="1:51" ht="14"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row>
    <row r="743" spans="1:51" ht="14"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row>
    <row r="744" spans="1:51" ht="14"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row>
    <row r="745" spans="1:51" ht="14"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row>
    <row r="746" spans="1:51" ht="14"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row>
    <row r="747" spans="1:51" ht="14"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row>
    <row r="748" spans="1:51" ht="14"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row>
    <row r="749" spans="1:51" ht="14"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row>
    <row r="750" spans="1:51" ht="14"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row>
    <row r="751" spans="1:51" ht="14"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row>
    <row r="752" spans="1:51" ht="14"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row>
    <row r="753" spans="1:51" ht="14"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row>
    <row r="754" spans="1:51" ht="14"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row>
    <row r="755" spans="1:51" ht="14"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row>
    <row r="756" spans="1:51" ht="14"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row>
    <row r="757" spans="1:51" ht="14"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row>
    <row r="758" spans="1:51" ht="14"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row>
    <row r="759" spans="1:51" ht="14"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row>
    <row r="760" spans="1:51" ht="14"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row>
    <row r="761" spans="1:51" ht="14"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row>
    <row r="762" spans="1:51" ht="14"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row>
    <row r="763" spans="1:51" ht="14"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row>
    <row r="764" spans="1:51" ht="14"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row>
    <row r="765" spans="1:51" ht="14"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row>
    <row r="766" spans="1:51" ht="14"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row>
    <row r="767" spans="1:51" ht="14"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row>
    <row r="768" spans="1:51" ht="14"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row>
    <row r="769" spans="1:51" ht="14"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row>
    <row r="770" spans="1:51" ht="14"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row>
    <row r="771" spans="1:51" ht="14"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row>
    <row r="772" spans="1:51" ht="14"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row>
    <row r="773" spans="1:51" ht="14"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row>
    <row r="774" spans="1:51" ht="14"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row>
    <row r="775" spans="1:51" ht="14"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row>
    <row r="776" spans="1:51" ht="14"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row>
    <row r="777" spans="1:51" ht="14"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row>
    <row r="778" spans="1:51" ht="14"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row>
    <row r="779" spans="1:51" ht="14"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row>
    <row r="780" spans="1:51" ht="14"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row>
    <row r="781" spans="1:51" ht="14"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row>
    <row r="782" spans="1:51" ht="14"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row>
    <row r="783" spans="1:51" ht="14"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row>
    <row r="784" spans="1:51" ht="14"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row>
    <row r="785" spans="1:51" ht="14"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row>
    <row r="786" spans="1:51" ht="14"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row>
    <row r="787" spans="1:51" ht="14"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row>
    <row r="788" spans="1:51" ht="14"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row>
    <row r="789" spans="1:51" ht="14"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row>
    <row r="790" spans="1:51" ht="14"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row>
    <row r="791" spans="1:51" ht="14"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row>
    <row r="792" spans="1:51" ht="14"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row>
    <row r="793" spans="1:51" ht="14"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row>
    <row r="794" spans="1:51" ht="14"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row>
    <row r="795" spans="1:51" ht="14"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row>
    <row r="796" spans="1:51" ht="14"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row>
    <row r="797" spans="1:51" ht="14"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row>
    <row r="798" spans="1:51" ht="14"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row>
    <row r="799" spans="1:51" ht="14"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row>
    <row r="800" spans="1:51" ht="14"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row>
    <row r="801" spans="1:51" ht="14"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row>
    <row r="802" spans="1:51" ht="14"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row>
    <row r="803" spans="1:51" ht="14"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row>
    <row r="804" spans="1:51" ht="14"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row>
    <row r="805" spans="1:51" ht="14"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row>
    <row r="806" spans="1:51" ht="14"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row>
    <row r="807" spans="1:51" ht="14"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row>
    <row r="808" spans="1:51" ht="14"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row>
    <row r="809" spans="1:51" ht="14"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row>
    <row r="810" spans="1:51" ht="14"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row>
    <row r="811" spans="1:51" ht="14"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row>
    <row r="812" spans="1:51" ht="14"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row>
    <row r="813" spans="1:51" ht="14"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row>
    <row r="814" spans="1:51" ht="14"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row>
    <row r="815" spans="1:51" ht="14"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row>
    <row r="816" spans="1:51" ht="14"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row>
    <row r="817" spans="1:51" ht="14"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row>
    <row r="818" spans="1:51" ht="14"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row>
    <row r="819" spans="1:51" ht="14"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row>
    <row r="820" spans="1:51" ht="14"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row>
    <row r="821" spans="1:51" ht="14"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row>
    <row r="822" spans="1:51" ht="14"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row>
    <row r="823" spans="1:51" ht="14"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row>
    <row r="824" spans="1:51" ht="14"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row>
    <row r="825" spans="1:51" ht="14"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row>
    <row r="826" spans="1:51" ht="14"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row>
    <row r="827" spans="1:51" ht="14"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row>
    <row r="828" spans="1:51" ht="14"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row>
    <row r="829" spans="1:51" ht="14"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row>
    <row r="830" spans="1:51" ht="14"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row>
    <row r="831" spans="1:51" ht="14"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row>
    <row r="832" spans="1:51" ht="14"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row>
    <row r="833" spans="1:51" ht="14"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row>
    <row r="834" spans="1:51" ht="14"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row>
    <row r="835" spans="1:51" ht="14"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row>
    <row r="836" spans="1:51" ht="14"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row>
    <row r="837" spans="1:51" ht="14"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row>
    <row r="838" spans="1:51" ht="14"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row>
    <row r="839" spans="1:51" ht="14"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row>
    <row r="840" spans="1:51" ht="14"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row>
    <row r="841" spans="1:51" ht="14"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row>
    <row r="842" spans="1:51" ht="14"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row>
    <row r="843" spans="1:51" ht="14"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row>
    <row r="844" spans="1:51" ht="14"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row>
    <row r="845" spans="1:51" ht="14"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row>
    <row r="846" spans="1:51" ht="14"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row>
    <row r="847" spans="1:51" ht="14"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row>
    <row r="848" spans="1:51" ht="14"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row>
    <row r="849" spans="1:51" ht="14"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row>
    <row r="850" spans="1:51" ht="14"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row>
    <row r="851" spans="1:51" ht="14"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row>
    <row r="852" spans="1:51" ht="14"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row>
    <row r="853" spans="1:51" ht="14"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row>
    <row r="854" spans="1:51" ht="14"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row>
    <row r="855" spans="1:51" ht="14"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row>
    <row r="856" spans="1:51" ht="14"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row>
    <row r="857" spans="1:51" ht="14"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row>
    <row r="858" spans="1:51" ht="14"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row>
    <row r="859" spans="1:51" ht="14"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row>
    <row r="860" spans="1:51" ht="14"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row>
    <row r="861" spans="1:51" ht="14"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row>
    <row r="862" spans="1:51" ht="14"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row>
    <row r="863" spans="1:51" ht="14"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row>
    <row r="864" spans="1:51" ht="14"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row>
    <row r="865" spans="1:51" ht="14"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row>
    <row r="866" spans="1:51" ht="14"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row>
    <row r="867" spans="1:51" ht="14"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row>
    <row r="868" spans="1:51" ht="14"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row>
    <row r="869" spans="1:51" ht="14"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row>
    <row r="870" spans="1:51" ht="14"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row>
    <row r="871" spans="1:51" ht="14"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row>
    <row r="872" spans="1:51" ht="14"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row>
    <row r="873" spans="1:51" ht="14"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row>
    <row r="874" spans="1:51" ht="14"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row>
    <row r="875" spans="1:51" ht="14"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row>
    <row r="876" spans="1:51" ht="14"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row>
    <row r="877" spans="1:51" ht="14"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row>
    <row r="878" spans="1:51" ht="14"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row>
    <row r="879" spans="1:51" ht="14"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row>
    <row r="880" spans="1:51" ht="14"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row>
    <row r="881" spans="1:51" ht="14"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row>
    <row r="882" spans="1:51" ht="14"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row>
    <row r="883" spans="1:51" ht="14"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row>
    <row r="884" spans="1:51" ht="14"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row>
    <row r="885" spans="1:51" ht="14"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row>
    <row r="886" spans="1:51" ht="14"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row>
    <row r="887" spans="1:51" ht="14"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row>
    <row r="888" spans="1:51" ht="14"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row>
    <row r="889" spans="1:51" ht="14"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row>
    <row r="890" spans="1:51" ht="14"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row>
    <row r="891" spans="1:51" ht="14"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row>
    <row r="892" spans="1:51" ht="14"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row>
    <row r="893" spans="1:51" ht="14"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row>
    <row r="894" spans="1:51" ht="14"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row>
    <row r="895" spans="1:51" ht="14"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row>
    <row r="896" spans="1:51" ht="14"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row>
    <row r="897" spans="1:51" ht="14"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row>
    <row r="898" spans="1:51" ht="14"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row>
    <row r="899" spans="1:51" ht="14"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row>
    <row r="900" spans="1:51" ht="14"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row>
    <row r="901" spans="1:51" ht="14"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row>
    <row r="902" spans="1:51" ht="14"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row>
    <row r="903" spans="1:51" ht="14"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row>
    <row r="904" spans="1:51" ht="14"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row>
    <row r="905" spans="1:51" ht="14"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row>
    <row r="906" spans="1:51" ht="14"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row>
    <row r="907" spans="1:51" ht="14"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row>
    <row r="908" spans="1:51" ht="14"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row>
    <row r="909" spans="1:51" ht="14"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row>
    <row r="910" spans="1:51" ht="14"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row>
    <row r="911" spans="1:51" ht="14"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row>
    <row r="912" spans="1:51" ht="14"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row>
    <row r="913" spans="1:51" ht="14"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row>
    <row r="914" spans="1:51" ht="14"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row>
    <row r="915" spans="1:51" ht="14"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row>
    <row r="916" spans="1:51" ht="14"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row>
    <row r="917" spans="1:51" ht="14"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row>
    <row r="918" spans="1:51" ht="14"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row>
    <row r="919" spans="1:51" ht="14"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row>
    <row r="920" spans="1:51" ht="14"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row>
    <row r="921" spans="1:51" ht="14"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row>
    <row r="922" spans="1:51" ht="14"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row>
    <row r="923" spans="1:51" ht="14"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row>
    <row r="924" spans="1:51" ht="14"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row>
    <row r="925" spans="1:51" ht="14"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row>
    <row r="926" spans="1:51" ht="14"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row>
    <row r="927" spans="1:51" ht="14"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row>
    <row r="928" spans="1:51" ht="14"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row>
    <row r="929" spans="1:51" ht="14"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row>
    <row r="930" spans="1:51" ht="14"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row>
    <row r="931" spans="1:51" ht="14"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row>
    <row r="932" spans="1:51" ht="14"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row>
    <row r="933" spans="1:51" ht="14"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row>
    <row r="934" spans="1:51" ht="14"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row>
    <row r="935" spans="1:51" ht="14"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row>
    <row r="936" spans="1:51" ht="14"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row>
    <row r="937" spans="1:51" ht="14"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row>
    <row r="938" spans="1:51" ht="14"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row>
    <row r="939" spans="1:51" ht="14"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row>
    <row r="940" spans="1:51" ht="14"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row>
    <row r="941" spans="1:51" ht="14"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row>
    <row r="942" spans="1:51" ht="14"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row>
    <row r="943" spans="1:51" ht="14"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row>
    <row r="944" spans="1:51" ht="14"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row>
    <row r="945" spans="1:51" ht="14"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row>
    <row r="946" spans="1:51" ht="14"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row>
    <row r="947" spans="1:51" ht="14"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row>
    <row r="948" spans="1:51" ht="14"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row>
    <row r="949" spans="1:51" ht="14"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row>
    <row r="950" spans="1:51" ht="14"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row>
    <row r="951" spans="1:51" ht="14"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row>
    <row r="952" spans="1:51" ht="14"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row>
    <row r="953" spans="1:51" ht="14"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row>
    <row r="954" spans="1:51" ht="14"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row>
    <row r="955" spans="1:51" ht="14"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row>
    <row r="956" spans="1:51" ht="14"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row>
    <row r="957" spans="1:51" ht="14"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row>
    <row r="958" spans="1:51" ht="14"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row>
    <row r="959" spans="1:51" ht="14"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row>
    <row r="960" spans="1:51" ht="14"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row>
    <row r="961" spans="1:51" ht="14"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row>
    <row r="962" spans="1:51" ht="14"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row>
    <row r="963" spans="1:51" ht="14"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row>
    <row r="964" spans="1:51" ht="14"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row>
    <row r="965" spans="1:51" ht="14"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row>
    <row r="966" spans="1:51" ht="14"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row>
    <row r="967" spans="1:51" ht="14"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row>
    <row r="968" spans="1:51" ht="14"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row>
    <row r="969" spans="1:51" ht="14"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row>
    <row r="970" spans="1:51" ht="14"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row>
    <row r="971" spans="1:51" ht="14"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row>
    <row r="972" spans="1:51" ht="14"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row>
    <row r="973" spans="1:51" ht="14"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row>
    <row r="974" spans="1:51" ht="14"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row>
    <row r="975" spans="1:51" ht="14"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row>
    <row r="976" spans="1:51" ht="14"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row>
    <row r="977" spans="1:51" ht="14"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row>
    <row r="978" spans="1:51" ht="14"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row>
    <row r="979" spans="1:51" ht="14"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row>
    <row r="980" spans="1:51" ht="14"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row>
    <row r="981" spans="1:51" ht="14"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row>
    <row r="982" spans="1:51" ht="14"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row>
    <row r="983" spans="1:51" ht="14"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row>
    <row r="984" spans="1:51" ht="14"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row>
    <row r="985" spans="1:51" ht="14"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row>
    <row r="986" spans="1:51" ht="14"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row>
    <row r="987" spans="1:51" ht="14"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row>
    <row r="988" spans="1:51" ht="14"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row>
    <row r="989" spans="1:51" ht="14"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row>
    <row r="990" spans="1:51" ht="14"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row>
    <row r="991" spans="1:51" ht="14"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row>
    <row r="992" spans="1:51" ht="14"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row>
    <row r="993" spans="1:51" ht="14"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row>
    <row r="994" spans="1:51" ht="14"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row>
    <row r="995" spans="1:51" ht="14"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row>
    <row r="996" spans="1:51" ht="14"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row>
    <row r="997" spans="1:51" ht="14"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row>
    <row r="998" spans="1:51" ht="14"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row>
    <row r="999" spans="1:51" ht="14"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row>
    <row r="1000" spans="1:51" ht="14"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row>
    <row r="1001" spans="1:51" ht="14" x14ac:dyDescent="0.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row>
    <row r="1002" spans="1:51" ht="14" x14ac:dyDescent="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row>
    <row r="1003" spans="1:51" ht="14" x14ac:dyDescent="0.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row>
    <row r="1004" spans="1:51" ht="14" x14ac:dyDescent="0.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row>
    <row r="1005" spans="1:51" ht="14" x14ac:dyDescent="0.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row>
    <row r="1006" spans="1:51" ht="14" x14ac:dyDescent="0.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row>
    <row r="1007" spans="1:51" ht="14" x14ac:dyDescent="0.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row>
    <row r="1008" spans="1:51" ht="14" x14ac:dyDescent="0.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row>
    <row r="1009" spans="1:51" ht="14" x14ac:dyDescent="0.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row>
    <row r="1010" spans="1:51" ht="14" x14ac:dyDescent="0.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row>
    <row r="1011" spans="1:51" ht="14" x14ac:dyDescent="0.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row>
    <row r="1012" spans="1:51" ht="14" x14ac:dyDescent="0.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row>
    <row r="1013" spans="1:51" ht="14" x14ac:dyDescent="0.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row>
    <row r="1014" spans="1:51" ht="14" x14ac:dyDescent="0.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row>
    <row r="1015" spans="1:51" ht="14" x14ac:dyDescent="0.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row>
    <row r="1016" spans="1:51" ht="14" x14ac:dyDescent="0.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row>
    <row r="1017" spans="1:51" ht="14" x14ac:dyDescent="0.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row>
    <row r="1018" spans="1:51" ht="14" x14ac:dyDescent="0.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row>
    <row r="1019" spans="1:51" ht="14" x14ac:dyDescent="0.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row>
    <row r="1020" spans="1:51" ht="14" x14ac:dyDescent="0.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row>
    <row r="1021" spans="1:51" ht="14" x14ac:dyDescent="0.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row>
    <row r="1022" spans="1:51" ht="14" x14ac:dyDescent="0.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row>
    <row r="1023" spans="1:51" ht="14" x14ac:dyDescent="0.2">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row>
    <row r="1024" spans="1:51" ht="14" x14ac:dyDescent="0.2">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row>
    <row r="1025" spans="1:51" ht="14" x14ac:dyDescent="0.2">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row>
    <row r="1026" spans="1:51" ht="14" x14ac:dyDescent="0.2">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row>
    <row r="1027" spans="1:51" ht="14" x14ac:dyDescent="0.2">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row>
    <row r="1028" spans="1:51" ht="14" x14ac:dyDescent="0.2">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row>
    <row r="1029" spans="1:51" ht="14" x14ac:dyDescent="0.2">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row>
    <row r="1030" spans="1:51" ht="14" x14ac:dyDescent="0.2">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row>
    <row r="1031" spans="1:51" ht="14" x14ac:dyDescent="0.2">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row>
    <row r="1032" spans="1:51" ht="14" x14ac:dyDescent="0.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row>
    <row r="1033" spans="1:51" ht="14" x14ac:dyDescent="0.2">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row>
    <row r="1034" spans="1:51" ht="14" x14ac:dyDescent="0.2">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row>
    <row r="1035" spans="1:51" ht="14" x14ac:dyDescent="0.2">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row>
    <row r="1036" spans="1:51" ht="14" x14ac:dyDescent="0.2">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row>
    <row r="1037" spans="1:51" ht="14" x14ac:dyDescent="0.2">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row>
    <row r="1038" spans="1:51" ht="14" x14ac:dyDescent="0.2">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row>
    <row r="1039" spans="1:51" ht="14" x14ac:dyDescent="0.2">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row>
    <row r="1040" spans="1:51" ht="14" x14ac:dyDescent="0.2">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row>
    <row r="1041" spans="1:51" ht="14" x14ac:dyDescent="0.2">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row>
    <row r="1042" spans="1:51" ht="14" x14ac:dyDescent="0.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row>
    <row r="1043" spans="1:51" ht="14" x14ac:dyDescent="0.2">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row>
    <row r="1044" spans="1:51" ht="14" x14ac:dyDescent="0.2">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row>
    <row r="1045" spans="1:51" ht="14" x14ac:dyDescent="0.2">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row>
    <row r="1046" spans="1:51" ht="14" x14ac:dyDescent="0.2">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row>
    <row r="1047" spans="1:51" ht="14" x14ac:dyDescent="0.2">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row>
    <row r="1048" spans="1:51" ht="14" x14ac:dyDescent="0.2">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row>
    <row r="1049" spans="1:51" ht="14" x14ac:dyDescent="0.2">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row>
    <row r="1050" spans="1:51" ht="14" x14ac:dyDescent="0.2">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row>
    <row r="1051" spans="1:51" ht="14" x14ac:dyDescent="0.2">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row>
    <row r="1052" spans="1:51" ht="14" x14ac:dyDescent="0.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row>
    <row r="1053" spans="1:51" ht="14" x14ac:dyDescent="0.2">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row>
    <row r="1054" spans="1:51" ht="14" x14ac:dyDescent="0.2">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row>
    <row r="1055" spans="1:51" ht="14" x14ac:dyDescent="0.2">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row>
    <row r="1056" spans="1:51" ht="14" x14ac:dyDescent="0.2">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row>
    <row r="1057" spans="1:51" ht="14" x14ac:dyDescent="0.2">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row>
    <row r="1058" spans="1:51" ht="14" x14ac:dyDescent="0.2">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row>
    <row r="1059" spans="1:51" ht="14" x14ac:dyDescent="0.2">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row>
    <row r="1060" spans="1:51" ht="14" x14ac:dyDescent="0.2">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row>
    <row r="1061" spans="1:51" ht="14" x14ac:dyDescent="0.2">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row>
    <row r="1062" spans="1:51" ht="14" x14ac:dyDescent="0.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row>
    <row r="1063" spans="1:51" ht="14" x14ac:dyDescent="0.2">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row>
    <row r="1064" spans="1:51" ht="14" x14ac:dyDescent="0.2">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row>
    <row r="1065" spans="1:51" ht="14" x14ac:dyDescent="0.2">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row>
    <row r="1066" spans="1:51" ht="14" x14ac:dyDescent="0.2">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row>
    <row r="1067" spans="1:51" ht="14" x14ac:dyDescent="0.2">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row>
    <row r="1068" spans="1:51" ht="14" x14ac:dyDescent="0.2">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row>
    <row r="1069" spans="1:51" ht="14" x14ac:dyDescent="0.2">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row>
    <row r="1070" spans="1:51" ht="14" x14ac:dyDescent="0.2">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row>
    <row r="1071" spans="1:51" ht="14" x14ac:dyDescent="0.2">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row>
    <row r="1072" spans="1:51" ht="14" x14ac:dyDescent="0.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row>
    <row r="1073" spans="1:51" ht="14" x14ac:dyDescent="0.2">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row>
    <row r="1074" spans="1:51" ht="14" x14ac:dyDescent="0.2">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row>
    <row r="1075" spans="1:51" ht="14" x14ac:dyDescent="0.2">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row>
    <row r="1076" spans="1:51" ht="14" x14ac:dyDescent="0.2">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row>
    <row r="1077" spans="1:51" ht="14" x14ac:dyDescent="0.2">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row>
    <row r="1078" spans="1:51" ht="14" x14ac:dyDescent="0.2">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row>
    <row r="1079" spans="1:51" ht="14" x14ac:dyDescent="0.2">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row>
    <row r="1080" spans="1:51" ht="14" x14ac:dyDescent="0.2">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row>
    <row r="1081" spans="1:51" ht="14" x14ac:dyDescent="0.2">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row>
    <row r="1082" spans="1:51" ht="14" x14ac:dyDescent="0.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row>
    <row r="1083" spans="1:51" ht="14" x14ac:dyDescent="0.2">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row>
    <row r="1084" spans="1:51" ht="14" x14ac:dyDescent="0.2">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row>
    <row r="1085" spans="1:51" ht="14" x14ac:dyDescent="0.2">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row>
    <row r="1086" spans="1:51" ht="14" x14ac:dyDescent="0.2">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row>
    <row r="1087" spans="1:51" ht="14" x14ac:dyDescent="0.2">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row>
    <row r="1088" spans="1:51" ht="14" x14ac:dyDescent="0.2">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row>
    <row r="1089" spans="1:51" ht="14" x14ac:dyDescent="0.2">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row>
    <row r="1090" spans="1:51" ht="14" x14ac:dyDescent="0.2">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row>
    <row r="1091" spans="1:51" ht="14" x14ac:dyDescent="0.2">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row>
    <row r="1092" spans="1:51" ht="14" x14ac:dyDescent="0.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row>
    <row r="1093" spans="1:51" ht="14" x14ac:dyDescent="0.2">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row>
    <row r="1094" spans="1:51" ht="14" x14ac:dyDescent="0.2">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row>
    <row r="1095" spans="1:51" ht="14" x14ac:dyDescent="0.2">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row>
    <row r="1096" spans="1:51" ht="14" x14ac:dyDescent="0.2">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row>
    <row r="1097" spans="1:51" ht="14" x14ac:dyDescent="0.2">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row>
    <row r="1098" spans="1:51" ht="14" x14ac:dyDescent="0.2">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row>
    <row r="1099" spans="1:51" ht="14" x14ac:dyDescent="0.2">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row>
    <row r="1100" spans="1:51" ht="14" x14ac:dyDescent="0.2">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row>
    <row r="1101" spans="1:51" ht="14" x14ac:dyDescent="0.2">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row>
    <row r="1102" spans="1:51" ht="14" x14ac:dyDescent="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row>
    <row r="1103" spans="1:51" ht="14" x14ac:dyDescent="0.2">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row>
    <row r="1104" spans="1:51" ht="14" x14ac:dyDescent="0.2">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row>
    <row r="1105" spans="1:51" ht="14" x14ac:dyDescent="0.2">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row>
    <row r="1106" spans="1:51" ht="14" x14ac:dyDescent="0.2">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row>
    <row r="1107" spans="1:51" ht="14" x14ac:dyDescent="0.2">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row>
    <row r="1108" spans="1:51" ht="14" x14ac:dyDescent="0.2">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row>
    <row r="1109" spans="1:51" ht="14" x14ac:dyDescent="0.2">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row>
    <row r="1110" spans="1:51" ht="14" x14ac:dyDescent="0.2">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row>
    <row r="1111" spans="1:51" ht="14" x14ac:dyDescent="0.2">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row>
    <row r="1112" spans="1:51" ht="14" x14ac:dyDescent="0.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row>
    <row r="1113" spans="1:51" ht="14" x14ac:dyDescent="0.2">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row>
    <row r="1114" spans="1:51" ht="14" x14ac:dyDescent="0.2">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row>
    <row r="1115" spans="1:51" ht="14" x14ac:dyDescent="0.2">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row>
    <row r="1116" spans="1:51" ht="14" x14ac:dyDescent="0.2">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row>
    <row r="1117" spans="1:51" ht="14" x14ac:dyDescent="0.2">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row>
    <row r="1118" spans="1:51" ht="14" x14ac:dyDescent="0.2">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row>
    <row r="1119" spans="1:51" ht="14" x14ac:dyDescent="0.2">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row>
    <row r="1120" spans="1:51" ht="14" x14ac:dyDescent="0.2">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row>
    <row r="1121" spans="1:51" ht="14" x14ac:dyDescent="0.2">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row>
    <row r="1122" spans="1:51" ht="14" x14ac:dyDescent="0.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row>
    <row r="1123" spans="1:51" ht="14" x14ac:dyDescent="0.2">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row>
  </sheetData>
  <hyperlinks>
    <hyperlink ref="A221" r:id="rId1" xr:uid="{C4922615-9215-0248-88EE-288D7CA7A437}"/>
    <hyperlink ref="A225" r:id="rId2" xr:uid="{20F50391-13B2-EC45-8D8E-E3F3FE7F75CA}"/>
    <hyperlink ref="A227" r:id="rId3" xr:uid="{A8E6E8B9-676B-5946-B713-8279F9347FD9}"/>
    <hyperlink ref="A224" r:id="rId4" xr:uid="{E90F3D40-D811-FA47-A6FE-224DE8B0BB42}"/>
    <hyperlink ref="A220" r:id="rId5" xr:uid="{4B975535-866D-094A-B806-EF368C7EB340}"/>
    <hyperlink ref="A222" r:id="rId6" xr:uid="{688B8D4A-8F8D-B84D-A6B6-7C4EEF7C2AD4}"/>
    <hyperlink ref="A223" r:id="rId7" xr:uid="{0E1CDDF9-E7CD-BF41-B82A-3F32AF279AAF}"/>
    <hyperlink ref="A226" r:id="rId8" xr:uid="{66E02670-B63A-394F-B23D-0F5E67793CDC}"/>
    <hyperlink ref="A228" r:id="rId9" xr:uid="{59B0BDFC-1405-9745-9BA0-B487A285131C}"/>
    <hyperlink ref="A229" r:id="rId10" xr:uid="{1654FE27-051A-6647-8862-B8EDFC0FD1A8}"/>
  </hyperlinks>
  <pageMargins left="0.70866141732283472" right="0.70866141732283472" top="0.74803149606299213" bottom="0.74803149606299213" header="0.31496062992125984" footer="0.31496062992125984"/>
  <pageSetup paperSize="9" scale="74" orientation="landscape" horizontalDpi="0" verticalDpi="0"/>
  <ignoredErrors>
    <ignoredError sqref="X212"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59C3-80C3-D54B-AA1F-7FB15ADF5C41}">
  <sheetPr>
    <outlinePr summaryBelow="0" summaryRight="0"/>
    <pageSetUpPr fitToPage="1"/>
  </sheetPr>
  <dimension ref="A1:AA1045"/>
  <sheetViews>
    <sheetView topLeftCell="A22"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7" ht="14" x14ac:dyDescent="0.2">
      <c r="A1" s="1" t="s">
        <v>0</v>
      </c>
      <c r="B1" s="41">
        <v>45323</v>
      </c>
      <c r="C1" s="2"/>
      <c r="D1" s="3"/>
      <c r="E1" s="3"/>
      <c r="F1" s="3"/>
      <c r="G1" s="3"/>
      <c r="H1" s="3"/>
      <c r="I1" s="3"/>
      <c r="J1" s="3"/>
      <c r="K1" s="3"/>
      <c r="L1" s="3"/>
      <c r="M1" s="3"/>
      <c r="N1" s="3"/>
      <c r="O1" s="3"/>
      <c r="P1" s="3"/>
      <c r="Q1" s="3"/>
      <c r="R1" s="3"/>
      <c r="S1" s="3"/>
      <c r="T1" s="3"/>
      <c r="U1" s="3"/>
      <c r="V1" s="3"/>
      <c r="W1" s="3"/>
      <c r="X1" s="3"/>
      <c r="Y1" s="3"/>
      <c r="Z1" s="3"/>
      <c r="AA1" s="3"/>
    </row>
    <row r="2" spans="1:27" ht="8.25" customHeight="1" x14ac:dyDescent="0.2">
      <c r="A2" s="1"/>
      <c r="B2" s="3"/>
      <c r="C2" s="3"/>
      <c r="D2" s="3"/>
      <c r="E2" s="3"/>
      <c r="F2" s="3"/>
      <c r="G2" s="3"/>
      <c r="H2" s="3"/>
      <c r="I2" s="3"/>
      <c r="J2" s="3"/>
      <c r="K2" s="3"/>
      <c r="L2" s="3"/>
      <c r="M2" s="3"/>
      <c r="N2" s="3"/>
      <c r="O2" s="3"/>
      <c r="P2" s="3"/>
      <c r="Q2" s="3"/>
      <c r="R2" s="3"/>
      <c r="S2" s="3"/>
      <c r="T2" s="3"/>
      <c r="U2" s="3"/>
      <c r="V2" s="3"/>
      <c r="W2" s="3"/>
      <c r="X2" s="3"/>
      <c r="Y2" s="3"/>
      <c r="Z2" s="3"/>
      <c r="AA2" s="3"/>
    </row>
    <row r="3" spans="1:27" ht="14" x14ac:dyDescent="0.2">
      <c r="A3" s="1" t="s">
        <v>30</v>
      </c>
      <c r="B3" s="5">
        <f>B9+B60</f>
        <v>242579</v>
      </c>
      <c r="C3" s="3"/>
      <c r="D3" s="3"/>
      <c r="E3" s="3"/>
      <c r="F3" s="3"/>
      <c r="G3" s="3"/>
      <c r="H3" s="3"/>
      <c r="I3" s="3"/>
      <c r="J3" s="3"/>
      <c r="K3" s="3"/>
      <c r="L3" s="3"/>
      <c r="M3" s="3"/>
      <c r="N3" s="3"/>
      <c r="O3" s="3"/>
      <c r="P3" s="3"/>
      <c r="Q3" s="3"/>
      <c r="R3" s="3"/>
      <c r="S3" s="3"/>
      <c r="T3" s="3"/>
      <c r="U3" s="3"/>
      <c r="V3" s="3"/>
      <c r="W3" s="3"/>
      <c r="X3" s="3"/>
      <c r="Y3" s="3"/>
      <c r="Z3" s="3"/>
      <c r="AA3" s="3"/>
    </row>
    <row r="4" spans="1:27" ht="14" x14ac:dyDescent="0.2">
      <c r="A4" s="1" t="s">
        <v>2</v>
      </c>
      <c r="B4" s="6">
        <f>SUM(22.5*8.5)*21</f>
        <v>4016.25</v>
      </c>
      <c r="C4" s="3" t="s">
        <v>31</v>
      </c>
      <c r="E4" s="3"/>
      <c r="F4" s="3"/>
      <c r="G4" s="3"/>
      <c r="H4" s="3"/>
      <c r="I4" s="3"/>
      <c r="J4" s="3"/>
      <c r="K4" s="3"/>
      <c r="L4" s="3"/>
      <c r="M4" s="3"/>
      <c r="N4" s="3"/>
      <c r="O4" s="3"/>
      <c r="P4" s="3"/>
      <c r="Q4" s="3"/>
      <c r="R4" s="3"/>
      <c r="S4" s="3"/>
      <c r="T4" s="3"/>
      <c r="U4" s="3"/>
      <c r="V4" s="3"/>
      <c r="W4" s="3"/>
      <c r="X4" s="3"/>
      <c r="Y4" s="3"/>
      <c r="Z4" s="3"/>
      <c r="AA4" s="3"/>
    </row>
    <row r="5" spans="1:27" ht="14" x14ac:dyDescent="0.2">
      <c r="A5" s="1" t="s">
        <v>3</v>
      </c>
      <c r="B5" s="3">
        <f>S13+J57+G72</f>
        <v>4220.0599999999995</v>
      </c>
      <c r="C5" s="3"/>
      <c r="D5" s="3"/>
      <c r="E5" s="3"/>
      <c r="F5" s="3"/>
      <c r="G5" s="3"/>
      <c r="H5" s="3"/>
      <c r="I5" s="3"/>
      <c r="J5" s="3"/>
      <c r="K5" s="3"/>
      <c r="L5" s="3"/>
      <c r="M5" s="3"/>
      <c r="N5" s="3"/>
      <c r="O5" s="3"/>
      <c r="P5" s="3"/>
      <c r="Q5" s="3"/>
      <c r="R5" s="3"/>
      <c r="S5" s="3"/>
      <c r="T5" s="3"/>
      <c r="U5" s="3"/>
      <c r="V5" s="3"/>
      <c r="W5" s="3"/>
      <c r="X5" s="3"/>
      <c r="Y5" s="3"/>
      <c r="Z5" s="3"/>
      <c r="AA5" s="3"/>
    </row>
    <row r="6" spans="1:27" ht="14" x14ac:dyDescent="0.2">
      <c r="A6" s="1" t="s">
        <v>4</v>
      </c>
      <c r="B6" s="6">
        <f>B5-B4</f>
        <v>203.80999999999949</v>
      </c>
      <c r="C6" s="3"/>
      <c r="D6" s="3"/>
      <c r="E6" s="3"/>
      <c r="F6" s="3"/>
      <c r="G6" s="3"/>
      <c r="H6" s="3"/>
      <c r="I6" s="3"/>
      <c r="J6" s="3"/>
      <c r="K6" s="3"/>
      <c r="L6" s="3"/>
      <c r="M6" s="3"/>
      <c r="N6" s="3"/>
      <c r="O6" s="3"/>
      <c r="P6" s="3"/>
      <c r="Q6" s="3"/>
      <c r="R6" s="3"/>
      <c r="S6" s="3"/>
      <c r="T6" s="3"/>
      <c r="U6" s="3"/>
      <c r="V6" s="3"/>
      <c r="W6" s="3"/>
      <c r="X6" s="3"/>
      <c r="Y6" s="3"/>
      <c r="Z6" s="3"/>
      <c r="AA6" s="3"/>
    </row>
    <row r="7" spans="1:27" ht="14" x14ac:dyDescent="0.2">
      <c r="A7" s="3"/>
      <c r="B7" s="3"/>
      <c r="C7" s="3"/>
      <c r="D7" s="3"/>
      <c r="E7" s="3"/>
      <c r="F7" s="3"/>
      <c r="G7" s="3"/>
      <c r="H7" s="3"/>
      <c r="I7" s="3"/>
      <c r="J7" s="3"/>
      <c r="K7" s="3"/>
      <c r="L7" s="3"/>
      <c r="M7" s="3"/>
      <c r="N7" s="3"/>
      <c r="O7" s="3"/>
      <c r="P7" s="3"/>
      <c r="Q7" s="3"/>
      <c r="R7" s="3"/>
      <c r="S7" s="3"/>
      <c r="T7" s="3"/>
      <c r="U7" s="3"/>
      <c r="V7" s="3"/>
      <c r="W7" s="3"/>
      <c r="X7" s="3"/>
      <c r="Y7" s="3"/>
      <c r="Z7" s="3"/>
      <c r="AA7" s="3"/>
    </row>
    <row r="8" spans="1:27" ht="7.5" customHeight="1" x14ac:dyDescent="0.2">
      <c r="A8" s="7"/>
      <c r="B8" s="7"/>
      <c r="C8" s="7"/>
      <c r="D8" s="7"/>
      <c r="E8" s="7"/>
      <c r="F8" s="7"/>
      <c r="G8" s="7"/>
      <c r="H8" s="7"/>
      <c r="I8" s="7"/>
      <c r="J8" s="7"/>
      <c r="K8" s="7"/>
      <c r="L8" s="7"/>
      <c r="M8" s="7"/>
      <c r="N8" s="7"/>
      <c r="O8" s="7"/>
      <c r="P8" s="7"/>
      <c r="Q8" s="7"/>
      <c r="R8" s="7"/>
      <c r="S8" s="7"/>
      <c r="T8" s="3"/>
      <c r="U8" s="3"/>
      <c r="V8" s="3"/>
      <c r="W8" s="3"/>
      <c r="X8" s="3"/>
      <c r="Y8" s="3"/>
      <c r="Z8" s="3"/>
      <c r="AA8" s="3"/>
    </row>
    <row r="9" spans="1:27" ht="16" x14ac:dyDescent="0.2">
      <c r="A9" s="11" t="s">
        <v>32</v>
      </c>
      <c r="B9" s="12">
        <v>222986</v>
      </c>
      <c r="C9" s="12"/>
      <c r="D9" s="3"/>
      <c r="E9" s="3"/>
      <c r="F9" s="3"/>
      <c r="G9" s="3"/>
      <c r="H9" s="3"/>
      <c r="I9" s="3"/>
      <c r="J9" s="3"/>
      <c r="K9" s="3"/>
      <c r="L9" s="3"/>
      <c r="M9" s="3"/>
      <c r="N9" s="3"/>
      <c r="O9" s="3"/>
      <c r="P9" s="3"/>
      <c r="Q9" s="3"/>
      <c r="R9" s="3"/>
      <c r="S9" s="3"/>
      <c r="T9" s="3"/>
      <c r="U9" s="3"/>
      <c r="V9" s="3"/>
      <c r="W9" s="3"/>
      <c r="X9" s="3"/>
      <c r="Y9" s="3"/>
      <c r="Z9" s="3"/>
      <c r="AA9" s="3"/>
    </row>
    <row r="10" spans="1:27"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c r="T10" s="3"/>
      <c r="U10" s="3"/>
      <c r="V10" s="3"/>
      <c r="W10" s="3"/>
      <c r="X10" s="3"/>
      <c r="Y10" s="3"/>
      <c r="Z10" s="3"/>
      <c r="AA10" s="3"/>
    </row>
    <row r="11" spans="1:27"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48</v>
      </c>
      <c r="R11" s="8" t="s">
        <v>49</v>
      </c>
      <c r="S11" s="8" t="s">
        <v>50</v>
      </c>
      <c r="T11" s="3"/>
      <c r="U11" s="3"/>
      <c r="V11" s="3"/>
      <c r="W11" s="3"/>
      <c r="X11" s="3"/>
      <c r="Y11" s="3"/>
      <c r="Z11" s="3"/>
      <c r="AA11" s="3"/>
    </row>
    <row r="12" spans="1:27" ht="14"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27" ht="14" x14ac:dyDescent="0.2">
      <c r="A13" s="13"/>
      <c r="B13" s="1"/>
      <c r="C13" s="1">
        <v>41</v>
      </c>
      <c r="D13" s="1">
        <v>235.99</v>
      </c>
      <c r="E13" s="1">
        <f>SUM(E12)</f>
        <v>0</v>
      </c>
      <c r="F13" s="1">
        <v>78.08</v>
      </c>
      <c r="G13" s="1">
        <v>129.94999999999999</v>
      </c>
      <c r="H13" s="1">
        <v>11.51</v>
      </c>
      <c r="I13" s="1">
        <v>93.77</v>
      </c>
      <c r="J13" s="1">
        <v>19</v>
      </c>
      <c r="K13" s="1">
        <v>18.329999999999998</v>
      </c>
      <c r="L13" s="1">
        <v>59.92</v>
      </c>
      <c r="M13" s="1">
        <v>6.25</v>
      </c>
      <c r="N13" s="1">
        <v>47.6</v>
      </c>
      <c r="O13" s="1">
        <v>248.38</v>
      </c>
      <c r="P13" s="1">
        <v>89.75</v>
      </c>
      <c r="Q13" s="1">
        <v>35.25</v>
      </c>
      <c r="R13" s="1">
        <v>17</v>
      </c>
      <c r="S13" s="1">
        <f>SUM(C13:R13)</f>
        <v>1131.78</v>
      </c>
      <c r="T13" s="3"/>
      <c r="U13" s="3"/>
      <c r="V13" s="3"/>
      <c r="W13" s="3"/>
      <c r="X13" s="3"/>
      <c r="Y13" s="3"/>
      <c r="Z13" s="3"/>
      <c r="AA13" s="3"/>
    </row>
    <row r="14" spans="1:27"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spans="1:27"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row>
    <row r="17" spans="1:27" ht="14" x14ac:dyDescent="0.2">
      <c r="A17" s="3" t="s">
        <v>9</v>
      </c>
      <c r="B17" s="3" t="s">
        <v>129</v>
      </c>
      <c r="C17" s="3">
        <v>74.819999999999993</v>
      </c>
      <c r="D17" s="3">
        <v>30.94</v>
      </c>
      <c r="E17" s="3">
        <v>0.25</v>
      </c>
      <c r="F17" s="3"/>
      <c r="G17" s="3"/>
      <c r="H17" s="3"/>
      <c r="I17" s="3"/>
      <c r="J17" s="1">
        <f t="shared" ref="J17:J56" si="0">SUM(C17:I17)</f>
        <v>106.00999999999999</v>
      </c>
      <c r="K17" s="3"/>
      <c r="L17" s="3"/>
      <c r="M17" s="3"/>
      <c r="N17" s="3"/>
      <c r="O17" s="3"/>
      <c r="P17" s="3"/>
      <c r="Q17" s="3"/>
      <c r="R17" s="3"/>
      <c r="S17" s="3"/>
      <c r="T17" s="3"/>
      <c r="U17" s="3"/>
      <c r="V17" s="3"/>
      <c r="W17" s="3"/>
      <c r="X17" s="3"/>
      <c r="Y17" s="3"/>
      <c r="Z17" s="3"/>
      <c r="AA17" s="3"/>
    </row>
    <row r="18" spans="1:27" ht="15" x14ac:dyDescent="0.2">
      <c r="A18" s="3" t="s">
        <v>10</v>
      </c>
      <c r="B18" s="36" t="s">
        <v>130</v>
      </c>
      <c r="C18" s="3"/>
      <c r="D18" s="3"/>
      <c r="E18" s="3"/>
      <c r="F18" s="3">
        <v>12.5</v>
      </c>
      <c r="G18" s="3"/>
      <c r="H18" s="3"/>
      <c r="I18" s="3"/>
      <c r="J18" s="1">
        <f t="shared" si="0"/>
        <v>12.5</v>
      </c>
      <c r="K18" s="3"/>
      <c r="L18" s="3"/>
      <c r="M18" s="3"/>
      <c r="N18" s="3"/>
      <c r="O18" s="3"/>
      <c r="P18" s="3"/>
      <c r="Q18" s="3"/>
      <c r="R18" s="3"/>
      <c r="S18" s="3"/>
      <c r="T18" s="3"/>
      <c r="U18" s="3"/>
      <c r="V18" s="3"/>
      <c r="W18" s="3"/>
      <c r="X18" s="3"/>
      <c r="Y18" s="3"/>
      <c r="Z18" s="3"/>
      <c r="AA18" s="3"/>
    </row>
    <row r="19" spans="1:27" ht="14" x14ac:dyDescent="0.2">
      <c r="A19" s="3" t="s">
        <v>287</v>
      </c>
      <c r="B19" s="36"/>
      <c r="C19" s="3"/>
      <c r="D19" s="3"/>
      <c r="E19" s="3"/>
      <c r="F19" s="3"/>
      <c r="G19" s="3"/>
      <c r="H19" s="3"/>
      <c r="I19" s="3"/>
      <c r="J19" s="1">
        <f t="shared" si="0"/>
        <v>0</v>
      </c>
      <c r="K19" s="3"/>
      <c r="L19" s="3"/>
      <c r="M19" s="3"/>
      <c r="N19" s="3"/>
      <c r="O19" s="3"/>
      <c r="P19" s="3"/>
      <c r="Q19" s="3"/>
      <c r="R19" s="3"/>
      <c r="S19" s="3"/>
      <c r="T19" s="3"/>
      <c r="U19" s="3"/>
      <c r="V19" s="3"/>
      <c r="W19" s="3"/>
      <c r="X19" s="3"/>
      <c r="Y19" s="3"/>
      <c r="Z19" s="3"/>
      <c r="AA19" s="3"/>
    </row>
    <row r="20" spans="1:27" ht="14" x14ac:dyDescent="0.2">
      <c r="A20" s="3" t="s">
        <v>11</v>
      </c>
      <c r="B20" s="3" t="s">
        <v>131</v>
      </c>
      <c r="C20" s="3">
        <v>11.75</v>
      </c>
      <c r="D20" s="3">
        <v>2.75</v>
      </c>
      <c r="E20" s="3">
        <v>2</v>
      </c>
      <c r="F20" s="3">
        <v>1</v>
      </c>
      <c r="G20" s="3"/>
      <c r="H20" s="3"/>
      <c r="I20" s="3"/>
      <c r="J20" s="1">
        <f t="shared" si="0"/>
        <v>17.5</v>
      </c>
      <c r="K20" s="3"/>
      <c r="L20" s="3"/>
      <c r="M20" s="3"/>
      <c r="N20" s="3"/>
      <c r="O20" s="3"/>
      <c r="P20" s="3"/>
      <c r="Q20" s="3"/>
      <c r="R20" s="3"/>
      <c r="S20" s="3"/>
      <c r="T20" s="3"/>
      <c r="U20" s="3"/>
      <c r="V20" s="3"/>
      <c r="W20" s="3"/>
      <c r="X20" s="3"/>
      <c r="Y20" s="3"/>
      <c r="Z20" s="3"/>
      <c r="AA20" s="3"/>
    </row>
    <row r="21" spans="1:27" ht="14" x14ac:dyDescent="0.2">
      <c r="A21" s="3" t="s">
        <v>12</v>
      </c>
      <c r="B21" s="3" t="s">
        <v>129</v>
      </c>
      <c r="C21" s="3">
        <v>176.5</v>
      </c>
      <c r="D21" s="3">
        <v>45.83</v>
      </c>
      <c r="E21" s="3"/>
      <c r="F21" s="3">
        <v>0.75</v>
      </c>
      <c r="G21" s="3">
        <v>1.25</v>
      </c>
      <c r="H21" s="3">
        <v>2.75</v>
      </c>
      <c r="I21" s="3"/>
      <c r="J21" s="1">
        <f t="shared" si="0"/>
        <v>227.07999999999998</v>
      </c>
      <c r="K21" s="3"/>
      <c r="L21" s="3"/>
      <c r="M21" s="3"/>
      <c r="N21" s="3"/>
      <c r="O21" s="3"/>
      <c r="P21" s="3"/>
      <c r="Q21" s="3"/>
      <c r="R21" s="3"/>
      <c r="S21" s="3"/>
      <c r="T21" s="3"/>
      <c r="U21" s="3"/>
      <c r="V21" s="3"/>
      <c r="W21" s="3"/>
      <c r="X21" s="3"/>
      <c r="Y21" s="3"/>
      <c r="Z21" s="3"/>
      <c r="AA21" s="3"/>
    </row>
    <row r="22" spans="1:27" ht="14" x14ac:dyDescent="0.2">
      <c r="A22" s="3" t="s">
        <v>13</v>
      </c>
      <c r="B22" s="3" t="s">
        <v>132</v>
      </c>
      <c r="C22" s="3">
        <v>4.92</v>
      </c>
      <c r="D22" s="3">
        <v>3.25</v>
      </c>
      <c r="E22" s="3"/>
      <c r="F22" s="3">
        <v>6</v>
      </c>
      <c r="G22" s="3"/>
      <c r="H22" s="3"/>
      <c r="I22" s="3"/>
      <c r="J22" s="1">
        <f t="shared" si="0"/>
        <v>14.17</v>
      </c>
      <c r="K22" s="3"/>
      <c r="L22" s="3"/>
      <c r="M22" s="3"/>
      <c r="N22" s="3"/>
      <c r="O22" s="3"/>
      <c r="P22" s="3"/>
      <c r="Q22" s="3"/>
      <c r="R22" s="3"/>
      <c r="S22" s="3"/>
      <c r="T22" s="3"/>
      <c r="U22" s="3"/>
      <c r="V22" s="3"/>
      <c r="W22" s="3"/>
      <c r="X22" s="3"/>
      <c r="Y22" s="3"/>
      <c r="Z22" s="3"/>
      <c r="AA22" s="3"/>
    </row>
    <row r="23" spans="1:27" ht="14" x14ac:dyDescent="0.2">
      <c r="A23" s="3" t="s">
        <v>416</v>
      </c>
      <c r="B23" s="3"/>
      <c r="C23" s="3"/>
      <c r="D23" s="3"/>
      <c r="E23" s="3"/>
      <c r="F23" s="3"/>
      <c r="G23" s="3"/>
      <c r="H23" s="3"/>
      <c r="I23" s="3"/>
      <c r="J23" s="1"/>
      <c r="K23" s="3"/>
      <c r="L23" s="3"/>
      <c r="M23" s="3"/>
      <c r="N23" s="3"/>
      <c r="O23" s="3"/>
      <c r="P23" s="3"/>
      <c r="Q23" s="3"/>
      <c r="R23" s="3"/>
      <c r="S23" s="3"/>
      <c r="T23" s="3"/>
      <c r="U23" s="3"/>
      <c r="V23" s="3"/>
      <c r="W23" s="3"/>
      <c r="X23" s="3"/>
      <c r="Y23" s="3"/>
      <c r="Z23" s="3"/>
      <c r="AA23" s="3"/>
    </row>
    <row r="24" spans="1:27" ht="14" x14ac:dyDescent="0.2">
      <c r="A24" s="3" t="s">
        <v>417</v>
      </c>
      <c r="B24" s="3"/>
      <c r="C24" s="3"/>
      <c r="D24" s="3"/>
      <c r="E24" s="3"/>
      <c r="F24" s="3"/>
      <c r="G24" s="3"/>
      <c r="H24" s="3"/>
      <c r="I24" s="3"/>
      <c r="J24" s="1"/>
      <c r="K24" s="3"/>
      <c r="L24" s="3"/>
      <c r="M24" s="3"/>
      <c r="N24" s="3"/>
      <c r="O24" s="3"/>
      <c r="P24" s="3"/>
      <c r="Q24" s="3"/>
      <c r="R24" s="3"/>
      <c r="S24" s="3"/>
      <c r="T24" s="3"/>
      <c r="U24" s="3"/>
      <c r="V24" s="3"/>
      <c r="W24" s="3"/>
      <c r="X24" s="3"/>
      <c r="Y24" s="3"/>
      <c r="Z24" s="3"/>
      <c r="AA24" s="3"/>
    </row>
    <row r="25" spans="1:27" ht="14" x14ac:dyDescent="0.2">
      <c r="A25" s="3" t="s">
        <v>14</v>
      </c>
      <c r="B25" s="3" t="s">
        <v>133</v>
      </c>
      <c r="C25" s="3">
        <v>401.89</v>
      </c>
      <c r="D25" s="3">
        <f>148.18+0.5</f>
        <v>148.68</v>
      </c>
      <c r="E25" s="3">
        <f>311.75+1.5</f>
        <v>313.25</v>
      </c>
      <c r="F25" s="3">
        <f>22+18</f>
        <v>40</v>
      </c>
      <c r="G25" s="3">
        <v>33.43</v>
      </c>
      <c r="H25" s="3">
        <v>18.5</v>
      </c>
      <c r="I25" s="3">
        <v>0.75</v>
      </c>
      <c r="J25" s="1">
        <f t="shared" si="0"/>
        <v>956.49999999999989</v>
      </c>
      <c r="K25" s="3"/>
      <c r="L25" s="3"/>
      <c r="M25" s="3"/>
      <c r="N25" s="3"/>
      <c r="O25" s="3"/>
      <c r="P25" s="3"/>
      <c r="Q25" s="3"/>
      <c r="R25" s="3"/>
      <c r="S25" s="3"/>
      <c r="T25" s="3"/>
      <c r="U25" s="3"/>
      <c r="V25" s="3"/>
      <c r="W25" s="3"/>
      <c r="X25" s="3"/>
      <c r="Y25" s="3"/>
      <c r="Z25" s="3"/>
      <c r="AA25" s="3"/>
    </row>
    <row r="26" spans="1:27" ht="14" x14ac:dyDescent="0.2">
      <c r="A26" s="3" t="s">
        <v>277</v>
      </c>
      <c r="B26" s="3"/>
      <c r="C26" s="3"/>
      <c r="D26" s="3"/>
      <c r="E26" s="3"/>
      <c r="F26" s="3"/>
      <c r="G26" s="3"/>
      <c r="H26" s="3"/>
      <c r="I26" s="3"/>
      <c r="J26" s="1">
        <f t="shared" si="0"/>
        <v>0</v>
      </c>
      <c r="K26" s="3"/>
      <c r="L26" s="3"/>
      <c r="M26" s="3"/>
      <c r="N26" s="3"/>
      <c r="O26" s="3"/>
      <c r="P26" s="3"/>
      <c r="Q26" s="3"/>
      <c r="R26" s="3"/>
      <c r="S26" s="3"/>
      <c r="T26" s="3"/>
      <c r="U26" s="3"/>
      <c r="V26" s="3"/>
      <c r="W26" s="3"/>
      <c r="X26" s="3"/>
      <c r="Y26" s="3"/>
      <c r="Z26" s="3"/>
      <c r="AA26" s="3"/>
    </row>
    <row r="27" spans="1:27" ht="14" x14ac:dyDescent="0.2">
      <c r="A27" s="3" t="s">
        <v>421</v>
      </c>
      <c r="B27" s="3"/>
      <c r="C27" s="3"/>
      <c r="D27" s="3"/>
      <c r="E27" s="3"/>
      <c r="F27" s="3"/>
      <c r="G27" s="3"/>
      <c r="H27" s="3"/>
      <c r="I27" s="3"/>
      <c r="J27" s="1"/>
      <c r="K27" s="3"/>
      <c r="L27" s="3"/>
      <c r="M27" s="3"/>
      <c r="N27" s="3"/>
      <c r="O27" s="3"/>
      <c r="P27" s="3"/>
      <c r="Q27" s="3"/>
      <c r="R27" s="3"/>
      <c r="S27" s="3"/>
      <c r="T27" s="3"/>
      <c r="U27" s="3"/>
      <c r="V27" s="3"/>
      <c r="W27" s="3"/>
      <c r="X27" s="3"/>
      <c r="Y27" s="3"/>
      <c r="Z27" s="3"/>
      <c r="AA27" s="3"/>
    </row>
    <row r="28" spans="1:27" ht="14" x14ac:dyDescent="0.2">
      <c r="A28" s="3" t="s">
        <v>122</v>
      </c>
      <c r="B28" s="3" t="s">
        <v>134</v>
      </c>
      <c r="C28" s="3"/>
      <c r="D28" s="3"/>
      <c r="E28" s="3"/>
      <c r="F28" s="3"/>
      <c r="G28" s="3"/>
      <c r="H28" s="3"/>
      <c r="I28" s="3"/>
      <c r="J28" s="1">
        <f t="shared" si="0"/>
        <v>0</v>
      </c>
      <c r="K28" s="3"/>
      <c r="L28" s="3"/>
      <c r="M28" s="3"/>
      <c r="N28" s="3"/>
      <c r="O28" s="3"/>
      <c r="P28" s="3"/>
      <c r="Q28" s="3"/>
      <c r="R28" s="3"/>
      <c r="S28" s="3"/>
      <c r="T28" s="3"/>
      <c r="U28" s="3"/>
      <c r="V28" s="3"/>
      <c r="W28" s="3"/>
      <c r="X28" s="3"/>
      <c r="Y28" s="3"/>
      <c r="Z28" s="3"/>
      <c r="AA28" s="3"/>
    </row>
    <row r="29" spans="1:27" ht="14" x14ac:dyDescent="0.2">
      <c r="A29" s="3" t="s">
        <v>183</v>
      </c>
      <c r="B29" s="3"/>
      <c r="C29" s="3"/>
      <c r="D29" s="3"/>
      <c r="E29" s="3"/>
      <c r="F29" s="3"/>
      <c r="G29" s="3"/>
      <c r="H29" s="3"/>
      <c r="I29" s="3"/>
      <c r="J29" s="1"/>
      <c r="K29" s="3"/>
      <c r="L29" s="3"/>
      <c r="M29" s="3"/>
      <c r="N29" s="3"/>
      <c r="O29" s="3"/>
      <c r="P29" s="3"/>
      <c r="Q29" s="3"/>
      <c r="R29" s="3"/>
      <c r="S29" s="3"/>
      <c r="T29" s="3"/>
      <c r="U29" s="3"/>
      <c r="V29" s="3"/>
      <c r="W29" s="3"/>
      <c r="X29" s="3"/>
      <c r="Y29" s="3"/>
      <c r="Z29" s="3"/>
      <c r="AA29" s="3"/>
    </row>
    <row r="30" spans="1:27" ht="14" x14ac:dyDescent="0.2">
      <c r="A30" s="3" t="s">
        <v>123</v>
      </c>
      <c r="B30" s="3" t="s">
        <v>135</v>
      </c>
      <c r="C30" s="3"/>
      <c r="D30" s="3"/>
      <c r="E30" s="3"/>
      <c r="F30" s="3"/>
      <c r="G30" s="3"/>
      <c r="H30" s="3"/>
      <c r="I30" s="3"/>
      <c r="J30" s="1">
        <f t="shared" si="0"/>
        <v>0</v>
      </c>
      <c r="K30" s="3"/>
      <c r="L30" s="3"/>
      <c r="M30" s="3"/>
      <c r="N30" s="3"/>
      <c r="O30" s="3"/>
      <c r="P30" s="3"/>
      <c r="Q30" s="3"/>
      <c r="R30" s="3"/>
      <c r="S30" s="3"/>
      <c r="T30" s="3"/>
      <c r="U30" s="3"/>
      <c r="V30" s="3"/>
      <c r="W30" s="3"/>
      <c r="X30" s="3"/>
      <c r="Y30" s="3"/>
      <c r="Z30" s="3"/>
      <c r="AA30" s="3"/>
    </row>
    <row r="31" spans="1:27" ht="14" x14ac:dyDescent="0.2">
      <c r="A31" s="3" t="s">
        <v>106</v>
      </c>
      <c r="B31" s="3" t="s">
        <v>136</v>
      </c>
      <c r="C31" s="3"/>
      <c r="D31" s="3"/>
      <c r="E31" s="3"/>
      <c r="F31" s="3"/>
      <c r="G31" s="3"/>
      <c r="H31" s="3"/>
      <c r="I31" s="3"/>
      <c r="J31" s="1">
        <f t="shared" si="0"/>
        <v>0</v>
      </c>
      <c r="K31" s="3"/>
      <c r="L31" s="3"/>
      <c r="M31" s="3"/>
      <c r="N31" s="3"/>
      <c r="O31" s="3"/>
      <c r="P31" s="3"/>
      <c r="Q31" s="3"/>
      <c r="R31" s="3"/>
      <c r="S31" s="3"/>
      <c r="T31" s="3"/>
      <c r="U31" s="3"/>
      <c r="V31" s="3"/>
      <c r="W31" s="3"/>
      <c r="X31" s="3"/>
      <c r="Y31" s="3"/>
      <c r="Z31" s="3"/>
      <c r="AA31" s="3"/>
    </row>
    <row r="32" spans="1:27" ht="14" x14ac:dyDescent="0.2">
      <c r="A32" s="3" t="s">
        <v>15</v>
      </c>
      <c r="B32" s="3" t="s">
        <v>137</v>
      </c>
      <c r="C32" s="3"/>
      <c r="D32" s="3">
        <v>12.25</v>
      </c>
      <c r="E32" s="3"/>
      <c r="F32" s="3"/>
      <c r="G32" s="3"/>
      <c r="H32" s="3"/>
      <c r="I32" s="3"/>
      <c r="J32" s="1">
        <f t="shared" si="0"/>
        <v>12.25</v>
      </c>
      <c r="K32" s="3"/>
      <c r="L32" s="3"/>
      <c r="M32" s="3"/>
      <c r="N32" s="3"/>
      <c r="O32" s="3"/>
      <c r="P32" s="3"/>
      <c r="Q32" s="3"/>
      <c r="R32" s="3"/>
      <c r="S32" s="3"/>
      <c r="T32" s="3"/>
      <c r="U32" s="3"/>
      <c r="V32" s="3"/>
      <c r="W32" s="3"/>
      <c r="X32" s="3"/>
      <c r="Y32" s="3"/>
      <c r="Z32" s="3"/>
      <c r="AA32" s="3"/>
    </row>
    <row r="33" spans="1:27" ht="14" x14ac:dyDescent="0.2">
      <c r="A33" s="3" t="s">
        <v>16</v>
      </c>
      <c r="B33" s="3"/>
      <c r="C33" s="3"/>
      <c r="D33" s="3"/>
      <c r="E33" s="3"/>
      <c r="F33" s="3">
        <v>9</v>
      </c>
      <c r="G33" s="3"/>
      <c r="H33" s="3"/>
      <c r="I33" s="3"/>
      <c r="J33" s="1">
        <f t="shared" si="0"/>
        <v>9</v>
      </c>
      <c r="K33" s="3"/>
      <c r="L33" s="3"/>
      <c r="M33" s="3"/>
      <c r="N33" s="3"/>
      <c r="O33" s="3"/>
      <c r="P33" s="3"/>
      <c r="Q33" s="3"/>
      <c r="R33" s="3"/>
      <c r="S33" s="3"/>
      <c r="T33" s="3"/>
      <c r="U33" s="3"/>
      <c r="V33" s="3"/>
      <c r="W33" s="3"/>
      <c r="X33" s="3"/>
      <c r="Y33" s="3"/>
      <c r="Z33" s="3"/>
      <c r="AA33" s="3"/>
    </row>
    <row r="34" spans="1:27" ht="14" x14ac:dyDescent="0.2">
      <c r="A34" s="3" t="s">
        <v>161</v>
      </c>
      <c r="B34" s="3"/>
      <c r="C34" s="3"/>
      <c r="D34" s="3"/>
      <c r="E34" s="3"/>
      <c r="F34" s="3"/>
      <c r="G34" s="3"/>
      <c r="H34" s="3"/>
      <c r="I34" s="3"/>
      <c r="J34" s="1">
        <f t="shared" si="0"/>
        <v>0</v>
      </c>
      <c r="K34" s="3"/>
      <c r="L34" s="3"/>
      <c r="M34" s="3"/>
      <c r="N34" s="3"/>
      <c r="O34" s="3"/>
      <c r="P34" s="3"/>
      <c r="Q34" s="3"/>
      <c r="R34" s="3"/>
      <c r="S34" s="3"/>
      <c r="T34" s="3"/>
      <c r="U34" s="3"/>
      <c r="V34" s="3"/>
      <c r="W34" s="3"/>
      <c r="X34" s="3"/>
      <c r="Y34" s="3"/>
      <c r="Z34" s="3"/>
      <c r="AA34" s="3"/>
    </row>
    <row r="35" spans="1:27" ht="14" x14ac:dyDescent="0.2">
      <c r="A35" s="3" t="s">
        <v>162</v>
      </c>
      <c r="B35" s="3"/>
      <c r="C35" s="3"/>
      <c r="D35" s="3"/>
      <c r="E35" s="3"/>
      <c r="F35" s="3"/>
      <c r="G35" s="3"/>
      <c r="H35" s="3"/>
      <c r="I35" s="3"/>
      <c r="J35" s="1">
        <f t="shared" si="0"/>
        <v>0</v>
      </c>
      <c r="K35" s="3"/>
      <c r="L35" s="3"/>
      <c r="M35" s="3"/>
      <c r="N35" s="3"/>
      <c r="O35" s="3"/>
      <c r="P35" s="3"/>
      <c r="Q35" s="3"/>
      <c r="R35" s="3"/>
      <c r="S35" s="3"/>
      <c r="T35" s="3"/>
      <c r="U35" s="3"/>
      <c r="V35" s="3"/>
      <c r="W35" s="3"/>
      <c r="X35" s="3"/>
      <c r="Y35" s="3"/>
      <c r="Z35" s="3"/>
      <c r="AA35" s="3"/>
    </row>
    <row r="36" spans="1:27" ht="14" x14ac:dyDescent="0.2">
      <c r="A36" s="3" t="s">
        <v>435</v>
      </c>
      <c r="B36" s="3"/>
      <c r="C36" s="3"/>
      <c r="D36" s="3"/>
      <c r="E36" s="3"/>
      <c r="F36" s="3"/>
      <c r="G36" s="3"/>
      <c r="H36" s="3"/>
      <c r="I36" s="3"/>
      <c r="J36" s="1"/>
      <c r="K36" s="3"/>
      <c r="L36" s="3"/>
      <c r="M36" s="3"/>
      <c r="N36" s="3"/>
      <c r="O36" s="3"/>
      <c r="P36" s="3"/>
      <c r="Q36" s="3"/>
      <c r="R36" s="3"/>
      <c r="S36" s="3"/>
      <c r="T36" s="3"/>
      <c r="U36" s="3"/>
      <c r="V36" s="3"/>
      <c r="W36" s="3"/>
      <c r="X36" s="3"/>
      <c r="Y36" s="3"/>
      <c r="Z36" s="3"/>
      <c r="AA36" s="3"/>
    </row>
    <row r="37" spans="1:27" ht="14" x14ac:dyDescent="0.2">
      <c r="A37" s="3" t="s">
        <v>171</v>
      </c>
      <c r="B37" s="3"/>
      <c r="C37" s="3"/>
      <c r="D37" s="3"/>
      <c r="E37" s="3"/>
      <c r="F37" s="3"/>
      <c r="G37" s="3"/>
      <c r="H37" s="3"/>
      <c r="I37" s="3"/>
      <c r="J37" s="1">
        <f t="shared" si="0"/>
        <v>0</v>
      </c>
      <c r="K37" s="3"/>
      <c r="L37" s="3"/>
      <c r="M37" s="3"/>
      <c r="N37" s="3"/>
      <c r="O37" s="3"/>
      <c r="P37" s="3"/>
      <c r="Q37" s="3"/>
      <c r="R37" s="3"/>
      <c r="S37" s="3"/>
      <c r="T37" s="3"/>
      <c r="U37" s="3"/>
      <c r="V37" s="3"/>
      <c r="W37" s="3"/>
      <c r="X37" s="3"/>
      <c r="Y37" s="3"/>
      <c r="Z37" s="3"/>
      <c r="AA37" s="3"/>
    </row>
    <row r="38" spans="1:27" ht="14" x14ac:dyDescent="0.2">
      <c r="A38" s="3" t="s">
        <v>124</v>
      </c>
      <c r="B38" s="3" t="s">
        <v>139</v>
      </c>
      <c r="C38" s="3"/>
      <c r="D38" s="3"/>
      <c r="E38" s="3"/>
      <c r="F38" s="3"/>
      <c r="G38" s="3"/>
      <c r="H38" s="3"/>
      <c r="I38" s="3"/>
      <c r="J38" s="1">
        <f t="shared" si="0"/>
        <v>0</v>
      </c>
      <c r="K38" s="3"/>
      <c r="L38" s="3"/>
      <c r="M38" s="3"/>
      <c r="N38" s="3"/>
      <c r="O38" s="3"/>
      <c r="P38" s="3"/>
      <c r="Q38" s="3"/>
      <c r="R38" s="3"/>
      <c r="S38" s="3"/>
      <c r="T38" s="3"/>
      <c r="U38" s="3"/>
      <c r="V38" s="3"/>
      <c r="W38" s="3"/>
      <c r="X38" s="3"/>
      <c r="Y38" s="3"/>
      <c r="Z38" s="3"/>
      <c r="AA38" s="3"/>
    </row>
    <row r="39" spans="1:27" ht="14" x14ac:dyDescent="0.2">
      <c r="A39" s="3" t="s">
        <v>107</v>
      </c>
      <c r="B39" s="3" t="s">
        <v>140</v>
      </c>
      <c r="C39" s="3"/>
      <c r="D39" s="3"/>
      <c r="E39" s="3"/>
      <c r="F39" s="3"/>
      <c r="G39" s="3"/>
      <c r="H39" s="3"/>
      <c r="I39" s="3"/>
      <c r="J39" s="1">
        <f t="shared" si="0"/>
        <v>0</v>
      </c>
      <c r="K39" s="3"/>
      <c r="L39" s="3"/>
      <c r="M39" s="3"/>
      <c r="N39" s="3"/>
      <c r="O39" s="3"/>
      <c r="P39" s="3"/>
      <c r="Q39" s="3"/>
      <c r="R39" s="3"/>
      <c r="S39" s="3"/>
      <c r="T39" s="3"/>
      <c r="U39" s="3"/>
      <c r="V39" s="3"/>
      <c r="W39" s="3"/>
      <c r="X39" s="3"/>
      <c r="Y39" s="3"/>
      <c r="Z39" s="3"/>
      <c r="AA39" s="3"/>
    </row>
    <row r="40" spans="1:27" ht="14" x14ac:dyDescent="0.2">
      <c r="A40" s="3" t="s">
        <v>165</v>
      </c>
      <c r="B40" s="3"/>
      <c r="C40" s="3"/>
      <c r="D40" s="3"/>
      <c r="E40" s="3"/>
      <c r="F40" s="3"/>
      <c r="G40" s="3"/>
      <c r="H40" s="3"/>
      <c r="I40" s="3"/>
      <c r="J40" s="1">
        <f t="shared" si="0"/>
        <v>0</v>
      </c>
      <c r="K40" s="3"/>
      <c r="L40" s="3"/>
      <c r="M40" s="3"/>
      <c r="N40" s="3"/>
      <c r="O40" s="3"/>
      <c r="P40" s="3"/>
      <c r="Q40" s="3"/>
      <c r="R40" s="3"/>
      <c r="S40" s="3"/>
      <c r="T40" s="3"/>
      <c r="U40" s="3"/>
      <c r="V40" s="3"/>
      <c r="W40" s="3"/>
      <c r="X40" s="3"/>
      <c r="Y40" s="3"/>
      <c r="Z40" s="3"/>
      <c r="AA40" s="3"/>
    </row>
    <row r="41" spans="1:27" ht="14" x14ac:dyDescent="0.2">
      <c r="A41" s="3" t="s">
        <v>418</v>
      </c>
      <c r="B41" s="3"/>
      <c r="C41" s="3"/>
      <c r="D41" s="3"/>
      <c r="E41" s="3"/>
      <c r="F41" s="3"/>
      <c r="G41" s="3"/>
      <c r="H41" s="3"/>
      <c r="I41" s="3"/>
      <c r="J41" s="1"/>
      <c r="K41" s="3"/>
      <c r="L41" s="3"/>
      <c r="M41" s="3"/>
      <c r="N41" s="3"/>
      <c r="O41" s="3"/>
      <c r="P41" s="3"/>
      <c r="Q41" s="3"/>
      <c r="R41" s="3"/>
      <c r="S41" s="3"/>
      <c r="T41" s="3"/>
      <c r="U41" s="3"/>
      <c r="V41" s="3"/>
      <c r="W41" s="3"/>
      <c r="X41" s="3"/>
      <c r="Y41" s="3"/>
      <c r="Z41" s="3"/>
      <c r="AA41" s="3"/>
    </row>
    <row r="42" spans="1:27" ht="14" x14ac:dyDescent="0.2">
      <c r="A42" s="3" t="s">
        <v>371</v>
      </c>
      <c r="B42" s="3" t="s">
        <v>141</v>
      </c>
      <c r="C42" s="3"/>
      <c r="D42" s="3"/>
      <c r="E42" s="3"/>
      <c r="F42" s="3"/>
      <c r="G42" s="3"/>
      <c r="H42" s="3"/>
      <c r="I42" s="3"/>
      <c r="J42" s="1">
        <f t="shared" si="0"/>
        <v>0</v>
      </c>
      <c r="K42" s="3"/>
      <c r="L42" s="3"/>
      <c r="M42" s="3"/>
      <c r="N42" s="3"/>
      <c r="O42" s="3"/>
      <c r="P42" s="3"/>
      <c r="Q42" s="3"/>
      <c r="R42" s="3"/>
      <c r="S42" s="3"/>
      <c r="T42" s="3"/>
      <c r="U42" s="3"/>
      <c r="V42" s="3"/>
      <c r="W42" s="3"/>
      <c r="X42" s="3"/>
      <c r="Y42" s="3"/>
      <c r="Z42" s="3"/>
      <c r="AA42" s="3"/>
    </row>
    <row r="43" spans="1:27" ht="14" x14ac:dyDescent="0.2">
      <c r="A43" s="3" t="s">
        <v>17</v>
      </c>
      <c r="B43" s="3" t="s">
        <v>142</v>
      </c>
      <c r="C43" s="3"/>
      <c r="D43" s="3">
        <v>8.75</v>
      </c>
      <c r="E43" s="3"/>
      <c r="F43" s="3">
        <v>4</v>
      </c>
      <c r="G43" s="3"/>
      <c r="H43" s="3">
        <v>10.25</v>
      </c>
      <c r="I43" s="3"/>
      <c r="J43" s="1">
        <f t="shared" si="0"/>
        <v>23</v>
      </c>
      <c r="K43" s="3"/>
      <c r="L43" s="3"/>
      <c r="M43" s="3"/>
      <c r="N43" s="3"/>
      <c r="O43" s="3"/>
      <c r="P43" s="3"/>
      <c r="Q43" s="3"/>
      <c r="R43" s="3"/>
      <c r="S43" s="3"/>
      <c r="T43" s="3"/>
      <c r="U43" s="3"/>
      <c r="V43" s="3"/>
      <c r="W43" s="3"/>
      <c r="X43" s="3"/>
      <c r="Y43" s="3"/>
      <c r="Z43" s="3"/>
      <c r="AA43" s="3"/>
    </row>
    <row r="44" spans="1:27" ht="14" x14ac:dyDescent="0.2">
      <c r="A44" s="3" t="s">
        <v>18</v>
      </c>
      <c r="B44" s="3" t="s">
        <v>143</v>
      </c>
      <c r="C44" s="3">
        <v>406.15</v>
      </c>
      <c r="D44" s="3">
        <v>166.51</v>
      </c>
      <c r="E44" s="3">
        <v>1</v>
      </c>
      <c r="F44" s="3">
        <v>86.81</v>
      </c>
      <c r="G44" s="3">
        <v>0.38</v>
      </c>
      <c r="H44" s="3">
        <v>3.25</v>
      </c>
      <c r="I44" s="3"/>
      <c r="J44" s="1">
        <f t="shared" si="0"/>
        <v>664.1</v>
      </c>
      <c r="K44" s="3"/>
      <c r="L44" s="3"/>
      <c r="M44" s="3"/>
      <c r="N44" s="3"/>
      <c r="O44" s="3"/>
      <c r="P44" s="3"/>
      <c r="Q44" s="3"/>
      <c r="R44" s="3"/>
      <c r="S44" s="3"/>
      <c r="T44" s="3"/>
      <c r="U44" s="3"/>
      <c r="V44" s="3"/>
      <c r="W44" s="3"/>
      <c r="X44" s="3"/>
      <c r="Y44" s="3"/>
      <c r="Z44" s="3"/>
      <c r="AA44" s="3"/>
    </row>
    <row r="45" spans="1:27" ht="14" x14ac:dyDescent="0.2">
      <c r="A45" s="3" t="s">
        <v>19</v>
      </c>
      <c r="B45" s="3" t="s">
        <v>144</v>
      </c>
      <c r="C45" s="3">
        <v>266.89</v>
      </c>
      <c r="D45" s="3">
        <v>101.16</v>
      </c>
      <c r="E45" s="3">
        <v>166.74</v>
      </c>
      <c r="F45" s="3">
        <v>83.4</v>
      </c>
      <c r="G45" s="3">
        <v>1.58</v>
      </c>
      <c r="H45" s="3">
        <v>7</v>
      </c>
      <c r="I45" s="3">
        <v>7.33</v>
      </c>
      <c r="J45" s="1">
        <f t="shared" si="0"/>
        <v>634.1</v>
      </c>
      <c r="K45" s="3"/>
      <c r="L45" s="3"/>
      <c r="M45" s="3"/>
      <c r="N45" s="3"/>
      <c r="O45" s="3"/>
      <c r="P45" s="3"/>
      <c r="Q45" s="3"/>
      <c r="R45" s="3"/>
      <c r="S45" s="3"/>
      <c r="T45" s="3"/>
      <c r="U45" s="3"/>
      <c r="V45" s="3"/>
      <c r="W45" s="3"/>
      <c r="X45" s="3"/>
      <c r="Y45" s="3"/>
      <c r="Z45" s="3"/>
      <c r="AA45" s="3"/>
    </row>
    <row r="46" spans="1:27" ht="14" x14ac:dyDescent="0.2">
      <c r="A46" s="3" t="s">
        <v>419</v>
      </c>
      <c r="B46" s="3"/>
      <c r="C46" s="3"/>
      <c r="D46" s="3"/>
      <c r="E46" s="3"/>
      <c r="F46" s="3"/>
      <c r="G46" s="3"/>
      <c r="H46" s="3"/>
      <c r="I46" s="3"/>
      <c r="J46" s="1"/>
      <c r="K46" s="3"/>
      <c r="L46" s="3"/>
      <c r="M46" s="3"/>
      <c r="N46" s="3"/>
      <c r="O46" s="3"/>
      <c r="P46" s="3"/>
      <c r="Q46" s="3"/>
      <c r="R46" s="3"/>
      <c r="S46" s="3"/>
      <c r="T46" s="3"/>
      <c r="U46" s="3"/>
      <c r="V46" s="3"/>
      <c r="W46" s="3"/>
      <c r="X46" s="3"/>
      <c r="Y46" s="3"/>
      <c r="Z46" s="3"/>
      <c r="AA46" s="3"/>
    </row>
    <row r="47" spans="1:27" ht="14" x14ac:dyDescent="0.2">
      <c r="A47" s="3" t="s">
        <v>187</v>
      </c>
      <c r="B47" s="3"/>
      <c r="C47" s="3"/>
      <c r="D47" s="3"/>
      <c r="E47" s="3"/>
      <c r="F47" s="3"/>
      <c r="G47" s="3"/>
      <c r="H47" s="3"/>
      <c r="I47" s="3"/>
      <c r="J47" s="1">
        <f t="shared" si="0"/>
        <v>0</v>
      </c>
      <c r="K47" s="3"/>
      <c r="L47" s="3"/>
      <c r="M47" s="3"/>
      <c r="N47" s="3"/>
      <c r="O47" s="3"/>
      <c r="P47" s="3"/>
      <c r="Q47" s="3"/>
      <c r="R47" s="3"/>
      <c r="S47" s="3"/>
      <c r="T47" s="3"/>
      <c r="U47" s="3"/>
      <c r="V47" s="3"/>
      <c r="W47" s="3"/>
      <c r="X47" s="3"/>
      <c r="Y47" s="3"/>
      <c r="Z47" s="3"/>
      <c r="AA47" s="3"/>
    </row>
    <row r="48" spans="1:27" ht="14" x14ac:dyDescent="0.2">
      <c r="A48" s="3" t="s">
        <v>288</v>
      </c>
      <c r="B48" s="3"/>
      <c r="C48" s="3"/>
      <c r="D48" s="3"/>
      <c r="E48" s="3"/>
      <c r="F48" s="3"/>
      <c r="G48" s="3"/>
      <c r="H48" s="3"/>
      <c r="I48" s="3"/>
      <c r="J48" s="1">
        <f t="shared" si="0"/>
        <v>0</v>
      </c>
      <c r="K48" s="3"/>
      <c r="L48" s="3"/>
      <c r="M48" s="3"/>
      <c r="N48" s="3"/>
      <c r="O48" s="3"/>
      <c r="P48" s="3"/>
      <c r="Q48" s="3"/>
      <c r="R48" s="3"/>
      <c r="S48" s="3"/>
      <c r="T48" s="3"/>
      <c r="U48" s="3"/>
      <c r="V48" s="3"/>
      <c r="W48" s="3"/>
      <c r="X48" s="3"/>
      <c r="Y48" s="3"/>
      <c r="Z48" s="3"/>
      <c r="AA48" s="3"/>
    </row>
    <row r="49" spans="1:27" ht="14" x14ac:dyDescent="0.2">
      <c r="A49" s="3" t="s">
        <v>184</v>
      </c>
      <c r="B49" s="3"/>
      <c r="C49" s="3"/>
      <c r="D49" s="3"/>
      <c r="E49" s="3"/>
      <c r="F49" s="3"/>
      <c r="G49" s="3"/>
      <c r="H49" s="3"/>
      <c r="I49" s="3"/>
      <c r="J49" s="1">
        <f t="shared" si="0"/>
        <v>0</v>
      </c>
      <c r="K49" s="3"/>
      <c r="L49" s="3"/>
      <c r="M49" s="3"/>
      <c r="N49" s="3"/>
      <c r="O49" s="3"/>
      <c r="P49" s="3"/>
      <c r="Q49" s="3"/>
      <c r="R49" s="3"/>
      <c r="S49" s="3"/>
      <c r="T49" s="3"/>
      <c r="U49" s="3"/>
      <c r="V49" s="3"/>
      <c r="W49" s="3"/>
      <c r="X49" s="3"/>
      <c r="Y49" s="3"/>
      <c r="Z49" s="3"/>
      <c r="AA49" s="3"/>
    </row>
    <row r="50" spans="1:27" ht="14" x14ac:dyDescent="0.2">
      <c r="A50" s="3" t="s">
        <v>157</v>
      </c>
      <c r="B50" s="3" t="s">
        <v>159</v>
      </c>
      <c r="C50" s="3"/>
      <c r="D50" s="3"/>
      <c r="E50" s="3"/>
      <c r="F50" s="3"/>
      <c r="G50" s="3"/>
      <c r="H50" s="3"/>
      <c r="I50" s="3"/>
      <c r="J50" s="1">
        <f t="shared" si="0"/>
        <v>0</v>
      </c>
      <c r="K50" s="3"/>
      <c r="L50" s="3"/>
      <c r="M50" s="3"/>
      <c r="N50" s="3"/>
      <c r="O50" s="3"/>
      <c r="P50" s="3"/>
      <c r="Q50" s="3"/>
      <c r="R50" s="3"/>
      <c r="S50" s="3"/>
      <c r="T50" s="3"/>
      <c r="U50" s="3"/>
      <c r="V50" s="3"/>
      <c r="W50" s="3"/>
      <c r="X50" s="3"/>
      <c r="Y50" s="3"/>
      <c r="Z50" s="3"/>
      <c r="AA50" s="3"/>
    </row>
    <row r="51" spans="1:27" ht="14" x14ac:dyDescent="0.2">
      <c r="A51" s="3" t="s">
        <v>158</v>
      </c>
      <c r="B51" s="3" t="s">
        <v>160</v>
      </c>
      <c r="C51" s="3"/>
      <c r="D51" s="3"/>
      <c r="E51" s="3"/>
      <c r="F51" s="3"/>
      <c r="G51" s="3"/>
      <c r="H51" s="3"/>
      <c r="I51" s="3"/>
      <c r="J51" s="1">
        <f t="shared" si="0"/>
        <v>0</v>
      </c>
      <c r="K51" s="3"/>
      <c r="L51" s="3"/>
      <c r="M51" s="3"/>
      <c r="N51" s="3"/>
      <c r="O51" s="3"/>
      <c r="P51" s="3"/>
      <c r="Q51" s="3"/>
      <c r="R51" s="3"/>
      <c r="S51" s="3"/>
      <c r="T51" s="3"/>
      <c r="U51" s="3"/>
      <c r="V51" s="3"/>
      <c r="W51" s="3"/>
      <c r="X51" s="3"/>
      <c r="Y51" s="3"/>
      <c r="Z51" s="3"/>
      <c r="AA51" s="3"/>
    </row>
    <row r="52" spans="1:27" ht="14" x14ac:dyDescent="0.2">
      <c r="A52" s="3" t="s">
        <v>115</v>
      </c>
      <c r="B52" s="3" t="s">
        <v>145</v>
      </c>
      <c r="C52" s="3"/>
      <c r="D52" s="3"/>
      <c r="E52" s="3"/>
      <c r="F52" s="3"/>
      <c r="G52" s="3"/>
      <c r="H52" s="3"/>
      <c r="I52" s="3"/>
      <c r="J52" s="1">
        <f t="shared" si="0"/>
        <v>0</v>
      </c>
      <c r="K52" s="3"/>
      <c r="L52" s="3"/>
      <c r="M52" s="3"/>
      <c r="N52" s="3"/>
      <c r="O52" s="3"/>
      <c r="P52" s="3"/>
      <c r="Q52" s="3"/>
      <c r="R52" s="3"/>
      <c r="S52" s="3"/>
      <c r="T52" s="3"/>
      <c r="U52" s="3"/>
      <c r="V52" s="3"/>
      <c r="W52" s="3"/>
      <c r="X52" s="3"/>
      <c r="Y52" s="3"/>
      <c r="Z52" s="3"/>
      <c r="AA52" s="3"/>
    </row>
    <row r="53" spans="1:27" ht="14" x14ac:dyDescent="0.2">
      <c r="A53" s="3" t="s">
        <v>128</v>
      </c>
      <c r="B53" s="3" t="s">
        <v>146</v>
      </c>
      <c r="C53" s="3"/>
      <c r="D53" s="3"/>
      <c r="E53" s="3"/>
      <c r="F53" s="3">
        <v>11</v>
      </c>
      <c r="G53" s="3"/>
      <c r="H53" s="3">
        <v>1</v>
      </c>
      <c r="I53" s="3"/>
      <c r="J53" s="1">
        <f t="shared" si="0"/>
        <v>12</v>
      </c>
      <c r="K53" s="3"/>
      <c r="L53" s="3"/>
      <c r="M53" s="3"/>
      <c r="N53" s="3"/>
      <c r="O53" s="3"/>
      <c r="P53" s="3"/>
      <c r="Q53" s="3"/>
      <c r="R53" s="3"/>
      <c r="S53" s="3"/>
      <c r="T53" s="3"/>
      <c r="U53" s="3"/>
      <c r="V53" s="3"/>
      <c r="W53" s="3"/>
      <c r="X53" s="3"/>
      <c r="Y53" s="3"/>
      <c r="Z53" s="3"/>
      <c r="AA53" s="3"/>
    </row>
    <row r="54" spans="1:27" ht="15" x14ac:dyDescent="0.2">
      <c r="A54" s="3" t="s">
        <v>20</v>
      </c>
      <c r="B54" s="36" t="s">
        <v>147</v>
      </c>
      <c r="C54" s="3"/>
      <c r="D54" s="3"/>
      <c r="E54" s="3"/>
      <c r="F54" s="3"/>
      <c r="G54" s="3"/>
      <c r="H54" s="3"/>
      <c r="I54" s="3"/>
      <c r="J54" s="1">
        <f t="shared" si="0"/>
        <v>0</v>
      </c>
      <c r="K54" s="3"/>
      <c r="L54" s="3"/>
      <c r="M54" s="3"/>
      <c r="N54" s="3"/>
      <c r="O54" s="3"/>
      <c r="P54" s="3"/>
      <c r="Q54" s="3"/>
      <c r="R54" s="3"/>
      <c r="S54" s="3"/>
      <c r="T54" s="3"/>
      <c r="U54" s="3"/>
      <c r="V54" s="3"/>
      <c r="W54" s="3"/>
      <c r="X54" s="3"/>
      <c r="Y54" s="3"/>
      <c r="Z54" s="3"/>
      <c r="AA54" s="3"/>
    </row>
    <row r="55" spans="1:27" ht="14" x14ac:dyDescent="0.2">
      <c r="A55" s="3" t="s">
        <v>420</v>
      </c>
      <c r="B55" s="36"/>
      <c r="C55" s="3"/>
      <c r="D55" s="3"/>
      <c r="E55" s="3"/>
      <c r="F55" s="3"/>
      <c r="G55" s="3"/>
      <c r="H55" s="3"/>
      <c r="I55" s="3"/>
      <c r="J55" s="1"/>
      <c r="K55" s="3"/>
      <c r="L55" s="3"/>
      <c r="M55" s="3"/>
      <c r="N55" s="3"/>
      <c r="O55" s="3"/>
      <c r="P55" s="3"/>
      <c r="Q55" s="3"/>
      <c r="R55" s="3"/>
      <c r="S55" s="3"/>
      <c r="T55" s="3"/>
      <c r="U55" s="3"/>
      <c r="V55" s="3"/>
      <c r="W55" s="3"/>
      <c r="X55" s="3"/>
      <c r="Y55" s="3"/>
      <c r="Z55" s="3"/>
      <c r="AA55" s="3"/>
    </row>
    <row r="56" spans="1:27" ht="14" x14ac:dyDescent="0.2">
      <c r="A56" s="3" t="s">
        <v>21</v>
      </c>
      <c r="B56" s="3" t="s">
        <v>148</v>
      </c>
      <c r="C56" s="3">
        <v>79.33</v>
      </c>
      <c r="D56" s="3">
        <v>23.87</v>
      </c>
      <c r="E56" s="3"/>
      <c r="F56" s="3">
        <v>1</v>
      </c>
      <c r="G56" s="3"/>
      <c r="H56" s="3">
        <v>0.5</v>
      </c>
      <c r="I56" s="3"/>
      <c r="J56" s="1">
        <f t="shared" si="0"/>
        <v>104.7</v>
      </c>
      <c r="K56" s="3"/>
      <c r="L56" s="3"/>
      <c r="M56" s="3"/>
      <c r="N56" s="3"/>
      <c r="O56" s="3"/>
      <c r="P56" s="3"/>
      <c r="Q56" s="3"/>
      <c r="R56" s="3"/>
      <c r="S56" s="3"/>
      <c r="T56" s="3"/>
      <c r="U56" s="3"/>
      <c r="V56" s="3"/>
      <c r="W56" s="3"/>
      <c r="X56" s="3"/>
      <c r="Y56" s="3"/>
      <c r="Z56" s="3"/>
      <c r="AA56" s="3"/>
    </row>
    <row r="57" spans="1:27" ht="14" x14ac:dyDescent="0.2">
      <c r="A57" s="3"/>
      <c r="B57" s="1"/>
      <c r="C57" s="1">
        <f>SUM(C17:C56)</f>
        <v>1422.25</v>
      </c>
      <c r="D57" s="1">
        <f t="shared" ref="D57:I57" si="1">SUM(D17:D56)</f>
        <v>543.99</v>
      </c>
      <c r="E57" s="1">
        <f>SUM(E17:E56)</f>
        <v>483.24</v>
      </c>
      <c r="F57" s="1">
        <f t="shared" si="1"/>
        <v>255.46</v>
      </c>
      <c r="G57" s="1">
        <f t="shared" si="1"/>
        <v>36.64</v>
      </c>
      <c r="H57" s="1">
        <f t="shared" si="1"/>
        <v>43.25</v>
      </c>
      <c r="I57" s="1">
        <f t="shared" si="1"/>
        <v>8.08</v>
      </c>
      <c r="J57" s="1">
        <f>SUM(C57:I57)</f>
        <v>2792.91</v>
      </c>
      <c r="K57" s="3"/>
      <c r="L57" s="3"/>
      <c r="M57" s="3"/>
      <c r="N57" s="3"/>
      <c r="O57" s="3"/>
      <c r="P57" s="3"/>
      <c r="Q57" s="3"/>
      <c r="R57" s="3"/>
      <c r="S57" s="3"/>
      <c r="T57" s="3"/>
      <c r="U57" s="3"/>
      <c r="V57" s="3"/>
      <c r="W57" s="3"/>
      <c r="X57" s="3"/>
      <c r="Y57" s="3"/>
      <c r="Z57" s="3"/>
      <c r="AA57" s="3"/>
    </row>
    <row r="58" spans="1:27"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row>
    <row r="60" spans="1:27" ht="16" x14ac:dyDescent="0.2">
      <c r="A60" s="11" t="s">
        <v>55</v>
      </c>
      <c r="B60" s="12">
        <v>19593</v>
      </c>
      <c r="D60" s="3"/>
      <c r="E60" s="3"/>
      <c r="F60" s="3"/>
      <c r="G60" s="3"/>
      <c r="H60" s="3"/>
      <c r="I60" s="3"/>
      <c r="J60" s="3"/>
      <c r="K60" s="3"/>
      <c r="L60" s="3"/>
      <c r="M60" s="3"/>
      <c r="N60" s="3"/>
      <c r="O60" s="3"/>
      <c r="P60" s="3"/>
      <c r="Q60" s="3"/>
      <c r="R60" s="3"/>
      <c r="S60" s="3"/>
      <c r="T60" s="3"/>
      <c r="U60" s="3"/>
      <c r="V60" s="3"/>
      <c r="W60" s="3"/>
      <c r="X60" s="3"/>
      <c r="Y60" s="3"/>
      <c r="Z60" s="3"/>
      <c r="AA60" s="3"/>
    </row>
    <row r="61" spans="1:27"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row>
    <row r="62" spans="1:27"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row>
    <row r="63" spans="1:27" ht="14" x14ac:dyDescent="0.2">
      <c r="A63" s="3" t="s">
        <v>23</v>
      </c>
      <c r="B63" s="3"/>
      <c r="C63" s="3">
        <v>0.25</v>
      </c>
      <c r="D63" s="3"/>
      <c r="E63" s="3"/>
      <c r="F63" s="3"/>
      <c r="G63" s="1">
        <f t="shared" ref="G63:G71" si="2">SUM(C63:F63)</f>
        <v>0.25</v>
      </c>
      <c r="H63" s="3"/>
      <c r="I63" s="3"/>
      <c r="J63" s="3"/>
      <c r="K63" s="3"/>
      <c r="L63" s="3"/>
      <c r="M63" s="3"/>
      <c r="N63" s="3"/>
      <c r="O63" s="3"/>
      <c r="P63" s="3"/>
      <c r="Q63" s="3"/>
      <c r="R63" s="3"/>
      <c r="S63" s="3"/>
      <c r="T63" s="3"/>
      <c r="U63" s="3"/>
      <c r="V63" s="3"/>
      <c r="W63" s="3"/>
      <c r="X63" s="3"/>
      <c r="Y63" s="3"/>
      <c r="Z63" s="3"/>
      <c r="AA63" s="3"/>
    </row>
    <row r="64" spans="1:27" ht="14" x14ac:dyDescent="0.2">
      <c r="A64" s="3" t="s">
        <v>11</v>
      </c>
      <c r="B64" s="3"/>
      <c r="C64" s="3">
        <v>2.35</v>
      </c>
      <c r="D64" s="3">
        <v>2.66</v>
      </c>
      <c r="E64" s="3">
        <v>2.5</v>
      </c>
      <c r="F64" s="3"/>
      <c r="G64" s="1">
        <f t="shared" si="2"/>
        <v>7.51</v>
      </c>
      <c r="H64" s="3"/>
      <c r="I64" s="3"/>
      <c r="J64" s="3"/>
      <c r="K64" s="3"/>
      <c r="L64" s="3"/>
      <c r="M64" s="3"/>
      <c r="N64" s="3"/>
      <c r="O64" s="3"/>
      <c r="P64" s="3"/>
      <c r="Q64" s="3"/>
      <c r="R64" s="3"/>
      <c r="S64" s="3"/>
      <c r="T64" s="3"/>
      <c r="U64" s="3"/>
      <c r="V64" s="3"/>
      <c r="W64" s="3"/>
      <c r="X64" s="3"/>
      <c r="Y64" s="3"/>
      <c r="Z64" s="3"/>
      <c r="AA64" s="3"/>
    </row>
    <row r="65" spans="1:27" ht="14" x14ac:dyDescent="0.2">
      <c r="A65" s="3" t="s">
        <v>14</v>
      </c>
      <c r="B65" s="3"/>
      <c r="C65" s="3">
        <v>16.899999999999999</v>
      </c>
      <c r="D65" s="3">
        <v>14.17</v>
      </c>
      <c r="E65" s="3">
        <v>3.92</v>
      </c>
      <c r="F65" s="3">
        <v>2.41</v>
      </c>
      <c r="G65" s="1">
        <f t="shared" si="2"/>
        <v>37.400000000000006</v>
      </c>
      <c r="H65" s="3"/>
      <c r="I65" s="3"/>
      <c r="J65" s="3"/>
      <c r="K65" s="3"/>
      <c r="L65" s="3"/>
      <c r="M65" s="3"/>
      <c r="N65" s="3"/>
      <c r="O65" s="3"/>
      <c r="P65" s="3"/>
      <c r="Q65" s="3"/>
      <c r="R65" s="3"/>
      <c r="S65" s="3"/>
      <c r="T65" s="3"/>
      <c r="U65" s="3"/>
      <c r="V65" s="3"/>
      <c r="W65" s="3"/>
      <c r="X65" s="3"/>
      <c r="Y65" s="3"/>
      <c r="Z65" s="3"/>
      <c r="AA65" s="3"/>
    </row>
    <row r="66" spans="1:27" ht="14" x14ac:dyDescent="0.2">
      <c r="A66" s="3" t="s">
        <v>278</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row>
    <row r="67" spans="1:27" ht="14" x14ac:dyDescent="0.2">
      <c r="A67" s="3" t="s">
        <v>18</v>
      </c>
      <c r="B67" s="3"/>
      <c r="C67" s="3">
        <v>98.77</v>
      </c>
      <c r="D67" s="3">
        <v>22.63</v>
      </c>
      <c r="E67" s="3">
        <v>31.35</v>
      </c>
      <c r="F67" s="3">
        <v>10.050000000000001</v>
      </c>
      <c r="G67" s="1">
        <f t="shared" si="2"/>
        <v>162.80000000000001</v>
      </c>
      <c r="H67" s="3"/>
      <c r="I67" s="3"/>
      <c r="J67" s="3"/>
      <c r="K67" s="3"/>
      <c r="L67" s="3"/>
      <c r="M67" s="3"/>
      <c r="N67" s="3"/>
      <c r="O67" s="3"/>
      <c r="P67" s="3"/>
      <c r="Q67" s="3"/>
      <c r="R67" s="3"/>
      <c r="S67" s="3"/>
      <c r="T67" s="3"/>
      <c r="U67" s="3"/>
      <c r="V67" s="3"/>
      <c r="W67" s="3"/>
      <c r="X67" s="3"/>
      <c r="Y67" s="3"/>
      <c r="Z67" s="3"/>
      <c r="AA67" s="3"/>
    </row>
    <row r="68" spans="1:27" ht="14" x14ac:dyDescent="0.2">
      <c r="A68" s="3" t="s">
        <v>19</v>
      </c>
      <c r="B68" s="3"/>
      <c r="C68" s="3">
        <v>45.71</v>
      </c>
      <c r="D68" s="3">
        <v>10.050000000000001</v>
      </c>
      <c r="E68" s="3">
        <v>8.92</v>
      </c>
      <c r="F68" s="3">
        <v>4.25</v>
      </c>
      <c r="G68" s="1">
        <f t="shared" si="2"/>
        <v>68.930000000000007</v>
      </c>
      <c r="H68" s="3"/>
      <c r="I68" s="3"/>
      <c r="J68" s="3"/>
      <c r="K68" s="3"/>
      <c r="L68" s="3"/>
      <c r="M68" s="3"/>
      <c r="N68" s="3"/>
      <c r="O68" s="3"/>
      <c r="P68" s="3"/>
      <c r="Q68" s="3"/>
      <c r="R68" s="3"/>
      <c r="S68" s="3"/>
      <c r="T68" s="3"/>
      <c r="U68" s="3"/>
      <c r="V68" s="3"/>
      <c r="W68" s="3"/>
      <c r="X68" s="3"/>
      <c r="Y68" s="3"/>
      <c r="Z68" s="3"/>
      <c r="AA68" s="3"/>
    </row>
    <row r="69" spans="1:27" ht="14" x14ac:dyDescent="0.2">
      <c r="A69" s="3" t="s">
        <v>24</v>
      </c>
      <c r="B69" s="3"/>
      <c r="C69" s="3">
        <v>0.1</v>
      </c>
      <c r="D69" s="3"/>
      <c r="E69" s="3">
        <v>6.8</v>
      </c>
      <c r="F69" s="3"/>
      <c r="G69" s="1">
        <f t="shared" si="2"/>
        <v>6.8999999999999995</v>
      </c>
      <c r="H69" s="3"/>
      <c r="I69" s="3"/>
      <c r="J69" s="3"/>
      <c r="K69" s="3"/>
      <c r="L69" s="3"/>
      <c r="M69" s="3"/>
      <c r="N69" s="3"/>
      <c r="O69" s="3"/>
      <c r="P69" s="3"/>
      <c r="Q69" s="3"/>
      <c r="R69" s="3"/>
      <c r="S69" s="3"/>
      <c r="T69" s="3"/>
      <c r="U69" s="3"/>
      <c r="V69" s="3"/>
      <c r="W69" s="3"/>
      <c r="X69" s="3"/>
      <c r="Y69" s="3"/>
      <c r="Z69" s="3"/>
      <c r="AA69" s="3"/>
    </row>
    <row r="70" spans="1:27"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row>
    <row r="71" spans="1:27" ht="14" x14ac:dyDescent="0.2">
      <c r="A71" s="3" t="s">
        <v>21</v>
      </c>
      <c r="B71" s="3"/>
      <c r="C71" s="3">
        <v>10.58</v>
      </c>
      <c r="D71" s="3">
        <v>0.5</v>
      </c>
      <c r="E71" s="3">
        <v>0.5</v>
      </c>
      <c r="F71" s="3"/>
      <c r="G71" s="1">
        <f t="shared" si="2"/>
        <v>11.58</v>
      </c>
      <c r="H71" s="3"/>
      <c r="I71" s="3"/>
      <c r="J71" s="3"/>
      <c r="K71" s="3"/>
      <c r="L71" s="3"/>
      <c r="M71" s="3"/>
      <c r="N71" s="3"/>
      <c r="O71" s="3"/>
      <c r="P71" s="3"/>
      <c r="Q71" s="3"/>
      <c r="R71" s="3"/>
      <c r="S71" s="3"/>
      <c r="T71" s="3"/>
      <c r="U71" s="3"/>
      <c r="V71" s="3"/>
      <c r="W71" s="3"/>
      <c r="X71" s="3"/>
      <c r="Y71" s="3"/>
      <c r="Z71" s="3"/>
      <c r="AA71" s="3"/>
    </row>
    <row r="72" spans="1:27" ht="14" x14ac:dyDescent="0.2">
      <c r="A72" s="3"/>
      <c r="B72" s="1"/>
      <c r="C72" s="1">
        <f>SUM(C63:C71)</f>
        <v>174.66</v>
      </c>
      <c r="D72" s="1">
        <f>SUM(D63:D71)</f>
        <v>50.009999999999991</v>
      </c>
      <c r="E72" s="1">
        <f>SUM(E63:E71)</f>
        <v>53.99</v>
      </c>
      <c r="F72" s="1">
        <f>SUM(F63:F71)</f>
        <v>16.71</v>
      </c>
      <c r="G72" s="1">
        <f>SUM(C72:F72)</f>
        <v>295.36999999999995</v>
      </c>
      <c r="H72" s="3"/>
      <c r="I72" s="3"/>
      <c r="J72" s="3"/>
      <c r="K72" s="3"/>
      <c r="L72" s="3"/>
      <c r="M72" s="3"/>
      <c r="N72" s="3"/>
      <c r="O72" s="3"/>
      <c r="P72" s="3"/>
      <c r="Q72" s="3"/>
      <c r="R72" s="3"/>
      <c r="S72" s="3"/>
      <c r="T72" s="3"/>
      <c r="U72" s="3"/>
      <c r="V72" s="3"/>
      <c r="W72" s="3"/>
      <c r="X72" s="3"/>
      <c r="Y72" s="3"/>
      <c r="Z72" s="3"/>
      <c r="AA72" s="3"/>
    </row>
    <row r="73" spans="1:27"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row>
    <row r="75" spans="1:27"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row>
    <row r="76" spans="1:27"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4" x14ac:dyDescent="0.2">
      <c r="A77" s="14" t="s">
        <v>60</v>
      </c>
      <c r="B77" s="153" t="s">
        <v>61</v>
      </c>
      <c r="C77" s="148"/>
      <c r="D77" s="14" t="s">
        <v>62</v>
      </c>
      <c r="E77" s="14" t="s">
        <v>63</v>
      </c>
      <c r="F77" s="14" t="s">
        <v>64</v>
      </c>
      <c r="G77" s="153" t="s">
        <v>65</v>
      </c>
      <c r="H77" s="147"/>
      <c r="I77" s="147"/>
      <c r="J77" s="147"/>
      <c r="K77" s="147"/>
      <c r="L77" s="148"/>
      <c r="N77" s="3"/>
      <c r="O77" s="3"/>
      <c r="P77" s="3"/>
      <c r="Q77" s="3"/>
      <c r="R77" s="3"/>
      <c r="S77" s="3"/>
      <c r="T77" s="3"/>
      <c r="U77" s="3"/>
      <c r="V77" s="3"/>
      <c r="W77" s="3"/>
      <c r="X77" s="3"/>
      <c r="Y77" s="3"/>
      <c r="Z77" s="3"/>
      <c r="AA77" s="3"/>
    </row>
    <row r="78" spans="1:27" ht="14" x14ac:dyDescent="0.2">
      <c r="A78" s="15"/>
      <c r="B78" s="152"/>
      <c r="C78" s="148"/>
      <c r="D78" s="15"/>
      <c r="E78" s="15"/>
      <c r="F78" s="16"/>
      <c r="G78" s="152"/>
      <c r="H78" s="147"/>
      <c r="I78" s="147"/>
      <c r="J78" s="147"/>
      <c r="K78" s="147"/>
      <c r="L78" s="148"/>
      <c r="N78" s="3"/>
      <c r="O78" s="3"/>
      <c r="P78" s="3"/>
      <c r="Q78" s="3"/>
      <c r="R78" s="3"/>
      <c r="S78" s="3"/>
      <c r="T78" s="3"/>
      <c r="U78" s="3"/>
      <c r="V78" s="3"/>
      <c r="W78" s="3"/>
      <c r="X78" s="3"/>
      <c r="Y78" s="3"/>
      <c r="Z78" s="3"/>
      <c r="AA78" s="3"/>
    </row>
    <row r="79" spans="1:27" ht="14" x14ac:dyDescent="0.2">
      <c r="A79" s="17" t="s">
        <v>66</v>
      </c>
      <c r="B79" s="146" t="s">
        <v>67</v>
      </c>
      <c r="C79" s="148"/>
      <c r="D79" s="19" t="s">
        <v>68</v>
      </c>
      <c r="E79" s="20"/>
      <c r="F79" s="20"/>
      <c r="G79" s="146" t="s">
        <v>69</v>
      </c>
      <c r="H79" s="147"/>
      <c r="I79" s="147"/>
      <c r="J79" s="147"/>
      <c r="K79" s="147"/>
      <c r="L79" s="148"/>
      <c r="N79" s="3"/>
      <c r="O79" s="3"/>
      <c r="P79" s="3"/>
      <c r="Q79" s="3"/>
      <c r="R79" s="3"/>
      <c r="S79" s="3"/>
      <c r="T79" s="3"/>
      <c r="U79" s="3"/>
      <c r="V79" s="3"/>
      <c r="W79" s="3"/>
      <c r="X79" s="3"/>
      <c r="Y79" s="3"/>
      <c r="Z79" s="3"/>
      <c r="AA79" s="3"/>
    </row>
    <row r="80" spans="1:27" ht="14" x14ac:dyDescent="0.2">
      <c r="A80" s="17" t="s">
        <v>66</v>
      </c>
      <c r="B80" s="146" t="s">
        <v>70</v>
      </c>
      <c r="C80" s="148"/>
      <c r="D80" s="19" t="s">
        <v>68</v>
      </c>
      <c r="E80" s="20"/>
      <c r="F80" s="20"/>
      <c r="G80" s="146" t="s">
        <v>69</v>
      </c>
      <c r="H80" s="147"/>
      <c r="I80" s="147"/>
      <c r="J80" s="147"/>
      <c r="K80" s="147"/>
      <c r="L80" s="148"/>
      <c r="N80" s="3"/>
      <c r="O80" s="3"/>
      <c r="P80" s="3"/>
      <c r="Q80" s="3"/>
      <c r="R80" s="3"/>
      <c r="S80" s="3"/>
      <c r="T80" s="3"/>
      <c r="U80" s="3"/>
      <c r="V80" s="3"/>
      <c r="W80" s="3"/>
      <c r="X80" s="3"/>
      <c r="Y80" s="3"/>
      <c r="Z80" s="3"/>
      <c r="AA80" s="3"/>
    </row>
    <row r="81" spans="1:27" ht="14" x14ac:dyDescent="0.2">
      <c r="A81" s="17" t="s">
        <v>66</v>
      </c>
      <c r="B81" s="146" t="s">
        <v>71</v>
      </c>
      <c r="C81" s="148"/>
      <c r="D81" s="19" t="s">
        <v>68</v>
      </c>
      <c r="E81" s="20"/>
      <c r="F81" s="20"/>
      <c r="G81" s="146" t="s">
        <v>69</v>
      </c>
      <c r="H81" s="147"/>
      <c r="I81" s="147"/>
      <c r="J81" s="147"/>
      <c r="K81" s="147"/>
      <c r="L81" s="148"/>
      <c r="N81" s="3"/>
      <c r="O81" s="3"/>
      <c r="P81" s="3"/>
      <c r="Q81" s="3"/>
      <c r="R81" s="3"/>
      <c r="S81" s="3"/>
      <c r="T81" s="3"/>
      <c r="U81" s="3"/>
      <c r="V81" s="3"/>
      <c r="W81" s="3"/>
      <c r="X81" s="3"/>
      <c r="Y81" s="3"/>
      <c r="Z81" s="3"/>
      <c r="AA81" s="3"/>
    </row>
    <row r="82" spans="1:27" ht="14" x14ac:dyDescent="0.2">
      <c r="A82" s="17" t="s">
        <v>66</v>
      </c>
      <c r="B82" s="146" t="s">
        <v>72</v>
      </c>
      <c r="C82" s="148"/>
      <c r="D82" s="19" t="s">
        <v>68</v>
      </c>
      <c r="E82" s="20"/>
      <c r="F82" s="20"/>
      <c r="G82" s="146" t="s">
        <v>69</v>
      </c>
      <c r="H82" s="147"/>
      <c r="I82" s="147"/>
      <c r="J82" s="147"/>
      <c r="K82" s="147"/>
      <c r="L82" s="148"/>
      <c r="N82" s="3"/>
      <c r="O82" s="3"/>
      <c r="P82" s="3"/>
      <c r="Q82" s="3"/>
      <c r="R82" s="3"/>
      <c r="S82" s="3"/>
      <c r="T82" s="3"/>
      <c r="U82" s="3"/>
      <c r="V82" s="3"/>
      <c r="W82" s="3"/>
      <c r="X82" s="3"/>
      <c r="Y82" s="3"/>
      <c r="Z82" s="3"/>
      <c r="AA82" s="3"/>
    </row>
    <row r="83" spans="1:27" ht="14" x14ac:dyDescent="0.2">
      <c r="A83" s="17" t="s">
        <v>73</v>
      </c>
      <c r="B83" s="146" t="s">
        <v>18</v>
      </c>
      <c r="C83" s="148"/>
      <c r="D83" s="19" t="s">
        <v>68</v>
      </c>
      <c r="E83" s="20"/>
      <c r="F83" s="20"/>
      <c r="G83" s="146" t="s">
        <v>74</v>
      </c>
      <c r="H83" s="147"/>
      <c r="I83" s="147"/>
      <c r="J83" s="147"/>
      <c r="K83" s="147"/>
      <c r="L83" s="148"/>
      <c r="N83" s="3"/>
      <c r="O83" s="3"/>
      <c r="P83" s="3"/>
      <c r="Q83" s="3"/>
      <c r="R83" s="3"/>
      <c r="S83" s="3"/>
      <c r="T83" s="3"/>
      <c r="U83" s="3"/>
      <c r="V83" s="3"/>
      <c r="W83" s="3"/>
      <c r="X83" s="3"/>
      <c r="Y83" s="3"/>
      <c r="Z83" s="3"/>
      <c r="AA83" s="3"/>
    </row>
    <row r="84" spans="1:27" ht="14" x14ac:dyDescent="0.2">
      <c r="A84" s="15"/>
      <c r="B84" s="152"/>
      <c r="C84" s="148"/>
      <c r="D84" s="15"/>
      <c r="E84" s="21"/>
      <c r="F84" s="22"/>
      <c r="G84" s="152"/>
      <c r="H84" s="147"/>
      <c r="I84" s="147"/>
      <c r="J84" s="147"/>
      <c r="K84" s="147"/>
      <c r="L84" s="148"/>
      <c r="N84" s="3"/>
      <c r="O84" s="3"/>
      <c r="P84" s="3"/>
      <c r="Q84" s="3"/>
      <c r="R84" s="3"/>
      <c r="S84" s="3"/>
      <c r="T84" s="3"/>
      <c r="U84" s="3"/>
      <c r="V84" s="3"/>
      <c r="W84" s="3"/>
      <c r="X84" s="3"/>
      <c r="Y84" s="3"/>
      <c r="Z84" s="3"/>
      <c r="AA84" s="3"/>
    </row>
    <row r="85" spans="1:27" ht="14" x14ac:dyDescent="0.2">
      <c r="A85" s="17" t="s">
        <v>75</v>
      </c>
      <c r="B85" s="146" t="s">
        <v>76</v>
      </c>
      <c r="C85" s="148"/>
      <c r="D85" s="19" t="s">
        <v>77</v>
      </c>
      <c r="E85" s="20"/>
      <c r="F85" s="20">
        <v>54.96</v>
      </c>
      <c r="G85" s="146" t="s">
        <v>78</v>
      </c>
      <c r="H85" s="147"/>
      <c r="I85" s="147"/>
      <c r="J85" s="147"/>
      <c r="K85" s="147"/>
      <c r="L85" s="148"/>
      <c r="N85" s="3"/>
      <c r="O85" s="3"/>
      <c r="P85" s="3"/>
      <c r="Q85" s="3"/>
      <c r="R85" s="3"/>
      <c r="S85" s="3"/>
      <c r="T85" s="3"/>
      <c r="U85" s="3"/>
      <c r="V85" s="3"/>
      <c r="W85" s="3"/>
      <c r="X85" s="3"/>
      <c r="Y85" s="3"/>
      <c r="Z85" s="3"/>
      <c r="AA85" s="3"/>
    </row>
    <row r="86" spans="1:27" ht="14" x14ac:dyDescent="0.2">
      <c r="A86" s="17" t="s">
        <v>79</v>
      </c>
      <c r="B86" s="146" t="s">
        <v>19</v>
      </c>
      <c r="C86" s="148"/>
      <c r="D86" s="19" t="s">
        <v>77</v>
      </c>
      <c r="E86" s="20"/>
      <c r="F86" s="20"/>
      <c r="G86" s="146" t="s">
        <v>80</v>
      </c>
      <c r="H86" s="147"/>
      <c r="I86" s="147"/>
      <c r="J86" s="147"/>
      <c r="K86" s="147"/>
      <c r="L86" s="148"/>
      <c r="N86" s="3"/>
      <c r="O86" s="3"/>
      <c r="P86" s="3"/>
      <c r="Q86" s="3"/>
      <c r="R86" s="3"/>
      <c r="S86" s="3"/>
      <c r="T86" s="3"/>
      <c r="U86" s="3"/>
      <c r="V86" s="3"/>
      <c r="W86" s="3"/>
      <c r="X86" s="3"/>
      <c r="Y86" s="3"/>
      <c r="Z86" s="3"/>
      <c r="AA86" s="3"/>
    </row>
    <row r="87" spans="1:27" ht="14" x14ac:dyDescent="0.2">
      <c r="A87" s="17" t="s">
        <v>81</v>
      </c>
      <c r="B87" s="146" t="s">
        <v>70</v>
      </c>
      <c r="C87" s="148"/>
      <c r="D87" s="19" t="s">
        <v>77</v>
      </c>
      <c r="E87" s="20">
        <v>27658.400000000001</v>
      </c>
      <c r="F87" s="20"/>
      <c r="G87" s="146" t="s">
        <v>82</v>
      </c>
      <c r="H87" s="147"/>
      <c r="I87" s="147"/>
      <c r="J87" s="147"/>
      <c r="K87" s="147"/>
      <c r="L87" s="148"/>
      <c r="N87" s="3"/>
      <c r="O87" s="3"/>
      <c r="P87" s="3"/>
      <c r="Q87" s="3"/>
      <c r="R87" s="3"/>
      <c r="S87" s="3"/>
      <c r="T87" s="3"/>
      <c r="U87" s="3"/>
      <c r="V87" s="3"/>
      <c r="W87" s="3"/>
      <c r="X87" s="3"/>
      <c r="Y87" s="3"/>
      <c r="Z87" s="3"/>
      <c r="AA87" s="3"/>
    </row>
    <row r="88" spans="1:27" ht="14" x14ac:dyDescent="0.2">
      <c r="A88" s="17" t="s">
        <v>83</v>
      </c>
      <c r="B88" s="146" t="s">
        <v>70</v>
      </c>
      <c r="C88" s="148"/>
      <c r="D88" s="19" t="s">
        <v>77</v>
      </c>
      <c r="E88" s="20">
        <v>10371.9</v>
      </c>
      <c r="F88" s="20"/>
      <c r="G88" s="146" t="s">
        <v>84</v>
      </c>
      <c r="H88" s="147"/>
      <c r="I88" s="147"/>
      <c r="J88" s="147"/>
      <c r="K88" s="147"/>
      <c r="L88" s="148"/>
      <c r="N88" s="3"/>
      <c r="O88" s="3"/>
      <c r="P88" s="3"/>
      <c r="Q88" s="3"/>
      <c r="R88" s="3"/>
      <c r="S88" s="3"/>
      <c r="T88" s="3"/>
      <c r="U88" s="3"/>
      <c r="V88" s="3"/>
      <c r="W88" s="3"/>
      <c r="X88" s="3"/>
      <c r="Y88" s="3"/>
      <c r="Z88" s="3"/>
      <c r="AA88" s="3"/>
    </row>
    <row r="89" spans="1:27" ht="14" x14ac:dyDescent="0.2">
      <c r="A89" s="17" t="s">
        <v>85</v>
      </c>
      <c r="B89" s="146" t="s">
        <v>18</v>
      </c>
      <c r="C89" s="148"/>
      <c r="D89" s="19" t="s">
        <v>68</v>
      </c>
      <c r="E89" s="20"/>
      <c r="F89" s="22"/>
      <c r="G89" s="146" t="s">
        <v>86</v>
      </c>
      <c r="H89" s="147"/>
      <c r="I89" s="147"/>
      <c r="J89" s="147"/>
      <c r="K89" s="147"/>
      <c r="L89" s="148"/>
      <c r="N89" s="3"/>
      <c r="O89" s="3"/>
      <c r="P89" s="3"/>
      <c r="Q89" s="3"/>
      <c r="R89" s="3"/>
      <c r="S89" s="3"/>
      <c r="T89" s="3"/>
      <c r="U89" s="3"/>
      <c r="V89" s="3"/>
      <c r="W89" s="3"/>
      <c r="X89" s="3"/>
      <c r="Y89" s="3"/>
      <c r="Z89" s="3"/>
      <c r="AA89" s="3"/>
    </row>
    <row r="90" spans="1:27" ht="14" x14ac:dyDescent="0.2">
      <c r="A90" s="17" t="s">
        <v>87</v>
      </c>
      <c r="B90" s="146" t="s">
        <v>88</v>
      </c>
      <c r="C90" s="148"/>
      <c r="D90" s="19" t="s">
        <v>77</v>
      </c>
      <c r="E90" s="20"/>
      <c r="F90" s="20">
        <v>1647.25</v>
      </c>
      <c r="G90" s="146" t="s">
        <v>89</v>
      </c>
      <c r="H90" s="147"/>
      <c r="I90" s="147"/>
      <c r="J90" s="147"/>
      <c r="K90" s="147"/>
      <c r="L90" s="148"/>
      <c r="N90" s="3"/>
      <c r="O90" s="3"/>
      <c r="P90" s="3"/>
      <c r="Q90" s="3"/>
      <c r="R90" s="3"/>
      <c r="S90" s="3"/>
      <c r="T90" s="3"/>
      <c r="U90" s="3"/>
      <c r="V90" s="3"/>
      <c r="W90" s="3"/>
      <c r="X90" s="3"/>
      <c r="Y90" s="3"/>
      <c r="Z90" s="3"/>
      <c r="AA90" s="3"/>
    </row>
    <row r="91" spans="1:27" ht="14" x14ac:dyDescent="0.2">
      <c r="A91" s="17" t="s">
        <v>90</v>
      </c>
      <c r="B91" s="146"/>
      <c r="C91" s="148"/>
      <c r="D91" s="19" t="s">
        <v>77</v>
      </c>
      <c r="E91" s="20"/>
      <c r="F91" s="20"/>
      <c r="G91" s="146" t="s">
        <v>91</v>
      </c>
      <c r="H91" s="147"/>
      <c r="I91" s="147"/>
      <c r="J91" s="147"/>
      <c r="K91" s="147"/>
      <c r="L91" s="148"/>
      <c r="N91" s="3"/>
      <c r="O91" s="3"/>
      <c r="P91" s="3"/>
      <c r="Q91" s="3"/>
      <c r="R91" s="3"/>
      <c r="S91" s="3"/>
      <c r="T91" s="3"/>
      <c r="U91" s="3"/>
      <c r="V91" s="3"/>
      <c r="W91" s="3"/>
      <c r="X91" s="3"/>
      <c r="Y91" s="3"/>
      <c r="Z91" s="3"/>
      <c r="AA91" s="3"/>
    </row>
    <row r="92" spans="1:27" ht="14" x14ac:dyDescent="0.2">
      <c r="A92" s="17" t="s">
        <v>92</v>
      </c>
      <c r="B92" s="146" t="s">
        <v>93</v>
      </c>
      <c r="C92" s="148"/>
      <c r="D92" s="19" t="s">
        <v>77</v>
      </c>
      <c r="E92" s="20"/>
      <c r="F92" s="22">
        <v>750</v>
      </c>
      <c r="G92" s="146" t="s">
        <v>94</v>
      </c>
      <c r="H92" s="147"/>
      <c r="I92" s="147"/>
      <c r="J92" s="147"/>
      <c r="K92" s="147"/>
      <c r="L92" s="148"/>
      <c r="N92" s="3"/>
      <c r="O92" s="3"/>
      <c r="P92" s="3"/>
      <c r="Q92" s="3"/>
      <c r="R92" s="3"/>
      <c r="S92" s="3"/>
      <c r="T92" s="3"/>
      <c r="U92" s="3"/>
      <c r="V92" s="3"/>
      <c r="W92" s="3"/>
      <c r="X92" s="3"/>
      <c r="Y92" s="3"/>
      <c r="Z92" s="3"/>
      <c r="AA92" s="3"/>
    </row>
    <row r="93" spans="1:27" ht="14" x14ac:dyDescent="0.2">
      <c r="A93" s="17" t="s">
        <v>92</v>
      </c>
      <c r="B93" s="146" t="s">
        <v>95</v>
      </c>
      <c r="C93" s="148"/>
      <c r="D93" s="19" t="s">
        <v>77</v>
      </c>
      <c r="E93" s="20"/>
      <c r="F93" s="22">
        <v>750</v>
      </c>
      <c r="G93" s="146" t="s">
        <v>94</v>
      </c>
      <c r="H93" s="147"/>
      <c r="I93" s="147"/>
      <c r="J93" s="147"/>
      <c r="K93" s="147"/>
      <c r="L93" s="148"/>
      <c r="N93" s="3"/>
      <c r="O93" s="3"/>
      <c r="P93" s="3"/>
      <c r="Q93" s="3"/>
      <c r="R93" s="3"/>
      <c r="S93" s="3"/>
      <c r="T93" s="3"/>
      <c r="U93" s="3"/>
      <c r="V93" s="3"/>
      <c r="W93" s="3"/>
      <c r="X93" s="3"/>
      <c r="Y93" s="3"/>
      <c r="Z93" s="3"/>
      <c r="AA93" s="3"/>
    </row>
    <row r="94" spans="1:27" ht="14" x14ac:dyDescent="0.2">
      <c r="A94" s="17" t="s">
        <v>92</v>
      </c>
      <c r="B94" s="146" t="s">
        <v>96</v>
      </c>
      <c r="C94" s="148"/>
      <c r="D94" s="19" t="s">
        <v>77</v>
      </c>
      <c r="E94" s="20"/>
      <c r="F94" s="20"/>
      <c r="G94" s="146" t="s">
        <v>94</v>
      </c>
      <c r="H94" s="147"/>
      <c r="I94" s="147"/>
      <c r="J94" s="147"/>
      <c r="K94" s="147"/>
      <c r="L94" s="148"/>
      <c r="N94" s="3"/>
      <c r="O94" s="3"/>
      <c r="P94" s="3"/>
      <c r="Q94" s="3"/>
      <c r="R94" s="3"/>
      <c r="S94" s="3"/>
      <c r="T94" s="3"/>
      <c r="U94" s="3"/>
      <c r="V94" s="3"/>
      <c r="W94" s="3"/>
      <c r="X94" s="3"/>
      <c r="Y94" s="3"/>
      <c r="Z94" s="3"/>
      <c r="AA94" s="3"/>
    </row>
    <row r="95" spans="1:27" ht="14" x14ac:dyDescent="0.2">
      <c r="A95" s="17" t="s">
        <v>92</v>
      </c>
      <c r="B95" s="146" t="s">
        <v>97</v>
      </c>
      <c r="C95" s="148"/>
      <c r="D95" s="19" t="s">
        <v>98</v>
      </c>
      <c r="E95" s="20"/>
      <c r="F95" s="20"/>
      <c r="G95" s="146" t="s">
        <v>99</v>
      </c>
      <c r="H95" s="147"/>
      <c r="I95" s="147"/>
      <c r="J95" s="147"/>
      <c r="K95" s="147"/>
      <c r="L95" s="148"/>
      <c r="N95" s="3"/>
      <c r="O95" s="3"/>
      <c r="P95" s="3"/>
      <c r="Q95" s="3"/>
      <c r="R95" s="3"/>
      <c r="S95" s="3"/>
      <c r="T95" s="3"/>
      <c r="U95" s="3"/>
      <c r="V95" s="3"/>
      <c r="W95" s="3"/>
      <c r="X95" s="3"/>
      <c r="Y95" s="3"/>
      <c r="Z95" s="3"/>
      <c r="AA95" s="3"/>
    </row>
    <row r="96" spans="1:27" ht="14" x14ac:dyDescent="0.2">
      <c r="A96" s="17" t="s">
        <v>100</v>
      </c>
      <c r="B96" s="146" t="s">
        <v>97</v>
      </c>
      <c r="C96" s="148"/>
      <c r="D96" s="19" t="s">
        <v>77</v>
      </c>
      <c r="E96" s="20"/>
      <c r="F96" s="20"/>
      <c r="G96" s="146" t="s">
        <v>101</v>
      </c>
      <c r="H96" s="147"/>
      <c r="I96" s="147"/>
      <c r="J96" s="147"/>
      <c r="K96" s="147"/>
      <c r="L96" s="148"/>
      <c r="N96" s="3"/>
      <c r="O96" s="3"/>
      <c r="P96" s="3"/>
      <c r="Q96" s="3"/>
      <c r="R96" s="3"/>
      <c r="S96" s="3"/>
      <c r="T96" s="3"/>
      <c r="U96" s="3"/>
      <c r="V96" s="3"/>
      <c r="W96" s="3"/>
      <c r="X96" s="3"/>
      <c r="Y96" s="3"/>
      <c r="Z96" s="3"/>
      <c r="AA96" s="3"/>
    </row>
    <row r="97" spans="1:27" ht="14" x14ac:dyDescent="0.2">
      <c r="A97" s="17" t="s">
        <v>100</v>
      </c>
      <c r="B97" s="146" t="s">
        <v>96</v>
      </c>
      <c r="C97" s="148"/>
      <c r="D97" s="19" t="s">
        <v>77</v>
      </c>
      <c r="E97" s="20"/>
      <c r="F97" s="20"/>
      <c r="G97" s="146" t="s">
        <v>101</v>
      </c>
      <c r="H97" s="147"/>
      <c r="I97" s="147"/>
      <c r="J97" s="147"/>
      <c r="K97" s="147"/>
      <c r="L97" s="148"/>
      <c r="N97" s="3"/>
      <c r="O97" s="3"/>
      <c r="P97" s="3"/>
      <c r="Q97" s="3"/>
      <c r="R97" s="3"/>
      <c r="S97" s="3"/>
      <c r="T97" s="3"/>
      <c r="U97" s="3"/>
      <c r="V97" s="3"/>
      <c r="W97" s="3"/>
      <c r="X97" s="3"/>
      <c r="Y97" s="3"/>
      <c r="Z97" s="3"/>
      <c r="AA97" s="3"/>
    </row>
    <row r="98" spans="1:27" ht="14" x14ac:dyDescent="0.2">
      <c r="A98" s="17" t="s">
        <v>102</v>
      </c>
      <c r="B98" s="146" t="s">
        <v>96</v>
      </c>
      <c r="C98" s="148"/>
      <c r="D98" s="19" t="s">
        <v>77</v>
      </c>
      <c r="E98" s="20"/>
      <c r="F98" s="20"/>
      <c r="G98" s="146" t="s">
        <v>101</v>
      </c>
      <c r="H98" s="147"/>
      <c r="I98" s="147"/>
      <c r="J98" s="147"/>
      <c r="K98" s="147"/>
      <c r="L98" s="148"/>
      <c r="N98" s="3"/>
      <c r="O98" s="3"/>
      <c r="P98" s="3"/>
      <c r="Q98" s="3"/>
      <c r="R98" s="3"/>
      <c r="S98" s="3"/>
      <c r="T98" s="3"/>
      <c r="U98" s="3"/>
      <c r="V98" s="3"/>
      <c r="W98" s="3"/>
      <c r="X98" s="3"/>
      <c r="Y98" s="3"/>
      <c r="Z98" s="3"/>
      <c r="AA98" s="3"/>
    </row>
    <row r="99" spans="1:27" ht="14" x14ac:dyDescent="0.2">
      <c r="A99" s="18" t="s">
        <v>103</v>
      </c>
      <c r="B99" s="151"/>
      <c r="C99" s="148"/>
      <c r="D99" s="19" t="s">
        <v>77</v>
      </c>
      <c r="E99" s="20"/>
      <c r="F99" s="20">
        <v>238.7</v>
      </c>
      <c r="G99" s="146" t="s">
        <v>104</v>
      </c>
      <c r="H99" s="147"/>
      <c r="I99" s="147"/>
      <c r="J99" s="147"/>
      <c r="K99" s="147"/>
      <c r="L99" s="148"/>
      <c r="N99" s="3"/>
      <c r="O99" s="3"/>
      <c r="P99" s="3"/>
      <c r="Q99" s="3"/>
      <c r="R99" s="3"/>
      <c r="S99" s="3"/>
      <c r="T99" s="3"/>
      <c r="U99" s="3"/>
      <c r="V99" s="3"/>
      <c r="W99" s="3"/>
      <c r="X99" s="3"/>
      <c r="Y99" s="3"/>
      <c r="Z99" s="3"/>
      <c r="AA99" s="3"/>
    </row>
    <row r="100" spans="1:27" ht="14" x14ac:dyDescent="0.2">
      <c r="A100" s="3"/>
      <c r="B100" s="3"/>
      <c r="C100" s="3"/>
      <c r="D100" s="3"/>
      <c r="E100" s="23">
        <f>SUM(E78:E99)</f>
        <v>38030.300000000003</v>
      </c>
      <c r="F100" s="23">
        <f>SUM(F79:F99)</f>
        <v>3440.91</v>
      </c>
      <c r="G100" s="3"/>
      <c r="H100" s="149"/>
      <c r="I100" s="150"/>
      <c r="J100" s="150"/>
      <c r="K100" s="150"/>
      <c r="L100" s="150"/>
      <c r="N100" s="3"/>
      <c r="O100" s="3"/>
      <c r="P100" s="3"/>
      <c r="Q100" s="3"/>
      <c r="R100" s="3"/>
      <c r="S100" s="3"/>
      <c r="T100" s="3"/>
      <c r="U100" s="3"/>
      <c r="V100" s="3"/>
      <c r="W100" s="3"/>
      <c r="X100" s="3"/>
      <c r="Y100" s="3"/>
      <c r="Z100" s="3"/>
      <c r="AA100" s="3"/>
    </row>
    <row r="101" spans="1:27" ht="14"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spans="1:27"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spans="1:27"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spans="1:27"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spans="1:27"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spans="1:27"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spans="1:27"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spans="1:27"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spans="1:27"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spans="1:27"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spans="1:27"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spans="1:27"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spans="1:27"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spans="1:27"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spans="1:27"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spans="1:27"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spans="1:27"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spans="1:27"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spans="1:27"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spans="1:27"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spans="1:27"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spans="1:27"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spans="1:27"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spans="1:27"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spans="1:27"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spans="1:27"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row>
    <row r="1037" spans="1:27"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row>
    <row r="1038" spans="1:27"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row>
    <row r="1039" spans="1:27"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row>
    <row r="1040" spans="1:27"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row>
    <row r="1041" spans="1:27"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row>
    <row r="1042" spans="1:27"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row>
    <row r="1043" spans="1:27"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row>
    <row r="1044" spans="1:27"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row>
    <row r="1045" spans="1:27"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row>
  </sheetData>
  <mergeCells count="47">
    <mergeCell ref="G80:L80"/>
    <mergeCell ref="B80:C80"/>
    <mergeCell ref="B81:C81"/>
    <mergeCell ref="B77:C77"/>
    <mergeCell ref="G77:L77"/>
    <mergeCell ref="B78:C78"/>
    <mergeCell ref="G78:L78"/>
    <mergeCell ref="B79:C79"/>
    <mergeCell ref="G79:L79"/>
    <mergeCell ref="B85:C85"/>
    <mergeCell ref="B86:C86"/>
    <mergeCell ref="G81:L81"/>
    <mergeCell ref="G82:L82"/>
    <mergeCell ref="G83:L83"/>
    <mergeCell ref="G84:L84"/>
    <mergeCell ref="G85:L85"/>
    <mergeCell ref="G86:L86"/>
    <mergeCell ref="B82:C82"/>
    <mergeCell ref="B83:C83"/>
    <mergeCell ref="B84:C84"/>
    <mergeCell ref="G87:L87"/>
    <mergeCell ref="B94:C94"/>
    <mergeCell ref="B95:C95"/>
    <mergeCell ref="B96:C96"/>
    <mergeCell ref="B97:C97"/>
    <mergeCell ref="G95:L95"/>
    <mergeCell ref="G96:L96"/>
    <mergeCell ref="G97:L97"/>
    <mergeCell ref="B98:C98"/>
    <mergeCell ref="B99:C99"/>
    <mergeCell ref="B87:C87"/>
    <mergeCell ref="B88:C88"/>
    <mergeCell ref="B89:C89"/>
    <mergeCell ref="B90:C90"/>
    <mergeCell ref="B91:C91"/>
    <mergeCell ref="B92:C92"/>
    <mergeCell ref="B93:C93"/>
    <mergeCell ref="G98:L98"/>
    <mergeCell ref="G99:L99"/>
    <mergeCell ref="H100:L100"/>
    <mergeCell ref="G88:L88"/>
    <mergeCell ref="G89:L89"/>
    <mergeCell ref="G90:L90"/>
    <mergeCell ref="G91:L91"/>
    <mergeCell ref="G92:L92"/>
    <mergeCell ref="G93:L93"/>
    <mergeCell ref="G94:L94"/>
  </mergeCells>
  <pageMargins left="0.70866141732283472" right="0.70866141732283472" top="0.74803149606299213" bottom="0.74803149606299213" header="0.31496062992125984" footer="0.31496062992125984"/>
  <pageSetup paperSize="9" scale="39" orientation="landscape"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E2E1-E029-6344-8A2F-B17E27C3FE33}">
  <sheetPr>
    <outlinePr summaryBelow="0" summaryRight="0"/>
    <pageSetUpPr fitToPage="1"/>
  </sheetPr>
  <dimension ref="A1:AB1046"/>
  <sheetViews>
    <sheetView topLeftCell="A28"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45352</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242579</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SUM(22.5*8.5)*21</f>
        <v>4016.25</v>
      </c>
      <c r="C4" s="3" t="s">
        <v>31</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
        <f>T13+J57+G72</f>
        <v>4554.1500000000005</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537.90000000000055</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3"/>
      <c r="L8" s="3"/>
      <c r="M8" s="3"/>
      <c r="N8" s="3"/>
      <c r="O8" s="3"/>
      <c r="P8" s="3"/>
      <c r="Q8" s="3"/>
      <c r="R8" s="3"/>
      <c r="S8" s="3"/>
      <c r="T8" s="3"/>
      <c r="U8" s="3"/>
      <c r="V8" s="3"/>
      <c r="W8" s="3"/>
      <c r="X8" s="3"/>
      <c r="Y8" s="3"/>
      <c r="Z8" s="3"/>
      <c r="AA8" s="3"/>
      <c r="AB8" s="3"/>
    </row>
    <row r="9" spans="1:28" ht="16" x14ac:dyDescent="0.2">
      <c r="A9" s="11" t="s">
        <v>32</v>
      </c>
      <c r="B9" s="12">
        <v>222986</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105</v>
      </c>
      <c r="T11" s="8" t="s">
        <v>50</v>
      </c>
      <c r="U11" s="3"/>
      <c r="V11" s="3"/>
      <c r="W11" s="3"/>
      <c r="X11" s="3"/>
      <c r="Y11" s="3"/>
      <c r="Z11" s="3"/>
      <c r="AA11" s="3"/>
      <c r="AB11" s="3"/>
    </row>
    <row r="12" spans="1:28" ht="14"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14" x14ac:dyDescent="0.2">
      <c r="A13" s="3"/>
      <c r="B13" s="1"/>
      <c r="C13" s="1">
        <v>121.75</v>
      </c>
      <c r="D13" s="1">
        <v>301.76</v>
      </c>
      <c r="E13" s="1">
        <f>SUM(E12)</f>
        <v>0</v>
      </c>
      <c r="F13" s="1">
        <v>31.32</v>
      </c>
      <c r="G13" s="1">
        <v>156.41</v>
      </c>
      <c r="H13" s="1">
        <v>6</v>
      </c>
      <c r="I13" s="1">
        <v>69.52</v>
      </c>
      <c r="J13" s="1">
        <v>7.25</v>
      </c>
      <c r="K13" s="1">
        <v>22.27</v>
      </c>
      <c r="L13" s="1">
        <v>50.02</v>
      </c>
      <c r="M13" s="1">
        <v>11.75</v>
      </c>
      <c r="N13" s="1">
        <v>33.840000000000003</v>
      </c>
      <c r="O13" s="1">
        <v>266.25</v>
      </c>
      <c r="P13" s="1">
        <v>170</v>
      </c>
      <c r="Q13" s="1">
        <v>193.5</v>
      </c>
      <c r="R13" s="1">
        <v>35.75</v>
      </c>
      <c r="S13" s="1">
        <v>82</v>
      </c>
      <c r="T13" s="1">
        <f>SUM(C13:S13)</f>
        <v>1559.3899999999999</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v>37.78</v>
      </c>
      <c r="D17" s="3">
        <v>43.81</v>
      </c>
      <c r="E17" s="3">
        <v>10.46</v>
      </c>
      <c r="F17" s="3">
        <v>3</v>
      </c>
      <c r="G17" s="3">
        <v>2.33</v>
      </c>
      <c r="H17" s="3">
        <v>0.5</v>
      </c>
      <c r="I17" s="3">
        <v>3.42</v>
      </c>
      <c r="J17" s="1">
        <f t="shared" ref="J17:J56" si="0">SUM(C17:I17)</f>
        <v>101.30000000000001</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c r="D18" s="3">
        <v>16.89</v>
      </c>
      <c r="E18" s="3"/>
      <c r="F18" s="3">
        <v>84.33</v>
      </c>
      <c r="G18" s="3"/>
      <c r="H18" s="3">
        <v>10.75</v>
      </c>
      <c r="I18" s="3"/>
      <c r="J18" s="1">
        <f t="shared" si="0"/>
        <v>111.97</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1">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5.5</v>
      </c>
      <c r="D20" s="3">
        <v>0.25</v>
      </c>
      <c r="E20" s="3">
        <v>1</v>
      </c>
      <c r="F20" s="3">
        <v>4.25</v>
      </c>
      <c r="G20" s="3"/>
      <c r="H20" s="3"/>
      <c r="I20" s="3"/>
      <c r="J20" s="1">
        <f t="shared" si="0"/>
        <v>11</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108</v>
      </c>
      <c r="D21" s="3">
        <v>26.5</v>
      </c>
      <c r="E21" s="3"/>
      <c r="F21" s="3">
        <v>4.25</v>
      </c>
      <c r="G21" s="3">
        <v>0.25</v>
      </c>
      <c r="H21" s="3">
        <v>0.75</v>
      </c>
      <c r="I21" s="3"/>
      <c r="J21" s="1">
        <f t="shared" si="0"/>
        <v>139.75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94.75</v>
      </c>
      <c r="D22" s="3">
        <v>14.03</v>
      </c>
      <c r="E22" s="3">
        <v>1.75</v>
      </c>
      <c r="F22" s="3">
        <v>1</v>
      </c>
      <c r="G22" s="3"/>
      <c r="H22" s="3"/>
      <c r="I22" s="3"/>
      <c r="J22" s="1">
        <f t="shared" si="0"/>
        <v>111.53</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1"/>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1"/>
      <c r="K24" s="3"/>
      <c r="L24" s="3"/>
      <c r="M24" s="3"/>
      <c r="N24" s="3"/>
      <c r="O24" s="3"/>
      <c r="P24" s="3"/>
      <c r="Q24" s="3"/>
      <c r="R24" s="3"/>
      <c r="S24" s="3"/>
      <c r="T24" s="3"/>
      <c r="U24" s="3"/>
      <c r="V24" s="3"/>
      <c r="W24" s="3"/>
      <c r="X24" s="3"/>
      <c r="Y24" s="3"/>
      <c r="Z24" s="3"/>
      <c r="AA24" s="3"/>
      <c r="AB24" s="3"/>
    </row>
    <row r="25" spans="1:28" ht="14" x14ac:dyDescent="0.2">
      <c r="A25" s="3" t="s">
        <v>14</v>
      </c>
      <c r="B25" s="3" t="s">
        <v>133</v>
      </c>
      <c r="C25" s="3">
        <f>521.62+1.17</f>
        <v>522.79</v>
      </c>
      <c r="D25" s="3">
        <f>209.73+6.5</f>
        <v>216.23</v>
      </c>
      <c r="E25" s="3">
        <f>223.35+1.25</f>
        <v>224.6</v>
      </c>
      <c r="F25" s="3">
        <v>40.619999999999997</v>
      </c>
      <c r="G25" s="3">
        <v>114.2</v>
      </c>
      <c r="H25" s="3">
        <f>17.25+0.75</f>
        <v>18</v>
      </c>
      <c r="I25" s="3">
        <v>8.5</v>
      </c>
      <c r="J25" s="1">
        <f t="shared" si="0"/>
        <v>1144.94</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1">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1"/>
      <c r="K27" s="3"/>
      <c r="L27" s="3"/>
      <c r="M27" s="3"/>
      <c r="N27" s="3"/>
      <c r="O27" s="3"/>
      <c r="P27" s="3"/>
      <c r="Q27" s="3"/>
      <c r="R27" s="3"/>
      <c r="S27" s="3"/>
      <c r="T27" s="3"/>
      <c r="U27" s="3"/>
      <c r="V27" s="3"/>
      <c r="W27" s="3"/>
      <c r="X27" s="3"/>
      <c r="Y27" s="3"/>
      <c r="Z27" s="3"/>
      <c r="AA27" s="3"/>
      <c r="AB27" s="3"/>
    </row>
    <row r="28" spans="1:28" ht="14" x14ac:dyDescent="0.2">
      <c r="A28" s="3" t="s">
        <v>122</v>
      </c>
      <c r="B28" s="3" t="s">
        <v>134</v>
      </c>
      <c r="C28" s="3"/>
      <c r="D28" s="3"/>
      <c r="E28" s="3"/>
      <c r="F28" s="3"/>
      <c r="G28" s="3"/>
      <c r="H28" s="3"/>
      <c r="I28" s="3"/>
      <c r="J28" s="1">
        <f t="shared" si="0"/>
        <v>0</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1">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c r="E30" s="3"/>
      <c r="F30" s="3"/>
      <c r="G30" s="3"/>
      <c r="H30" s="3"/>
      <c r="I30" s="3"/>
      <c r="J30" s="1">
        <f t="shared" si="0"/>
        <v>0</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c r="E31" s="3"/>
      <c r="F31" s="3">
        <v>11</v>
      </c>
      <c r="G31" s="3"/>
      <c r="H31" s="3"/>
      <c r="I31" s="3"/>
      <c r="J31" s="1">
        <f t="shared" si="0"/>
        <v>11</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v>6.45</v>
      </c>
      <c r="D32" s="3">
        <v>8.9600000000000009</v>
      </c>
      <c r="E32" s="3"/>
      <c r="F32" s="3">
        <v>3</v>
      </c>
      <c r="G32" s="3"/>
      <c r="H32" s="3">
        <v>2.35</v>
      </c>
      <c r="I32" s="3"/>
      <c r="J32" s="1">
        <f t="shared" si="0"/>
        <v>20.76</v>
      </c>
      <c r="K32" s="3"/>
      <c r="L32" s="3"/>
      <c r="M32" s="3"/>
      <c r="N32" s="3"/>
      <c r="O32" s="3"/>
      <c r="P32" s="3"/>
      <c r="Q32" s="3"/>
      <c r="R32" s="3"/>
      <c r="S32" s="3"/>
      <c r="T32" s="3"/>
      <c r="U32" s="3"/>
      <c r="V32" s="3"/>
      <c r="W32" s="3"/>
      <c r="X32" s="3"/>
      <c r="Y32" s="3"/>
      <c r="Z32" s="3"/>
      <c r="AA32" s="3"/>
      <c r="AB32" s="3"/>
    </row>
    <row r="33" spans="1:28" ht="14" x14ac:dyDescent="0.2">
      <c r="A33" s="3" t="s">
        <v>16</v>
      </c>
      <c r="B33" s="3"/>
      <c r="C33" s="3"/>
      <c r="D33" s="3">
        <v>3.5</v>
      </c>
      <c r="E33" s="3"/>
      <c r="F33" s="3">
        <v>15.59</v>
      </c>
      <c r="G33" s="3"/>
      <c r="H33" s="3"/>
      <c r="I33" s="3"/>
      <c r="J33" s="1">
        <f t="shared" si="0"/>
        <v>19.09</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1">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1">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1"/>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1">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1">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c r="D39" s="3">
        <v>1</v>
      </c>
      <c r="E39" s="3"/>
      <c r="F39" s="3">
        <v>6</v>
      </c>
      <c r="G39" s="3"/>
      <c r="H39" s="3"/>
      <c r="I39" s="3"/>
      <c r="J39" s="1">
        <f t="shared" si="0"/>
        <v>7</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1">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1"/>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c r="G42" s="3"/>
      <c r="H42" s="3"/>
      <c r="I42" s="3"/>
      <c r="J42" s="1">
        <f t="shared" si="0"/>
        <v>0</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v>13</v>
      </c>
      <c r="E43" s="3"/>
      <c r="F43" s="3">
        <v>5.25</v>
      </c>
      <c r="G43" s="3"/>
      <c r="H43" s="3">
        <v>3.25</v>
      </c>
      <c r="I43" s="3"/>
      <c r="J43" s="1">
        <f t="shared" si="0"/>
        <v>21.5</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245.57</v>
      </c>
      <c r="D44" s="3">
        <v>171.29</v>
      </c>
      <c r="E44" s="3">
        <v>138.75</v>
      </c>
      <c r="F44" s="3">
        <v>70.66</v>
      </c>
      <c r="G44" s="3"/>
      <c r="H44" s="3">
        <v>1</v>
      </c>
      <c r="I44" s="3"/>
      <c r="J44" s="1">
        <f t="shared" si="0"/>
        <v>627.27</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277.32</v>
      </c>
      <c r="D45" s="3">
        <v>80.89</v>
      </c>
      <c r="E45" s="3">
        <v>1.25</v>
      </c>
      <c r="F45" s="3">
        <v>117.85</v>
      </c>
      <c r="G45" s="3">
        <v>3.25</v>
      </c>
      <c r="H45" s="3"/>
      <c r="I45" s="3">
        <v>6.02</v>
      </c>
      <c r="J45" s="1">
        <f t="shared" si="0"/>
        <v>486.57999999999993</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1"/>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1">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1">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1">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1">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1">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1">
        <f t="shared" si="0"/>
        <v>0</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c r="D53" s="3">
        <v>2.5</v>
      </c>
      <c r="E53" s="3"/>
      <c r="F53" s="3">
        <v>9.39</v>
      </c>
      <c r="G53" s="3"/>
      <c r="H53" s="3"/>
      <c r="I53" s="3"/>
      <c r="J53" s="1">
        <f t="shared" si="0"/>
        <v>11.89</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1">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1"/>
      <c r="K55" s="3"/>
      <c r="L55" s="3"/>
      <c r="M55" s="3"/>
      <c r="N55" s="3"/>
      <c r="O55" s="3"/>
      <c r="P55" s="3"/>
      <c r="Q55" s="3"/>
      <c r="R55" s="3"/>
      <c r="S55" s="3"/>
      <c r="T55" s="3"/>
      <c r="U55" s="3"/>
      <c r="V55" s="3"/>
      <c r="W55" s="3"/>
      <c r="X55" s="3"/>
      <c r="Y55" s="3"/>
      <c r="Z55" s="3"/>
      <c r="AA55" s="3"/>
      <c r="AB55" s="3"/>
    </row>
    <row r="56" spans="1:28" ht="14" x14ac:dyDescent="0.2">
      <c r="A56" s="3" t="s">
        <v>21</v>
      </c>
      <c r="B56" s="3" t="s">
        <v>148</v>
      </c>
      <c r="C56" s="3">
        <v>77</v>
      </c>
      <c r="D56" s="3">
        <v>18.79</v>
      </c>
      <c r="E56" s="3"/>
      <c r="F56" s="3"/>
      <c r="G56" s="3"/>
      <c r="H56" s="3"/>
      <c r="I56" s="3">
        <v>1</v>
      </c>
      <c r="J56" s="1">
        <f t="shared" si="0"/>
        <v>96.789999999999992</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1375.1599999999999</v>
      </c>
      <c r="D57" s="1">
        <f t="shared" si="1"/>
        <v>617.63999999999987</v>
      </c>
      <c r="E57" s="1">
        <f t="shared" si="1"/>
        <v>377.81</v>
      </c>
      <c r="F57" s="1">
        <f t="shared" si="1"/>
        <v>376.18999999999994</v>
      </c>
      <c r="G57" s="1">
        <f t="shared" si="1"/>
        <v>120.03</v>
      </c>
      <c r="H57" s="1">
        <f t="shared" si="1"/>
        <v>36.6</v>
      </c>
      <c r="I57" s="1">
        <f t="shared" si="1"/>
        <v>18.939999999999998</v>
      </c>
      <c r="J57" s="1">
        <f>SUM(C57:I57)</f>
        <v>2922.37</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19593</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 t="shared" ref="G63:G71"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5</v>
      </c>
      <c r="D64" s="3"/>
      <c r="E64" s="3">
        <v>3.5</v>
      </c>
      <c r="F64" s="3"/>
      <c r="G64" s="1">
        <f t="shared" si="2"/>
        <v>8.5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4.5999999999999996</v>
      </c>
      <c r="D65" s="3"/>
      <c r="E65" s="3">
        <v>2.5</v>
      </c>
      <c r="F65" s="3"/>
      <c r="G65" s="1">
        <f t="shared" si="2"/>
        <v>7.1</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17.010000000000002</v>
      </c>
      <c r="D67" s="3"/>
      <c r="E67" s="3">
        <v>1.5</v>
      </c>
      <c r="F67" s="3"/>
      <c r="G67" s="1">
        <f t="shared" si="2"/>
        <v>18.510000000000002</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15.28</v>
      </c>
      <c r="D68" s="3"/>
      <c r="E68" s="3">
        <v>15.5</v>
      </c>
      <c r="F68" s="3"/>
      <c r="G68" s="1">
        <f t="shared" si="2"/>
        <v>30.78</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v>1.9</v>
      </c>
      <c r="D69" s="3"/>
      <c r="E69" s="3">
        <v>3.1</v>
      </c>
      <c r="F69" s="3"/>
      <c r="G69" s="1">
        <f t="shared" si="2"/>
        <v>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2.5</v>
      </c>
      <c r="D71" s="3"/>
      <c r="E71" s="3"/>
      <c r="F71" s="3"/>
      <c r="G71" s="1">
        <f t="shared" si="2"/>
        <v>2.5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46.29</v>
      </c>
      <c r="D72" s="1">
        <f>SUM(D64:D71)</f>
        <v>0</v>
      </c>
      <c r="E72" s="1">
        <f>SUM(E64:E71)</f>
        <v>26.1</v>
      </c>
      <c r="F72" s="1">
        <f>SUM(F63:F71)</f>
        <v>0</v>
      </c>
      <c r="G72" s="1">
        <f>SUM(C72:F72)</f>
        <v>72.39</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63</v>
      </c>
      <c r="F77" s="14" t="s">
        <v>64</v>
      </c>
      <c r="G77" s="153" t="s">
        <v>65</v>
      </c>
      <c r="H77" s="147"/>
      <c r="I77" s="147"/>
      <c r="J77" s="147"/>
      <c r="K77" s="147"/>
      <c r="L77" s="148"/>
      <c r="N77" s="3"/>
      <c r="O77" s="3"/>
      <c r="P77" s="3"/>
      <c r="Q77" s="3"/>
      <c r="R77" s="3"/>
      <c r="S77" s="3"/>
      <c r="T77" s="3"/>
      <c r="U77" s="3"/>
      <c r="V77" s="3"/>
      <c r="W77" s="3"/>
      <c r="X77" s="3"/>
      <c r="Y77" s="3"/>
      <c r="Z77" s="3"/>
      <c r="AA77" s="3"/>
      <c r="AB77" s="3"/>
    </row>
    <row r="78" spans="1:28" ht="14" x14ac:dyDescent="0.2">
      <c r="A78" s="15"/>
      <c r="B78" s="152"/>
      <c r="C78" s="148"/>
      <c r="D78" s="15"/>
      <c r="E78" s="16"/>
      <c r="F78" s="16"/>
      <c r="G78" s="152"/>
      <c r="H78" s="147"/>
      <c r="I78" s="147"/>
      <c r="J78" s="147"/>
      <c r="K78" s="147"/>
      <c r="L78" s="148"/>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20"/>
      <c r="F79" s="20"/>
      <c r="G79" s="146" t="s">
        <v>69</v>
      </c>
      <c r="H79" s="147"/>
      <c r="I79" s="147"/>
      <c r="J79" s="147"/>
      <c r="K79" s="147"/>
      <c r="L79" s="148"/>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20"/>
      <c r="F80" s="20"/>
      <c r="G80" s="146" t="s">
        <v>69</v>
      </c>
      <c r="H80" s="147"/>
      <c r="I80" s="147"/>
      <c r="J80" s="147"/>
      <c r="K80" s="147"/>
      <c r="L80" s="148"/>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20"/>
      <c r="F81" s="20"/>
      <c r="G81" s="146" t="s">
        <v>69</v>
      </c>
      <c r="H81" s="147"/>
      <c r="I81" s="147"/>
      <c r="J81" s="147"/>
      <c r="K81" s="147"/>
      <c r="L81" s="148"/>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20"/>
      <c r="F82" s="20"/>
      <c r="G82" s="146" t="s">
        <v>69</v>
      </c>
      <c r="H82" s="147"/>
      <c r="I82" s="147"/>
      <c r="J82" s="147"/>
      <c r="K82" s="147"/>
      <c r="L82" s="148"/>
      <c r="N82" s="3"/>
      <c r="O82" s="3"/>
      <c r="P82" s="3"/>
      <c r="Q82" s="3"/>
      <c r="R82" s="3"/>
      <c r="S82" s="3"/>
      <c r="T82" s="3"/>
      <c r="U82" s="3"/>
      <c r="V82" s="3"/>
      <c r="W82" s="3"/>
      <c r="X82" s="3"/>
      <c r="Y82" s="3"/>
      <c r="Z82" s="3"/>
      <c r="AA82" s="3"/>
      <c r="AB82" s="3"/>
    </row>
    <row r="83" spans="1:28" ht="14" x14ac:dyDescent="0.2">
      <c r="A83" s="17" t="s">
        <v>73</v>
      </c>
      <c r="B83" s="146" t="s">
        <v>18</v>
      </c>
      <c r="C83" s="148"/>
      <c r="D83" s="19" t="s">
        <v>68</v>
      </c>
      <c r="E83" s="20"/>
      <c r="F83" s="20"/>
      <c r="G83" s="146" t="s">
        <v>74</v>
      </c>
      <c r="H83" s="147"/>
      <c r="I83" s="147"/>
      <c r="J83" s="147"/>
      <c r="K83" s="147"/>
      <c r="L83" s="148"/>
      <c r="N83" s="3"/>
      <c r="O83" s="3"/>
      <c r="P83" s="3"/>
      <c r="Q83" s="3"/>
      <c r="R83" s="3"/>
      <c r="S83" s="3"/>
      <c r="T83" s="3"/>
      <c r="U83" s="3"/>
      <c r="V83" s="3"/>
      <c r="W83" s="3"/>
      <c r="X83" s="3"/>
      <c r="Y83" s="3"/>
      <c r="Z83" s="3"/>
      <c r="AA83" s="3"/>
      <c r="AB83" s="3"/>
    </row>
    <row r="84" spans="1:28" ht="14" x14ac:dyDescent="0.2">
      <c r="A84" s="15"/>
      <c r="B84" s="152"/>
      <c r="C84" s="148"/>
      <c r="D84" s="15"/>
      <c r="E84" s="22"/>
      <c r="F84" s="22"/>
      <c r="G84" s="152"/>
      <c r="H84" s="147"/>
      <c r="I84" s="147"/>
      <c r="J84" s="147"/>
      <c r="K84" s="147"/>
      <c r="L84" s="148"/>
      <c r="N84" s="3"/>
      <c r="O84" s="3"/>
      <c r="P84" s="3"/>
      <c r="Q84" s="3"/>
      <c r="R84" s="3"/>
      <c r="S84" s="3"/>
      <c r="T84" s="3"/>
      <c r="U84" s="3"/>
      <c r="V84" s="3"/>
      <c r="W84" s="3"/>
      <c r="X84" s="3"/>
      <c r="Y84" s="3"/>
      <c r="Z84" s="3"/>
      <c r="AA84" s="3"/>
      <c r="AB84" s="3"/>
    </row>
    <row r="85" spans="1:28" ht="14" x14ac:dyDescent="0.2">
      <c r="A85" s="17" t="s">
        <v>75</v>
      </c>
      <c r="B85" s="146" t="s">
        <v>76</v>
      </c>
      <c r="C85" s="148"/>
      <c r="D85" s="19" t="s">
        <v>77</v>
      </c>
      <c r="E85" s="20"/>
      <c r="F85" s="20">
        <v>58.64</v>
      </c>
      <c r="G85" s="146" t="s">
        <v>78</v>
      </c>
      <c r="H85" s="147"/>
      <c r="I85" s="147"/>
      <c r="J85" s="147"/>
      <c r="K85" s="147"/>
      <c r="L85" s="148"/>
      <c r="N85" s="3"/>
      <c r="O85" s="3"/>
      <c r="P85" s="3"/>
      <c r="Q85" s="3"/>
      <c r="R85" s="3"/>
      <c r="S85" s="3"/>
      <c r="T85" s="3"/>
      <c r="U85" s="3"/>
      <c r="V85" s="3"/>
      <c r="W85" s="3"/>
      <c r="X85" s="3"/>
      <c r="Y85" s="3"/>
      <c r="Z85" s="3"/>
      <c r="AA85" s="3"/>
      <c r="AB85" s="3"/>
    </row>
    <row r="86" spans="1:28" ht="14" x14ac:dyDescent="0.2">
      <c r="A86" s="17" t="s">
        <v>79</v>
      </c>
      <c r="B86" s="146" t="s">
        <v>19</v>
      </c>
      <c r="C86" s="148"/>
      <c r="D86" s="19" t="s">
        <v>77</v>
      </c>
      <c r="E86" s="20"/>
      <c r="F86" s="20"/>
      <c r="G86" s="146" t="s">
        <v>80</v>
      </c>
      <c r="H86" s="147"/>
      <c r="I86" s="147"/>
      <c r="J86" s="147"/>
      <c r="K86" s="147"/>
      <c r="L86" s="148"/>
      <c r="N86" s="3"/>
      <c r="O86" s="3"/>
      <c r="P86" s="3"/>
      <c r="Q86" s="3"/>
      <c r="R86" s="3"/>
      <c r="S86" s="3"/>
      <c r="T86" s="3"/>
      <c r="U86" s="3"/>
      <c r="V86" s="3"/>
      <c r="W86" s="3"/>
      <c r="X86" s="3"/>
      <c r="Y86" s="3"/>
      <c r="Z86" s="3"/>
      <c r="AA86" s="3"/>
      <c r="AB86" s="3"/>
    </row>
    <row r="87" spans="1:28" ht="14" x14ac:dyDescent="0.2">
      <c r="A87" s="17" t="s">
        <v>81</v>
      </c>
      <c r="B87" s="146" t="s">
        <v>70</v>
      </c>
      <c r="C87" s="148"/>
      <c r="D87" s="19" t="s">
        <v>77</v>
      </c>
      <c r="E87" s="20"/>
      <c r="F87" s="20"/>
      <c r="G87" s="146" t="s">
        <v>82</v>
      </c>
      <c r="H87" s="147"/>
      <c r="I87" s="147"/>
      <c r="J87" s="147"/>
      <c r="K87" s="147"/>
      <c r="L87" s="148"/>
      <c r="N87" s="3"/>
      <c r="O87" s="3"/>
      <c r="P87" s="3"/>
      <c r="Q87" s="3"/>
      <c r="R87" s="3"/>
      <c r="S87" s="3"/>
      <c r="T87" s="3"/>
      <c r="U87" s="3"/>
      <c r="V87" s="3"/>
      <c r="W87" s="3"/>
      <c r="X87" s="3"/>
      <c r="Y87" s="3"/>
      <c r="Z87" s="3"/>
      <c r="AA87" s="3"/>
      <c r="AB87" s="3"/>
    </row>
    <row r="88" spans="1:28" ht="14" x14ac:dyDescent="0.2">
      <c r="A88" s="17" t="s">
        <v>83</v>
      </c>
      <c r="B88" s="146" t="s">
        <v>70</v>
      </c>
      <c r="C88" s="148"/>
      <c r="D88" s="19" t="s">
        <v>77</v>
      </c>
      <c r="E88" s="20"/>
      <c r="F88" s="20"/>
      <c r="G88" s="146" t="s">
        <v>84</v>
      </c>
      <c r="H88" s="147"/>
      <c r="I88" s="147"/>
      <c r="J88" s="147"/>
      <c r="K88" s="147"/>
      <c r="L88" s="148"/>
      <c r="N88" s="3"/>
      <c r="O88" s="3"/>
      <c r="P88" s="3"/>
      <c r="Q88" s="3"/>
      <c r="R88" s="3"/>
      <c r="S88" s="3"/>
      <c r="T88" s="3"/>
      <c r="U88" s="3"/>
      <c r="V88" s="3"/>
      <c r="W88" s="3"/>
      <c r="X88" s="3"/>
      <c r="Y88" s="3"/>
      <c r="Z88" s="3"/>
      <c r="AA88" s="3"/>
      <c r="AB88" s="3"/>
    </row>
    <row r="89" spans="1:28" ht="14" x14ac:dyDescent="0.2">
      <c r="A89" s="17" t="s">
        <v>85</v>
      </c>
      <c r="B89" s="146" t="s">
        <v>18</v>
      </c>
      <c r="C89" s="148"/>
      <c r="D89" s="19" t="s">
        <v>68</v>
      </c>
      <c r="E89" s="20">
        <v>259</v>
      </c>
      <c r="F89" s="22"/>
      <c r="G89" s="146" t="s">
        <v>86</v>
      </c>
      <c r="H89" s="147"/>
      <c r="I89" s="147"/>
      <c r="J89" s="147"/>
      <c r="K89" s="147"/>
      <c r="L89" s="148"/>
      <c r="N89" s="3"/>
      <c r="O89" s="3"/>
      <c r="P89" s="3"/>
      <c r="Q89" s="3"/>
      <c r="R89" s="3"/>
      <c r="S89" s="3"/>
      <c r="T89" s="3"/>
      <c r="U89" s="3"/>
      <c r="V89" s="3"/>
      <c r="W89" s="3"/>
      <c r="X89" s="3"/>
      <c r="Y89" s="3"/>
      <c r="Z89" s="3"/>
      <c r="AA89" s="3"/>
      <c r="AB89" s="3"/>
    </row>
    <row r="90" spans="1:28" ht="14" x14ac:dyDescent="0.2">
      <c r="A90" s="17" t="s">
        <v>87</v>
      </c>
      <c r="B90" s="146" t="s">
        <v>88</v>
      </c>
      <c r="C90" s="148"/>
      <c r="D90" s="19" t="s">
        <v>77</v>
      </c>
      <c r="E90" s="20"/>
      <c r="F90" s="20">
        <v>1804.86</v>
      </c>
      <c r="G90" s="146" t="s">
        <v>89</v>
      </c>
      <c r="H90" s="147"/>
      <c r="I90" s="147"/>
      <c r="J90" s="147"/>
      <c r="K90" s="147"/>
      <c r="L90" s="148"/>
      <c r="N90" s="3"/>
      <c r="O90" s="3"/>
      <c r="P90" s="3"/>
      <c r="Q90" s="3"/>
      <c r="R90" s="3"/>
      <c r="S90" s="3"/>
      <c r="T90" s="3"/>
      <c r="U90" s="3"/>
      <c r="V90" s="3"/>
      <c r="W90" s="3"/>
      <c r="X90" s="3"/>
      <c r="Y90" s="3"/>
      <c r="Z90" s="3"/>
      <c r="AA90" s="3"/>
      <c r="AB90" s="3"/>
    </row>
    <row r="91" spans="1:28" ht="14" x14ac:dyDescent="0.2">
      <c r="A91" s="17" t="s">
        <v>90</v>
      </c>
      <c r="B91" s="146"/>
      <c r="C91" s="148"/>
      <c r="D91" s="19" t="s">
        <v>77</v>
      </c>
      <c r="E91" s="20"/>
      <c r="F91" s="20">
        <v>750</v>
      </c>
      <c r="G91" s="146" t="s">
        <v>91</v>
      </c>
      <c r="H91" s="147"/>
      <c r="I91" s="147"/>
      <c r="J91" s="147"/>
      <c r="K91" s="147"/>
      <c r="L91" s="148"/>
      <c r="N91" s="3"/>
      <c r="O91" s="3"/>
      <c r="P91" s="3"/>
      <c r="Q91" s="3"/>
      <c r="R91" s="3"/>
      <c r="S91" s="3"/>
      <c r="T91" s="3"/>
      <c r="U91" s="3"/>
      <c r="V91" s="3"/>
      <c r="W91" s="3"/>
      <c r="X91" s="3"/>
      <c r="Y91" s="3"/>
      <c r="Z91" s="3"/>
      <c r="AA91" s="3"/>
      <c r="AB91" s="3"/>
    </row>
    <row r="92" spans="1:28" ht="14" x14ac:dyDescent="0.2">
      <c r="A92" s="17" t="s">
        <v>92</v>
      </c>
      <c r="B92" s="146" t="s">
        <v>93</v>
      </c>
      <c r="C92" s="148"/>
      <c r="D92" s="19" t="s">
        <v>77</v>
      </c>
      <c r="E92" s="20"/>
      <c r="F92" s="20">
        <v>750</v>
      </c>
      <c r="G92" s="146" t="s">
        <v>94</v>
      </c>
      <c r="H92" s="147"/>
      <c r="I92" s="147"/>
      <c r="J92" s="147"/>
      <c r="K92" s="147"/>
      <c r="L92" s="148"/>
      <c r="N92" s="3"/>
      <c r="O92" s="3"/>
      <c r="P92" s="3"/>
      <c r="Q92" s="3"/>
      <c r="R92" s="3"/>
      <c r="S92" s="3"/>
      <c r="T92" s="3"/>
      <c r="U92" s="3"/>
      <c r="V92" s="3"/>
      <c r="W92" s="3"/>
      <c r="X92" s="3"/>
      <c r="Y92" s="3"/>
      <c r="Z92" s="3"/>
      <c r="AA92" s="3"/>
      <c r="AB92" s="3"/>
    </row>
    <row r="93" spans="1:28" ht="14" x14ac:dyDescent="0.2">
      <c r="A93" s="17" t="s">
        <v>92</v>
      </c>
      <c r="B93" s="146" t="s">
        <v>95</v>
      </c>
      <c r="C93" s="148"/>
      <c r="D93" s="19" t="s">
        <v>77</v>
      </c>
      <c r="E93" s="20"/>
      <c r="F93" s="20"/>
      <c r="G93" s="146" t="s">
        <v>94</v>
      </c>
      <c r="H93" s="147"/>
      <c r="I93" s="147"/>
      <c r="J93" s="147"/>
      <c r="K93" s="147"/>
      <c r="L93" s="148"/>
      <c r="N93" s="3"/>
      <c r="O93" s="3"/>
      <c r="P93" s="3"/>
      <c r="Q93" s="3"/>
      <c r="R93" s="3"/>
      <c r="S93" s="3"/>
      <c r="T93" s="3"/>
      <c r="U93" s="3"/>
      <c r="V93" s="3"/>
      <c r="W93" s="3"/>
      <c r="X93" s="3"/>
      <c r="Y93" s="3"/>
      <c r="Z93" s="3"/>
      <c r="AA93" s="3"/>
      <c r="AB93" s="3"/>
    </row>
    <row r="94" spans="1:28" ht="14" x14ac:dyDescent="0.2">
      <c r="A94" s="17" t="s">
        <v>92</v>
      </c>
      <c r="B94" s="146" t="s">
        <v>96</v>
      </c>
      <c r="C94" s="148"/>
      <c r="D94" s="19" t="s">
        <v>77</v>
      </c>
      <c r="E94" s="20"/>
      <c r="F94" s="22"/>
      <c r="G94" s="146" t="s">
        <v>94</v>
      </c>
      <c r="H94" s="147"/>
      <c r="I94" s="147"/>
      <c r="J94" s="147"/>
      <c r="K94" s="147"/>
      <c r="L94" s="148"/>
      <c r="N94" s="3"/>
      <c r="O94" s="3"/>
      <c r="P94" s="3"/>
      <c r="Q94" s="3"/>
      <c r="R94" s="3"/>
      <c r="S94" s="3"/>
      <c r="T94" s="3"/>
      <c r="U94" s="3"/>
      <c r="V94" s="3"/>
      <c r="W94" s="3"/>
      <c r="X94" s="3"/>
      <c r="Y94" s="3"/>
      <c r="Z94" s="3"/>
      <c r="AA94" s="3"/>
      <c r="AB94" s="3"/>
    </row>
    <row r="95" spans="1:28" ht="14" x14ac:dyDescent="0.2">
      <c r="A95" s="17" t="s">
        <v>92</v>
      </c>
      <c r="B95" s="146" t="s">
        <v>97</v>
      </c>
      <c r="C95" s="148"/>
      <c r="D95" s="19" t="s">
        <v>98</v>
      </c>
      <c r="E95" s="20"/>
      <c r="F95" s="20"/>
      <c r="G95" s="146" t="s">
        <v>99</v>
      </c>
      <c r="H95" s="147"/>
      <c r="I95" s="147"/>
      <c r="J95" s="147"/>
      <c r="K95" s="147"/>
      <c r="L95" s="148"/>
      <c r="N95" s="3"/>
      <c r="O95" s="3"/>
      <c r="P95" s="3"/>
      <c r="Q95" s="3"/>
      <c r="R95" s="3"/>
      <c r="S95" s="3"/>
      <c r="T95" s="3"/>
      <c r="U95" s="3"/>
      <c r="V95" s="3"/>
      <c r="W95" s="3"/>
      <c r="X95" s="3"/>
      <c r="Y95" s="3"/>
      <c r="Z95" s="3"/>
      <c r="AA95" s="3"/>
      <c r="AB95" s="3"/>
    </row>
    <row r="96" spans="1:28" ht="14" x14ac:dyDescent="0.2">
      <c r="A96" s="17" t="s">
        <v>100</v>
      </c>
      <c r="B96" s="146" t="s">
        <v>97</v>
      </c>
      <c r="C96" s="148"/>
      <c r="D96" s="19" t="s">
        <v>77</v>
      </c>
      <c r="E96" s="20"/>
      <c r="F96" s="20"/>
      <c r="G96" s="146" t="s">
        <v>101</v>
      </c>
      <c r="H96" s="147"/>
      <c r="I96" s="147"/>
      <c r="J96" s="147"/>
      <c r="K96" s="147"/>
      <c r="L96" s="148"/>
      <c r="N96" s="3"/>
      <c r="O96" s="3"/>
      <c r="P96" s="3"/>
      <c r="Q96" s="3"/>
      <c r="R96" s="3"/>
      <c r="S96" s="3"/>
      <c r="T96" s="3"/>
      <c r="U96" s="3"/>
      <c r="V96" s="3"/>
      <c r="W96" s="3"/>
      <c r="X96" s="3"/>
      <c r="Y96" s="3"/>
      <c r="Z96" s="3"/>
      <c r="AA96" s="3"/>
      <c r="AB96" s="3"/>
    </row>
    <row r="97" spans="1:28" ht="14" x14ac:dyDescent="0.2">
      <c r="A97" s="17" t="s">
        <v>100</v>
      </c>
      <c r="B97" s="146" t="s">
        <v>96</v>
      </c>
      <c r="C97" s="148"/>
      <c r="D97" s="19" t="s">
        <v>77</v>
      </c>
      <c r="E97" s="20"/>
      <c r="F97" s="20"/>
      <c r="G97" s="146" t="s">
        <v>101</v>
      </c>
      <c r="H97" s="147"/>
      <c r="I97" s="147"/>
      <c r="J97" s="147"/>
      <c r="K97" s="147"/>
      <c r="L97" s="148"/>
      <c r="N97" s="3"/>
      <c r="O97" s="3"/>
      <c r="P97" s="3"/>
      <c r="Q97" s="3"/>
      <c r="R97" s="3"/>
      <c r="S97" s="3"/>
      <c r="T97" s="3"/>
      <c r="U97" s="3"/>
      <c r="V97" s="3"/>
      <c r="W97" s="3"/>
      <c r="X97" s="3"/>
      <c r="Y97" s="3"/>
      <c r="Z97" s="3"/>
      <c r="AA97" s="3"/>
      <c r="AB97" s="3"/>
    </row>
    <row r="98" spans="1:28" ht="14" x14ac:dyDescent="0.2">
      <c r="A98" s="17" t="s">
        <v>102</v>
      </c>
      <c r="B98" s="146" t="s">
        <v>96</v>
      </c>
      <c r="C98" s="148"/>
      <c r="D98" s="19" t="s">
        <v>77</v>
      </c>
      <c r="E98" s="20"/>
      <c r="F98" s="20"/>
      <c r="G98" s="146" t="s">
        <v>101</v>
      </c>
      <c r="H98" s="147"/>
      <c r="I98" s="147"/>
      <c r="J98" s="147"/>
      <c r="K98" s="147"/>
      <c r="L98" s="148"/>
      <c r="N98" s="3"/>
      <c r="O98" s="3"/>
      <c r="P98" s="3"/>
      <c r="Q98" s="3"/>
      <c r="R98" s="3"/>
      <c r="S98" s="3"/>
      <c r="T98" s="3"/>
      <c r="U98" s="3"/>
      <c r="V98" s="3"/>
      <c r="W98" s="3"/>
      <c r="X98" s="3"/>
      <c r="Y98" s="3"/>
      <c r="Z98" s="3"/>
      <c r="AA98" s="3"/>
      <c r="AB98" s="3"/>
    </row>
    <row r="99" spans="1:28" ht="14" x14ac:dyDescent="0.2">
      <c r="A99" s="18" t="s">
        <v>103</v>
      </c>
      <c r="B99" s="151"/>
      <c r="C99" s="148"/>
      <c r="D99" s="19" t="s">
        <v>77</v>
      </c>
      <c r="E99" s="20"/>
      <c r="F99" s="20"/>
      <c r="G99" s="146" t="s">
        <v>104</v>
      </c>
      <c r="H99" s="147"/>
      <c r="I99" s="147"/>
      <c r="J99" s="147"/>
      <c r="K99" s="147"/>
      <c r="L99" s="148"/>
      <c r="N99" s="3"/>
      <c r="O99" s="3"/>
      <c r="P99" s="3"/>
      <c r="Q99" s="3"/>
      <c r="R99" s="3"/>
      <c r="S99" s="3"/>
      <c r="T99" s="3"/>
      <c r="U99" s="3"/>
      <c r="V99" s="3"/>
      <c r="W99" s="3"/>
      <c r="X99" s="3"/>
      <c r="Y99" s="3"/>
      <c r="Z99" s="3"/>
      <c r="AA99" s="3"/>
      <c r="AB99" s="3"/>
    </row>
    <row r="100" spans="1:28" ht="14" x14ac:dyDescent="0.2">
      <c r="A100" s="24" t="s">
        <v>110</v>
      </c>
      <c r="B100" s="24" t="s">
        <v>18</v>
      </c>
      <c r="C100" s="25"/>
      <c r="D100" s="26" t="s">
        <v>77</v>
      </c>
      <c r="E100" s="27">
        <v>85.61</v>
      </c>
      <c r="F100" s="27"/>
      <c r="G100" s="24" t="s">
        <v>109</v>
      </c>
      <c r="H100" s="25"/>
      <c r="I100" s="25"/>
      <c r="J100" s="25"/>
      <c r="K100" s="25"/>
      <c r="L100" s="25"/>
      <c r="N100" s="3"/>
      <c r="O100" s="3"/>
      <c r="P100" s="3"/>
      <c r="Q100" s="3"/>
      <c r="R100" s="3"/>
      <c r="S100" s="3"/>
      <c r="T100" s="3"/>
      <c r="U100" s="3"/>
      <c r="V100" s="3"/>
      <c r="W100" s="3"/>
      <c r="X100" s="3"/>
      <c r="Y100" s="3"/>
      <c r="Z100" s="3"/>
      <c r="AA100" s="3"/>
      <c r="AB100" s="3"/>
    </row>
    <row r="101" spans="1:28" ht="14" x14ac:dyDescent="0.2">
      <c r="A101" s="24" t="s">
        <v>108</v>
      </c>
      <c r="B101" s="24" t="s">
        <v>76</v>
      </c>
      <c r="C101" s="25"/>
      <c r="D101" s="26" t="s">
        <v>77</v>
      </c>
      <c r="E101" s="27">
        <v>35458.79</v>
      </c>
      <c r="F101" s="27"/>
      <c r="G101" s="24" t="s">
        <v>111</v>
      </c>
      <c r="H101" s="25"/>
      <c r="I101" s="25"/>
      <c r="J101" s="25"/>
      <c r="K101" s="25"/>
      <c r="L101" s="25"/>
      <c r="N101" s="3"/>
      <c r="O101" s="3"/>
      <c r="P101" s="3"/>
      <c r="Q101" s="3"/>
      <c r="R101" s="3"/>
      <c r="S101" s="3"/>
      <c r="T101" s="3"/>
      <c r="U101" s="3"/>
      <c r="V101" s="3"/>
      <c r="W101" s="3"/>
      <c r="X101" s="3"/>
      <c r="Y101" s="3"/>
      <c r="Z101" s="3"/>
      <c r="AA101" s="3"/>
      <c r="AB101" s="3"/>
    </row>
    <row r="102" spans="1:28" ht="14" x14ac:dyDescent="0.2">
      <c r="A102" s="3"/>
      <c r="B102" s="3"/>
      <c r="C102" s="3"/>
      <c r="D102" s="3"/>
      <c r="E102" s="23">
        <f>SUM(E78:E101)</f>
        <v>35803.4</v>
      </c>
      <c r="F102" s="23">
        <f>SUM(F78:F101)</f>
        <v>3363.5</v>
      </c>
      <c r="G102" s="3"/>
      <c r="H102" s="149"/>
      <c r="I102" s="150"/>
      <c r="J102" s="150"/>
      <c r="K102" s="150"/>
      <c r="L102" s="150"/>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sheetData>
  <mergeCells count="47">
    <mergeCell ref="G80:L80"/>
    <mergeCell ref="B80:C80"/>
    <mergeCell ref="B81:C81"/>
    <mergeCell ref="B77:C77"/>
    <mergeCell ref="G77:L77"/>
    <mergeCell ref="B78:C78"/>
    <mergeCell ref="G78:L78"/>
    <mergeCell ref="B79:C79"/>
    <mergeCell ref="G79:L79"/>
    <mergeCell ref="B85:C85"/>
    <mergeCell ref="B86:C86"/>
    <mergeCell ref="G81:L81"/>
    <mergeCell ref="G82:L82"/>
    <mergeCell ref="G83:L83"/>
    <mergeCell ref="G84:L84"/>
    <mergeCell ref="G85:L85"/>
    <mergeCell ref="G86:L86"/>
    <mergeCell ref="B82:C82"/>
    <mergeCell ref="B83:C83"/>
    <mergeCell ref="B84:C84"/>
    <mergeCell ref="G87:L87"/>
    <mergeCell ref="B94:C94"/>
    <mergeCell ref="B95:C95"/>
    <mergeCell ref="B96:C96"/>
    <mergeCell ref="B97:C97"/>
    <mergeCell ref="G95:L95"/>
    <mergeCell ref="G96:L96"/>
    <mergeCell ref="G97:L97"/>
    <mergeCell ref="B98:C98"/>
    <mergeCell ref="B99:C99"/>
    <mergeCell ref="B87:C87"/>
    <mergeCell ref="B88:C88"/>
    <mergeCell ref="B89:C89"/>
    <mergeCell ref="B90:C90"/>
    <mergeCell ref="B91:C91"/>
    <mergeCell ref="B92:C92"/>
    <mergeCell ref="B93:C93"/>
    <mergeCell ref="G98:L98"/>
    <mergeCell ref="G99:L99"/>
    <mergeCell ref="H102:L102"/>
    <mergeCell ref="G88:L88"/>
    <mergeCell ref="G89:L89"/>
    <mergeCell ref="G90:L90"/>
    <mergeCell ref="G91:L91"/>
    <mergeCell ref="G92:L92"/>
    <mergeCell ref="G93:L93"/>
    <mergeCell ref="G94:L94"/>
  </mergeCells>
  <pageMargins left="0.70866141732283472" right="0.70866141732283472" top="0.74803149606299213" bottom="0.74803149606299213" header="0.31496062992125984" footer="0.31496062992125984"/>
  <pageSetup paperSize="9" scale="39" orientation="landscape" horizontalDpi="0" verticalDpi="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BE95-A716-504B-A6C6-23884F19B441}">
  <sheetPr>
    <outlinePr summaryBelow="0" summaryRight="0"/>
    <pageSetUpPr fitToPage="1"/>
  </sheetPr>
  <dimension ref="A1:AB1046"/>
  <sheetViews>
    <sheetView topLeftCell="A28"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45383</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SUM(32*8.5)*22</f>
        <v>5984</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
        <f>T13+J57+G72</f>
        <v>5989.93</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5.930000000000291</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14" x14ac:dyDescent="0.2">
      <c r="A13" s="3"/>
      <c r="B13" s="1"/>
      <c r="C13" s="34">
        <v>116.27</v>
      </c>
      <c r="D13" s="34">
        <v>298.73</v>
      </c>
      <c r="E13" s="34">
        <f>SUM(E12)</f>
        <v>0</v>
      </c>
      <c r="F13" s="34">
        <v>42.67</v>
      </c>
      <c r="G13" s="34">
        <v>122.34</v>
      </c>
      <c r="H13" s="34">
        <v>35.25</v>
      </c>
      <c r="I13" s="34">
        <v>71.83</v>
      </c>
      <c r="J13" s="34">
        <v>4</v>
      </c>
      <c r="K13" s="34">
        <v>21.8</v>
      </c>
      <c r="L13" s="34">
        <v>24.15</v>
      </c>
      <c r="M13" s="34">
        <v>10.75</v>
      </c>
      <c r="N13" s="34">
        <v>48.72</v>
      </c>
      <c r="O13" s="34">
        <v>436.17</v>
      </c>
      <c r="P13" s="34">
        <v>294.75</v>
      </c>
      <c r="Q13" s="34">
        <v>194.5</v>
      </c>
      <c r="R13" s="34">
        <f>SUM(R12)</f>
        <v>0</v>
      </c>
      <c r="S13" s="34">
        <v>9.5</v>
      </c>
      <c r="T13" s="34">
        <f>SUM(C13:S13)</f>
        <v>1731.43</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3">
        <v>6.79</v>
      </c>
      <c r="D17" s="33">
        <v>25.89</v>
      </c>
      <c r="E17" s="33">
        <v>21</v>
      </c>
      <c r="F17" s="33"/>
      <c r="G17" s="33">
        <v>0.75</v>
      </c>
      <c r="H17" s="33">
        <v>0.08</v>
      </c>
      <c r="I17" s="33"/>
      <c r="J17" s="34">
        <f t="shared" ref="J17:J56" si="0">SUM(C17:I17)</f>
        <v>54.51</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3"/>
      <c r="D18" s="33">
        <v>7.37</v>
      </c>
      <c r="E18" s="33"/>
      <c r="F18" s="33">
        <v>18</v>
      </c>
      <c r="G18" s="33"/>
      <c r="H18" s="33"/>
      <c r="I18" s="33"/>
      <c r="J18" s="34">
        <f t="shared" si="0"/>
        <v>25.37</v>
      </c>
      <c r="K18" s="3"/>
      <c r="L18" s="3"/>
      <c r="M18" s="3"/>
      <c r="N18" s="3"/>
      <c r="O18" s="3"/>
      <c r="P18" s="3"/>
      <c r="Q18" s="3"/>
      <c r="R18" s="3"/>
      <c r="S18" s="3"/>
      <c r="T18" s="3"/>
      <c r="U18" s="3"/>
      <c r="V18" s="3"/>
      <c r="W18" s="3"/>
      <c r="X18" s="3"/>
      <c r="Y18" s="3"/>
      <c r="Z18" s="3"/>
      <c r="AA18" s="3"/>
      <c r="AB18" s="3"/>
    </row>
    <row r="19" spans="1:28" ht="14" x14ac:dyDescent="0.2">
      <c r="A19" s="3" t="s">
        <v>287</v>
      </c>
      <c r="B19" s="36"/>
      <c r="C19" s="33"/>
      <c r="D19" s="33"/>
      <c r="E19" s="33"/>
      <c r="F19" s="33"/>
      <c r="G19" s="33"/>
      <c r="H19" s="33"/>
      <c r="I19" s="3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3">
        <v>1.25</v>
      </c>
      <c r="D20" s="33"/>
      <c r="E20" s="33"/>
      <c r="F20" s="33"/>
      <c r="G20" s="33"/>
      <c r="H20" s="33"/>
      <c r="I20" s="33"/>
      <c r="J20" s="34">
        <f t="shared" si="0"/>
        <v>1.25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3">
        <v>213.5</v>
      </c>
      <c r="D21" s="33">
        <v>24.5</v>
      </c>
      <c r="E21" s="33"/>
      <c r="F21" s="33"/>
      <c r="G21" s="33"/>
      <c r="H21" s="33"/>
      <c r="I21" s="33"/>
      <c r="J21" s="34">
        <f t="shared" si="0"/>
        <v>238</v>
      </c>
      <c r="K21" s="3"/>
      <c r="L21" s="3"/>
      <c r="M21" s="3"/>
      <c r="N21" s="3"/>
      <c r="O21" s="3"/>
      <c r="P21" s="3"/>
      <c r="Q21" s="3"/>
      <c r="R21" s="3"/>
      <c r="S21" s="3"/>
      <c r="T21" s="3"/>
      <c r="U21" s="3"/>
      <c r="V21" s="3"/>
      <c r="W21" s="3"/>
      <c r="X21" s="3"/>
      <c r="Y21" s="3"/>
      <c r="Z21" s="3"/>
      <c r="AA21" s="3"/>
      <c r="AB21" s="3"/>
    </row>
    <row r="22" spans="1:28" ht="14" x14ac:dyDescent="0.2">
      <c r="A22" s="3" t="s">
        <v>13</v>
      </c>
      <c r="B22" s="3" t="s">
        <v>132</v>
      </c>
      <c r="C22" s="33"/>
      <c r="D22" s="33"/>
      <c r="E22" s="33"/>
      <c r="F22" s="33"/>
      <c r="G22" s="33"/>
      <c r="H22" s="33"/>
      <c r="I22" s="33"/>
      <c r="J22" s="34">
        <f t="shared" si="0"/>
        <v>0</v>
      </c>
      <c r="K22" s="3"/>
      <c r="L22" s="3"/>
      <c r="M22" s="3"/>
      <c r="N22" s="3"/>
      <c r="O22" s="3"/>
      <c r="P22" s="3"/>
      <c r="Q22" s="3"/>
      <c r="R22" s="3"/>
      <c r="S22" s="3"/>
      <c r="T22" s="3"/>
      <c r="U22" s="3"/>
      <c r="V22" s="3"/>
      <c r="W22" s="3"/>
      <c r="X22" s="3"/>
      <c r="Y22" s="3"/>
      <c r="Z22" s="3"/>
      <c r="AA22" s="3"/>
      <c r="AB22" s="3"/>
    </row>
    <row r="23" spans="1:28" ht="14" x14ac:dyDescent="0.2">
      <c r="A23" s="3" t="s">
        <v>416</v>
      </c>
      <c r="B23" s="3"/>
      <c r="C23" s="33"/>
      <c r="D23" s="33"/>
      <c r="E23" s="33"/>
      <c r="F23" s="33"/>
      <c r="G23" s="33"/>
      <c r="H23" s="33"/>
      <c r="I23" s="33"/>
      <c r="J23" s="34"/>
      <c r="K23" s="3"/>
      <c r="L23" s="3"/>
      <c r="M23" s="3"/>
      <c r="N23" s="3"/>
      <c r="O23" s="3"/>
      <c r="P23" s="3"/>
      <c r="Q23" s="3"/>
      <c r="R23" s="3"/>
      <c r="S23" s="3"/>
      <c r="T23" s="3"/>
      <c r="U23" s="3"/>
      <c r="V23" s="3"/>
      <c r="W23" s="3"/>
      <c r="X23" s="3"/>
      <c r="Y23" s="3"/>
      <c r="Z23" s="3"/>
      <c r="AA23" s="3"/>
      <c r="AB23" s="3"/>
    </row>
    <row r="24" spans="1:28" ht="14" x14ac:dyDescent="0.2">
      <c r="A24" s="3" t="s">
        <v>417</v>
      </c>
      <c r="B24" s="3"/>
      <c r="C24" s="33"/>
      <c r="D24" s="33"/>
      <c r="E24" s="33"/>
      <c r="F24" s="33"/>
      <c r="G24" s="33"/>
      <c r="H24" s="33"/>
      <c r="I24" s="3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3">
        <v>825.01</v>
      </c>
      <c r="D25" s="33">
        <v>267.36</v>
      </c>
      <c r="E25" s="33">
        <v>562.91999999999996</v>
      </c>
      <c r="F25" s="33">
        <v>151.41999999999999</v>
      </c>
      <c r="G25" s="33">
        <v>138.79</v>
      </c>
      <c r="H25" s="33">
        <v>57.5</v>
      </c>
      <c r="I25" s="33">
        <v>5.75</v>
      </c>
      <c r="J25" s="34">
        <f t="shared" si="0"/>
        <v>2008.75</v>
      </c>
      <c r="K25" s="3"/>
      <c r="L25" s="3"/>
      <c r="M25" s="3"/>
      <c r="N25" s="3"/>
      <c r="O25" s="3"/>
      <c r="P25" s="3"/>
      <c r="Q25" s="3"/>
      <c r="R25" s="3"/>
      <c r="S25" s="3"/>
      <c r="T25" s="3"/>
      <c r="U25" s="3"/>
      <c r="V25" s="3"/>
      <c r="W25" s="3"/>
      <c r="X25" s="3"/>
      <c r="Y25" s="3"/>
      <c r="Z25" s="3"/>
      <c r="AA25" s="3"/>
      <c r="AB25" s="3"/>
    </row>
    <row r="26" spans="1:28" ht="14" x14ac:dyDescent="0.2">
      <c r="A26" s="3" t="s">
        <v>277</v>
      </c>
      <c r="B26" s="3"/>
      <c r="C26" s="33"/>
      <c r="D26" s="33"/>
      <c r="E26" s="33"/>
      <c r="F26" s="33"/>
      <c r="G26" s="33"/>
      <c r="H26" s="33"/>
      <c r="I26" s="3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3"/>
      <c r="D27" s="33"/>
      <c r="E27" s="33"/>
      <c r="F27" s="33"/>
      <c r="G27" s="33"/>
      <c r="H27" s="33"/>
      <c r="I27" s="3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3"/>
      <c r="D28" s="33"/>
      <c r="E28" s="33"/>
      <c r="F28" s="33"/>
      <c r="G28" s="33"/>
      <c r="H28" s="33"/>
      <c r="I28" s="33"/>
      <c r="J28" s="34">
        <f t="shared" si="0"/>
        <v>0</v>
      </c>
      <c r="K28" s="3"/>
      <c r="L28" s="3"/>
      <c r="M28" s="3"/>
      <c r="N28" s="3"/>
      <c r="O28" s="3"/>
      <c r="P28" s="3"/>
      <c r="Q28" s="3"/>
      <c r="R28" s="3"/>
      <c r="S28" s="3"/>
      <c r="T28" s="3"/>
      <c r="U28" s="3"/>
      <c r="V28" s="3"/>
      <c r="W28" s="3"/>
      <c r="X28" s="3"/>
      <c r="Y28" s="3"/>
      <c r="Z28" s="3"/>
      <c r="AA28" s="3"/>
      <c r="AB28" s="3"/>
    </row>
    <row r="29" spans="1:28" ht="14" x14ac:dyDescent="0.2">
      <c r="A29" s="3" t="s">
        <v>183</v>
      </c>
      <c r="B29" s="3"/>
      <c r="C29" s="33"/>
      <c r="D29" s="33"/>
      <c r="E29" s="33"/>
      <c r="F29" s="33"/>
      <c r="G29" s="33"/>
      <c r="H29" s="33"/>
      <c r="I29" s="3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3"/>
      <c r="D30" s="33"/>
      <c r="E30" s="33"/>
      <c r="F30" s="33"/>
      <c r="G30" s="33"/>
      <c r="H30" s="33"/>
      <c r="I30" s="33"/>
      <c r="J30" s="34">
        <f t="shared" si="0"/>
        <v>0</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3"/>
      <c r="D31" s="33">
        <v>31.75</v>
      </c>
      <c r="E31" s="33"/>
      <c r="F31" s="33">
        <v>11.5</v>
      </c>
      <c r="G31" s="33"/>
      <c r="H31" s="33">
        <v>9</v>
      </c>
      <c r="I31" s="33"/>
      <c r="J31" s="34">
        <f t="shared" si="0"/>
        <v>52.25</v>
      </c>
      <c r="K31" s="3"/>
      <c r="L31" s="3"/>
      <c r="M31" s="3"/>
      <c r="N31" s="3"/>
      <c r="O31" s="3"/>
      <c r="P31" s="3"/>
      <c r="Q31" s="3"/>
      <c r="R31" s="3"/>
      <c r="S31" s="3"/>
      <c r="T31" s="3"/>
      <c r="U31" s="3"/>
      <c r="V31" s="3"/>
      <c r="W31" s="3"/>
      <c r="X31" s="3"/>
      <c r="Y31" s="3"/>
      <c r="Z31" s="3"/>
      <c r="AA31" s="3"/>
      <c r="AB31" s="3"/>
    </row>
    <row r="32" spans="1:28" ht="14" x14ac:dyDescent="0.2">
      <c r="A32" s="3" t="s">
        <v>15</v>
      </c>
      <c r="B32" s="3" t="s">
        <v>137</v>
      </c>
      <c r="C32" s="33">
        <v>108.74</v>
      </c>
      <c r="D32" s="33">
        <v>22.31</v>
      </c>
      <c r="E32" s="33"/>
      <c r="F32" s="33"/>
      <c r="G32" s="33"/>
      <c r="H32" s="33">
        <v>4</v>
      </c>
      <c r="I32" s="33"/>
      <c r="J32" s="34">
        <f t="shared" si="0"/>
        <v>135.04999999999998</v>
      </c>
      <c r="K32" s="3"/>
      <c r="L32" s="3"/>
      <c r="M32" s="3"/>
      <c r="N32" s="3"/>
      <c r="O32" s="3"/>
      <c r="P32" s="3"/>
      <c r="Q32" s="3"/>
      <c r="R32" s="3"/>
      <c r="S32" s="3"/>
      <c r="T32" s="3"/>
      <c r="U32" s="3"/>
      <c r="V32" s="3"/>
      <c r="W32" s="3"/>
      <c r="X32" s="3"/>
      <c r="Y32" s="3"/>
      <c r="Z32" s="3"/>
      <c r="AA32" s="3"/>
      <c r="AB32" s="3"/>
    </row>
    <row r="33" spans="1:28" ht="14" x14ac:dyDescent="0.2">
      <c r="A33" s="3" t="s">
        <v>16</v>
      </c>
      <c r="B33" s="3"/>
      <c r="C33" s="33"/>
      <c r="D33" s="33">
        <v>5</v>
      </c>
      <c r="E33" s="33"/>
      <c r="F33" s="33">
        <v>11</v>
      </c>
      <c r="G33" s="33"/>
      <c r="H33" s="33">
        <v>0.75</v>
      </c>
      <c r="I33" s="33"/>
      <c r="J33" s="34">
        <f t="shared" si="0"/>
        <v>16.75</v>
      </c>
      <c r="K33" s="3"/>
      <c r="L33" s="3"/>
      <c r="M33" s="3"/>
      <c r="N33" s="3"/>
      <c r="O33" s="3"/>
      <c r="P33" s="3"/>
      <c r="Q33" s="3"/>
      <c r="R33" s="3"/>
      <c r="S33" s="3"/>
      <c r="T33" s="3"/>
      <c r="U33" s="3"/>
      <c r="V33" s="3"/>
      <c r="W33" s="3"/>
      <c r="X33" s="3"/>
      <c r="Y33" s="3"/>
      <c r="Z33" s="3"/>
      <c r="AA33" s="3"/>
      <c r="AB33" s="3"/>
    </row>
    <row r="34" spans="1:28" ht="14" x14ac:dyDescent="0.2">
      <c r="A34" s="3" t="s">
        <v>161</v>
      </c>
      <c r="B34" s="3"/>
      <c r="C34" s="33"/>
      <c r="D34" s="33"/>
      <c r="E34" s="33"/>
      <c r="F34" s="33"/>
      <c r="G34" s="33"/>
      <c r="H34" s="33"/>
      <c r="I34" s="3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3"/>
      <c r="D35" s="33"/>
      <c r="E35" s="33"/>
      <c r="F35" s="33"/>
      <c r="G35" s="33"/>
      <c r="H35" s="33"/>
      <c r="I35" s="3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3"/>
      <c r="D36" s="33"/>
      <c r="E36" s="33"/>
      <c r="F36" s="33"/>
      <c r="G36" s="33"/>
      <c r="H36" s="33"/>
      <c r="I36" s="33"/>
      <c r="J36" s="34"/>
      <c r="K36" s="3"/>
      <c r="L36" s="3"/>
      <c r="M36" s="3"/>
      <c r="N36" s="3"/>
      <c r="O36" s="3"/>
      <c r="P36" s="3"/>
      <c r="Q36" s="3"/>
      <c r="R36" s="3"/>
      <c r="S36" s="3"/>
      <c r="T36" s="3"/>
      <c r="U36" s="3"/>
      <c r="V36" s="3"/>
      <c r="W36" s="3"/>
      <c r="X36" s="3"/>
      <c r="Y36" s="3"/>
      <c r="Z36" s="3"/>
      <c r="AA36" s="3"/>
      <c r="AB36" s="3"/>
    </row>
    <row r="37" spans="1:28" ht="14" x14ac:dyDescent="0.2">
      <c r="A37" s="3" t="s">
        <v>171</v>
      </c>
      <c r="B37" s="3"/>
      <c r="C37" s="33"/>
      <c r="D37" s="33"/>
      <c r="E37" s="33"/>
      <c r="F37" s="33"/>
      <c r="G37" s="33"/>
      <c r="H37" s="33"/>
      <c r="I37" s="3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3"/>
      <c r="D38" s="33"/>
      <c r="E38" s="33"/>
      <c r="F38" s="33"/>
      <c r="G38" s="33"/>
      <c r="H38" s="33"/>
      <c r="I38" s="3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3"/>
      <c r="D39" s="33">
        <v>35.5</v>
      </c>
      <c r="E39" s="33"/>
      <c r="F39" s="33">
        <v>68.67</v>
      </c>
      <c r="G39" s="33"/>
      <c r="H39" s="33">
        <v>31.17</v>
      </c>
      <c r="I39" s="33"/>
      <c r="J39" s="34">
        <f t="shared" si="0"/>
        <v>135.34</v>
      </c>
      <c r="K39" s="3"/>
      <c r="L39" s="3"/>
      <c r="M39" s="3"/>
      <c r="N39" s="3"/>
      <c r="O39" s="3"/>
      <c r="P39" s="3"/>
      <c r="Q39" s="3"/>
      <c r="R39" s="3"/>
      <c r="S39" s="3"/>
      <c r="T39" s="3"/>
      <c r="U39" s="3"/>
      <c r="V39" s="3"/>
      <c r="W39" s="3"/>
      <c r="X39" s="3"/>
      <c r="Y39" s="3"/>
      <c r="Z39" s="3"/>
      <c r="AA39" s="3"/>
      <c r="AB39" s="3"/>
    </row>
    <row r="40" spans="1:28" ht="14" x14ac:dyDescent="0.2">
      <c r="A40" s="3" t="s">
        <v>165</v>
      </c>
      <c r="B40" s="3"/>
      <c r="C40" s="33"/>
      <c r="D40" s="33"/>
      <c r="E40" s="33"/>
      <c r="F40" s="33"/>
      <c r="G40" s="33"/>
      <c r="H40" s="33"/>
      <c r="I40" s="3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3"/>
      <c r="D41" s="33"/>
      <c r="E41" s="33"/>
      <c r="F41" s="33"/>
      <c r="G41" s="33"/>
      <c r="H41" s="33"/>
      <c r="I41" s="3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3"/>
      <c r="D42" s="33"/>
      <c r="E42" s="33"/>
      <c r="F42" s="33"/>
      <c r="G42" s="33"/>
      <c r="H42" s="33"/>
      <c r="I42" s="33"/>
      <c r="J42" s="34">
        <f t="shared" si="0"/>
        <v>0</v>
      </c>
      <c r="K42" s="3"/>
      <c r="L42" s="3"/>
      <c r="M42" s="3"/>
      <c r="N42" s="3"/>
      <c r="O42" s="3"/>
      <c r="P42" s="3"/>
      <c r="Q42" s="3"/>
      <c r="R42" s="3"/>
      <c r="S42" s="3"/>
      <c r="T42" s="3"/>
      <c r="U42" s="3"/>
      <c r="V42" s="3"/>
      <c r="W42" s="3"/>
      <c r="X42" s="3"/>
      <c r="Y42" s="3"/>
      <c r="Z42" s="3"/>
      <c r="AA42" s="3"/>
      <c r="AB42" s="3"/>
    </row>
    <row r="43" spans="1:28" ht="14" x14ac:dyDescent="0.2">
      <c r="A43" s="3" t="s">
        <v>17</v>
      </c>
      <c r="B43" s="3" t="s">
        <v>142</v>
      </c>
      <c r="C43" s="33"/>
      <c r="D43" s="33"/>
      <c r="E43" s="33"/>
      <c r="F43" s="33"/>
      <c r="G43" s="33"/>
      <c r="H43" s="33"/>
      <c r="I43" s="3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3">
        <v>243.93</v>
      </c>
      <c r="D44" s="33">
        <v>147.94</v>
      </c>
      <c r="E44" s="33">
        <v>137.5</v>
      </c>
      <c r="F44" s="33">
        <v>83.25</v>
      </c>
      <c r="G44" s="33"/>
      <c r="H44" s="33"/>
      <c r="I44" s="33">
        <v>7.03</v>
      </c>
      <c r="J44" s="34">
        <f t="shared" si="0"/>
        <v>619.65</v>
      </c>
      <c r="K44" s="3"/>
      <c r="L44" s="3"/>
      <c r="M44" s="3"/>
      <c r="N44" s="3"/>
      <c r="O44" s="3"/>
      <c r="P44" s="3"/>
      <c r="Q44" s="3"/>
      <c r="R44" s="3"/>
      <c r="S44" s="3"/>
      <c r="T44" s="3"/>
      <c r="U44" s="3"/>
      <c r="V44" s="3"/>
      <c r="W44" s="3"/>
      <c r="X44" s="3"/>
      <c r="Y44" s="3"/>
      <c r="Z44" s="3"/>
      <c r="AA44" s="3"/>
      <c r="AB44" s="3"/>
    </row>
    <row r="45" spans="1:28" ht="14" x14ac:dyDescent="0.2">
      <c r="A45" s="3" t="s">
        <v>19</v>
      </c>
      <c r="B45" s="3" t="s">
        <v>144</v>
      </c>
      <c r="C45" s="33">
        <v>272.08999999999997</v>
      </c>
      <c r="D45" s="33">
        <v>110.15</v>
      </c>
      <c r="E45" s="33">
        <v>152.91999999999999</v>
      </c>
      <c r="F45" s="33">
        <v>108.18</v>
      </c>
      <c r="G45" s="33"/>
      <c r="H45" s="33">
        <v>6</v>
      </c>
      <c r="I45" s="33">
        <v>3.84</v>
      </c>
      <c r="J45" s="34">
        <f t="shared" si="0"/>
        <v>653.17999999999995</v>
      </c>
      <c r="K45" s="3"/>
      <c r="L45" s="3"/>
      <c r="M45" s="3"/>
      <c r="N45" s="3"/>
      <c r="O45" s="3"/>
      <c r="P45" s="3"/>
      <c r="Q45" s="3"/>
      <c r="R45" s="3"/>
      <c r="S45" s="3"/>
      <c r="T45" s="3"/>
      <c r="U45" s="3"/>
      <c r="V45" s="3"/>
      <c r="W45" s="3"/>
      <c r="X45" s="3"/>
      <c r="Y45" s="3"/>
      <c r="Z45" s="3"/>
      <c r="AA45" s="3"/>
      <c r="AB45" s="3"/>
    </row>
    <row r="46" spans="1:28" ht="14" x14ac:dyDescent="0.2">
      <c r="A46" s="3" t="s">
        <v>419</v>
      </c>
      <c r="B46" s="3"/>
      <c r="C46" s="33"/>
      <c r="D46" s="33"/>
      <c r="E46" s="33"/>
      <c r="F46" s="33"/>
      <c r="G46" s="33"/>
      <c r="H46" s="33"/>
      <c r="I46" s="33"/>
      <c r="J46" s="34"/>
      <c r="K46" s="3"/>
      <c r="L46" s="3"/>
      <c r="M46" s="3"/>
      <c r="N46" s="3"/>
      <c r="O46" s="3"/>
      <c r="P46" s="3"/>
      <c r="Q46" s="3"/>
      <c r="R46" s="3"/>
      <c r="S46" s="3"/>
      <c r="T46" s="3"/>
      <c r="U46" s="3"/>
      <c r="V46" s="3"/>
      <c r="W46" s="3"/>
      <c r="X46" s="3"/>
      <c r="Y46" s="3"/>
      <c r="Z46" s="3"/>
      <c r="AA46" s="3"/>
      <c r="AB46" s="3"/>
    </row>
    <row r="47" spans="1:28" ht="14" x14ac:dyDescent="0.2">
      <c r="A47" s="3" t="s">
        <v>187</v>
      </c>
      <c r="B47" s="3"/>
      <c r="C47" s="33"/>
      <c r="D47" s="33"/>
      <c r="E47" s="33"/>
      <c r="F47" s="33"/>
      <c r="G47" s="33"/>
      <c r="H47" s="33"/>
      <c r="I47" s="3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3"/>
      <c r="D48" s="33"/>
      <c r="E48" s="33"/>
      <c r="F48" s="33"/>
      <c r="G48" s="33"/>
      <c r="H48" s="33"/>
      <c r="I48" s="3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3"/>
      <c r="D49" s="33"/>
      <c r="E49" s="33"/>
      <c r="F49" s="33"/>
      <c r="G49" s="33"/>
      <c r="H49" s="33"/>
      <c r="I49" s="3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3"/>
      <c r="D50" s="33"/>
      <c r="E50" s="33"/>
      <c r="F50" s="33"/>
      <c r="G50" s="33"/>
      <c r="H50" s="33"/>
      <c r="I50" s="3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3"/>
      <c r="D51" s="33"/>
      <c r="E51" s="33"/>
      <c r="F51" s="33"/>
      <c r="G51" s="33"/>
      <c r="H51" s="33"/>
      <c r="I51" s="3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3"/>
      <c r="D52" s="33">
        <v>8</v>
      </c>
      <c r="E52" s="33"/>
      <c r="F52" s="33">
        <v>1</v>
      </c>
      <c r="G52" s="33"/>
      <c r="H52" s="33"/>
      <c r="I52" s="33"/>
      <c r="J52" s="34">
        <f t="shared" si="0"/>
        <v>9</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3"/>
      <c r="D53" s="33">
        <v>6.5</v>
      </c>
      <c r="E53" s="33"/>
      <c r="F53" s="33">
        <v>82.09</v>
      </c>
      <c r="G53" s="33"/>
      <c r="H53" s="33">
        <v>9</v>
      </c>
      <c r="I53" s="33"/>
      <c r="J53" s="34">
        <f t="shared" si="0"/>
        <v>97.59</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3"/>
      <c r="D54" s="33"/>
      <c r="E54" s="33"/>
      <c r="F54" s="33"/>
      <c r="G54" s="33"/>
      <c r="H54" s="33"/>
      <c r="I54" s="3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3"/>
      <c r="D55" s="33"/>
      <c r="E55" s="33"/>
      <c r="F55" s="33"/>
      <c r="G55" s="33"/>
      <c r="H55" s="33"/>
      <c r="I55" s="3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3">
        <v>89.75</v>
      </c>
      <c r="D56" s="33">
        <v>39.25</v>
      </c>
      <c r="E56" s="33">
        <v>16</v>
      </c>
      <c r="F56" s="33">
        <v>2.5</v>
      </c>
      <c r="G56" s="33"/>
      <c r="H56" s="33"/>
      <c r="I56" s="33"/>
      <c r="J56" s="34">
        <f t="shared" si="0"/>
        <v>147.5</v>
      </c>
      <c r="K56" s="3"/>
      <c r="L56" s="3"/>
      <c r="M56" s="3"/>
      <c r="N56" s="3"/>
      <c r="O56" s="3"/>
      <c r="P56" s="3"/>
      <c r="Q56" s="3"/>
      <c r="R56" s="3"/>
      <c r="S56" s="3"/>
      <c r="T56" s="3"/>
      <c r="U56" s="3"/>
      <c r="V56" s="3"/>
      <c r="W56" s="3"/>
      <c r="X56" s="3"/>
      <c r="Y56" s="3"/>
      <c r="Z56" s="3"/>
      <c r="AA56" s="3"/>
      <c r="AB56" s="3"/>
    </row>
    <row r="57" spans="1:28" ht="14" x14ac:dyDescent="0.2">
      <c r="A57" s="3"/>
      <c r="B57" s="1"/>
      <c r="C57" s="34">
        <f t="shared" ref="C57:I57" si="1">SUM(C17:C56)</f>
        <v>1761.06</v>
      </c>
      <c r="D57" s="34">
        <f t="shared" si="1"/>
        <v>731.52</v>
      </c>
      <c r="E57" s="34">
        <f t="shared" si="1"/>
        <v>890.33999999999992</v>
      </c>
      <c r="F57" s="34">
        <f t="shared" si="1"/>
        <v>537.61</v>
      </c>
      <c r="G57" s="34">
        <f t="shared" si="1"/>
        <v>139.54</v>
      </c>
      <c r="H57" s="34">
        <f t="shared" si="1"/>
        <v>117.5</v>
      </c>
      <c r="I57" s="34">
        <f t="shared" si="1"/>
        <v>16.62</v>
      </c>
      <c r="J57" s="34">
        <f>SUM(C57:I57)</f>
        <v>4194.1899999999996</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3"/>
      <c r="D63" s="33"/>
      <c r="E63" s="33"/>
      <c r="F63" s="33"/>
      <c r="G63" s="34">
        <f t="shared" ref="G63:G71"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3"/>
      <c r="D64" s="33"/>
      <c r="E64" s="33">
        <v>7.85</v>
      </c>
      <c r="F64" s="33"/>
      <c r="G64" s="34">
        <f t="shared" si="2"/>
        <v>7.85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3">
        <v>2</v>
      </c>
      <c r="D65" s="33"/>
      <c r="E65" s="33"/>
      <c r="F65" s="33"/>
      <c r="G65" s="34">
        <f t="shared" si="2"/>
        <v>2</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3"/>
      <c r="D66" s="33"/>
      <c r="E66" s="33"/>
      <c r="F66" s="33"/>
      <c r="G66" s="34">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3">
        <v>15.18</v>
      </c>
      <c r="D67" s="33"/>
      <c r="E67" s="33">
        <v>3</v>
      </c>
      <c r="F67" s="33"/>
      <c r="G67" s="34">
        <f t="shared" si="2"/>
        <v>18.18</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3">
        <v>17.78</v>
      </c>
      <c r="D68" s="33"/>
      <c r="E68" s="33">
        <v>16.25</v>
      </c>
      <c r="F68" s="33"/>
      <c r="G68" s="34">
        <f t="shared" si="2"/>
        <v>34.03</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3"/>
      <c r="D69" s="33"/>
      <c r="E69" s="33">
        <v>1.75</v>
      </c>
      <c r="F69" s="33"/>
      <c r="G69" s="34">
        <f t="shared" si="2"/>
        <v>1.75</v>
      </c>
      <c r="H69" s="3"/>
      <c r="I69" s="3"/>
      <c r="J69" s="3"/>
      <c r="K69" s="3"/>
      <c r="L69" s="3"/>
      <c r="M69" s="3"/>
      <c r="N69" s="3"/>
      <c r="O69" s="3"/>
      <c r="P69" s="3"/>
      <c r="Q69" s="3"/>
      <c r="R69" s="3"/>
      <c r="S69" s="3"/>
      <c r="T69" s="3"/>
      <c r="U69" s="3"/>
      <c r="V69" s="3"/>
      <c r="W69" s="3"/>
      <c r="X69" s="3"/>
      <c r="Y69" s="3"/>
      <c r="Z69" s="3"/>
      <c r="AA69" s="3"/>
      <c r="AB69" s="3"/>
    </row>
    <row r="70" spans="1:28" ht="14" x14ac:dyDescent="0.2">
      <c r="A70" s="3" t="s">
        <v>432</v>
      </c>
      <c r="B70" s="3"/>
      <c r="C70" s="33"/>
      <c r="D70" s="33"/>
      <c r="E70" s="33"/>
      <c r="F70" s="33"/>
      <c r="G70" s="34">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3">
        <v>0.5</v>
      </c>
      <c r="D71" s="33"/>
      <c r="E71" s="33"/>
      <c r="F71" s="33"/>
      <c r="G71" s="34">
        <f t="shared" si="2"/>
        <v>0.5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34">
        <f>SUM(C63:C71)</f>
        <v>35.46</v>
      </c>
      <c r="D72" s="34">
        <f>SUM(D63:D71)</f>
        <v>0</v>
      </c>
      <c r="E72" s="34">
        <f>SUM(E63:E71)</f>
        <v>28.85</v>
      </c>
      <c r="F72" s="34">
        <f>SUM(F63:F71)</f>
        <v>0</v>
      </c>
      <c r="G72" s="34">
        <f>SUM(C72:F72)</f>
        <v>64.31</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63</v>
      </c>
      <c r="F77" s="14" t="s">
        <v>64</v>
      </c>
      <c r="G77" s="153" t="s">
        <v>65</v>
      </c>
      <c r="H77" s="147"/>
      <c r="I77" s="147"/>
      <c r="J77" s="147"/>
      <c r="K77" s="147"/>
      <c r="L77" s="148"/>
      <c r="N77" s="3"/>
      <c r="O77" s="3"/>
      <c r="P77" s="3"/>
      <c r="Q77" s="3"/>
      <c r="R77" s="3"/>
      <c r="S77" s="3"/>
      <c r="T77" s="3"/>
      <c r="U77" s="3"/>
      <c r="V77" s="3"/>
      <c r="W77" s="3"/>
      <c r="X77" s="3"/>
      <c r="Y77" s="3"/>
      <c r="Z77" s="3"/>
      <c r="AA77" s="3"/>
      <c r="AB77" s="3"/>
    </row>
    <row r="78" spans="1:28" ht="14" x14ac:dyDescent="0.2">
      <c r="A78" s="15"/>
      <c r="B78" s="152"/>
      <c r="C78" s="148"/>
      <c r="D78" s="15"/>
      <c r="E78" s="15"/>
      <c r="F78" s="15"/>
      <c r="G78" s="152"/>
      <c r="H78" s="147"/>
      <c r="I78" s="147"/>
      <c r="J78" s="147"/>
      <c r="K78" s="147"/>
      <c r="L78" s="148"/>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20"/>
      <c r="F79" s="20"/>
      <c r="G79" s="146" t="s">
        <v>69</v>
      </c>
      <c r="H79" s="147"/>
      <c r="I79" s="147"/>
      <c r="J79" s="147"/>
      <c r="K79" s="147"/>
      <c r="L79" s="148"/>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20"/>
      <c r="F80" s="20"/>
      <c r="G80" s="146" t="s">
        <v>69</v>
      </c>
      <c r="H80" s="147"/>
      <c r="I80" s="147"/>
      <c r="J80" s="147"/>
      <c r="K80" s="147"/>
      <c r="L80" s="148"/>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20"/>
      <c r="F81" s="20"/>
      <c r="G81" s="146" t="s">
        <v>69</v>
      </c>
      <c r="H81" s="147"/>
      <c r="I81" s="147"/>
      <c r="J81" s="147"/>
      <c r="K81" s="147"/>
      <c r="L81" s="148"/>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20"/>
      <c r="F82" s="20"/>
      <c r="G82" s="146" t="s">
        <v>69</v>
      </c>
      <c r="H82" s="147"/>
      <c r="I82" s="147"/>
      <c r="J82" s="147"/>
      <c r="K82" s="147"/>
      <c r="L82" s="148"/>
      <c r="N82" s="3"/>
      <c r="O82" s="3"/>
      <c r="P82" s="3"/>
      <c r="Q82" s="3"/>
      <c r="R82" s="3"/>
      <c r="S82" s="3"/>
      <c r="T82" s="3"/>
      <c r="U82" s="3"/>
      <c r="V82" s="3"/>
      <c r="W82" s="3"/>
      <c r="X82" s="3"/>
      <c r="Y82" s="3"/>
      <c r="Z82" s="3"/>
      <c r="AA82" s="3"/>
      <c r="AB82" s="3"/>
    </row>
    <row r="83" spans="1:28" ht="14" x14ac:dyDescent="0.2">
      <c r="A83" s="17" t="s">
        <v>73</v>
      </c>
      <c r="B83" s="146" t="s">
        <v>18</v>
      </c>
      <c r="C83" s="148"/>
      <c r="D83" s="19" t="s">
        <v>68</v>
      </c>
      <c r="E83" s="20"/>
      <c r="F83" s="20"/>
      <c r="G83" s="146" t="s">
        <v>74</v>
      </c>
      <c r="H83" s="147"/>
      <c r="I83" s="147"/>
      <c r="J83" s="147"/>
      <c r="K83" s="147"/>
      <c r="L83" s="148"/>
      <c r="N83" s="3"/>
      <c r="O83" s="3"/>
      <c r="P83" s="3"/>
      <c r="Q83" s="3"/>
      <c r="R83" s="3"/>
      <c r="S83" s="3"/>
      <c r="T83" s="3"/>
      <c r="U83" s="3"/>
      <c r="V83" s="3"/>
      <c r="W83" s="3"/>
      <c r="X83" s="3"/>
      <c r="Y83" s="3"/>
      <c r="Z83" s="3"/>
      <c r="AA83" s="3"/>
      <c r="AB83" s="3"/>
    </row>
    <row r="84" spans="1:28" ht="14" x14ac:dyDescent="0.2">
      <c r="A84" s="15"/>
      <c r="B84" s="152"/>
      <c r="C84" s="148"/>
      <c r="D84" s="15"/>
      <c r="E84" s="22"/>
      <c r="F84" s="22"/>
      <c r="G84" s="152"/>
      <c r="H84" s="147"/>
      <c r="I84" s="147"/>
      <c r="J84" s="147"/>
      <c r="K84" s="147"/>
      <c r="L84" s="148"/>
      <c r="N84" s="3"/>
      <c r="O84" s="3"/>
      <c r="P84" s="3"/>
      <c r="Q84" s="3"/>
      <c r="R84" s="3"/>
      <c r="S84" s="3"/>
      <c r="T84" s="3"/>
      <c r="U84" s="3"/>
      <c r="V84" s="3"/>
      <c r="W84" s="3"/>
      <c r="X84" s="3"/>
      <c r="Y84" s="3"/>
      <c r="Z84" s="3"/>
      <c r="AA84" s="3"/>
      <c r="AB84" s="3"/>
    </row>
    <row r="85" spans="1:28" ht="14" x14ac:dyDescent="0.2">
      <c r="A85" s="17" t="s">
        <v>75</v>
      </c>
      <c r="B85" s="146" t="s">
        <v>76</v>
      </c>
      <c r="C85" s="148"/>
      <c r="D85" s="19" t="s">
        <v>77</v>
      </c>
      <c r="E85" s="20"/>
      <c r="F85" s="20">
        <v>56.82</v>
      </c>
      <c r="G85" s="146" t="s">
        <v>78</v>
      </c>
      <c r="H85" s="147"/>
      <c r="I85" s="147"/>
      <c r="J85" s="147"/>
      <c r="K85" s="147"/>
      <c r="L85" s="148"/>
      <c r="N85" s="3"/>
      <c r="O85" s="3"/>
      <c r="P85" s="3"/>
      <c r="Q85" s="3"/>
      <c r="R85" s="3"/>
      <c r="S85" s="3"/>
      <c r="T85" s="3"/>
      <c r="U85" s="3"/>
      <c r="V85" s="3"/>
      <c r="W85" s="3"/>
      <c r="X85" s="3"/>
      <c r="Y85" s="3"/>
      <c r="Z85" s="3"/>
      <c r="AA85" s="3"/>
      <c r="AB85" s="3"/>
    </row>
    <row r="86" spans="1:28" ht="14" x14ac:dyDescent="0.2">
      <c r="A86" s="17" t="s">
        <v>79</v>
      </c>
      <c r="B86" s="146" t="s">
        <v>19</v>
      </c>
      <c r="C86" s="148"/>
      <c r="D86" s="19" t="s">
        <v>77</v>
      </c>
      <c r="E86" s="20"/>
      <c r="F86" s="20"/>
      <c r="G86" s="146" t="s">
        <v>80</v>
      </c>
      <c r="H86" s="147"/>
      <c r="I86" s="147"/>
      <c r="J86" s="147"/>
      <c r="K86" s="147"/>
      <c r="L86" s="148"/>
      <c r="N86" s="3"/>
      <c r="O86" s="3"/>
      <c r="P86" s="3"/>
      <c r="Q86" s="3"/>
      <c r="R86" s="3"/>
      <c r="S86" s="3"/>
      <c r="T86" s="3"/>
      <c r="U86" s="3"/>
      <c r="V86" s="3"/>
      <c r="W86" s="3"/>
      <c r="X86" s="3"/>
      <c r="Y86" s="3"/>
      <c r="Z86" s="3"/>
      <c r="AA86" s="3"/>
      <c r="AB86" s="3"/>
    </row>
    <row r="87" spans="1:28" ht="14" x14ac:dyDescent="0.2">
      <c r="A87" s="17" t="s">
        <v>81</v>
      </c>
      <c r="B87" s="146" t="s">
        <v>70</v>
      </c>
      <c r="C87" s="148"/>
      <c r="D87" s="19" t="s">
        <v>77</v>
      </c>
      <c r="E87" s="20"/>
      <c r="F87" s="20"/>
      <c r="G87" s="146" t="s">
        <v>82</v>
      </c>
      <c r="H87" s="147"/>
      <c r="I87" s="147"/>
      <c r="J87" s="147"/>
      <c r="K87" s="147"/>
      <c r="L87" s="148"/>
      <c r="N87" s="3"/>
      <c r="O87" s="3"/>
      <c r="P87" s="3"/>
      <c r="Q87" s="3"/>
      <c r="R87" s="3"/>
      <c r="S87" s="3"/>
      <c r="T87" s="3"/>
      <c r="U87" s="3"/>
      <c r="V87" s="3"/>
      <c r="W87" s="3"/>
      <c r="X87" s="3"/>
      <c r="Y87" s="3"/>
      <c r="Z87" s="3"/>
      <c r="AA87" s="3"/>
      <c r="AB87" s="3"/>
    </row>
    <row r="88" spans="1:28" ht="14" x14ac:dyDescent="0.2">
      <c r="A88" s="17" t="s">
        <v>83</v>
      </c>
      <c r="B88" s="146" t="s">
        <v>70</v>
      </c>
      <c r="C88" s="148"/>
      <c r="D88" s="19" t="s">
        <v>77</v>
      </c>
      <c r="E88" s="20"/>
      <c r="F88" s="20"/>
      <c r="G88" s="146" t="s">
        <v>84</v>
      </c>
      <c r="H88" s="147"/>
      <c r="I88" s="147"/>
      <c r="J88" s="147"/>
      <c r="K88" s="147"/>
      <c r="L88" s="148"/>
      <c r="N88" s="3"/>
      <c r="O88" s="3"/>
      <c r="P88" s="3"/>
      <c r="Q88" s="3"/>
      <c r="R88" s="3"/>
      <c r="S88" s="3"/>
      <c r="T88" s="3"/>
      <c r="U88" s="3"/>
      <c r="V88" s="3"/>
      <c r="W88" s="3"/>
      <c r="X88" s="3"/>
      <c r="Y88" s="3"/>
      <c r="Z88" s="3"/>
      <c r="AA88" s="3"/>
      <c r="AB88" s="3"/>
    </row>
    <row r="89" spans="1:28" ht="14" x14ac:dyDescent="0.2">
      <c r="A89" s="17" t="s">
        <v>85</v>
      </c>
      <c r="B89" s="146" t="s">
        <v>18</v>
      </c>
      <c r="C89" s="148"/>
      <c r="D89" s="19" t="s">
        <v>68</v>
      </c>
      <c r="E89" s="20"/>
      <c r="F89" s="22"/>
      <c r="G89" s="146" t="s">
        <v>86</v>
      </c>
      <c r="H89" s="147"/>
      <c r="I89" s="147"/>
      <c r="J89" s="147"/>
      <c r="K89" s="147"/>
      <c r="L89" s="148"/>
      <c r="N89" s="3"/>
      <c r="O89" s="3"/>
      <c r="P89" s="3"/>
      <c r="Q89" s="3"/>
      <c r="R89" s="3"/>
      <c r="S89" s="3"/>
      <c r="T89" s="3"/>
      <c r="U89" s="3"/>
      <c r="V89" s="3"/>
      <c r="W89" s="3"/>
      <c r="X89" s="3"/>
      <c r="Y89" s="3"/>
      <c r="Z89" s="3"/>
      <c r="AA89" s="3"/>
      <c r="AB89" s="3"/>
    </row>
    <row r="90" spans="1:28" ht="14" x14ac:dyDescent="0.2">
      <c r="A90" s="17" t="s">
        <v>87</v>
      </c>
      <c r="B90" s="146" t="s">
        <v>88</v>
      </c>
      <c r="C90" s="148"/>
      <c r="D90" s="19" t="s">
        <v>77</v>
      </c>
      <c r="E90" s="20"/>
      <c r="F90" s="20">
        <v>1767.46</v>
      </c>
      <c r="G90" s="146" t="s">
        <v>89</v>
      </c>
      <c r="H90" s="147"/>
      <c r="I90" s="147"/>
      <c r="J90" s="147"/>
      <c r="K90" s="147"/>
      <c r="L90" s="148"/>
      <c r="N90" s="3"/>
      <c r="O90" s="3"/>
      <c r="P90" s="3"/>
      <c r="Q90" s="3"/>
      <c r="R90" s="3"/>
      <c r="S90" s="3"/>
      <c r="T90" s="3"/>
      <c r="U90" s="3"/>
      <c r="V90" s="3"/>
      <c r="W90" s="3"/>
      <c r="X90" s="3"/>
      <c r="Y90" s="3"/>
      <c r="Z90" s="3"/>
      <c r="AA90" s="3"/>
      <c r="AB90" s="3"/>
    </row>
    <row r="91" spans="1:28" ht="14" x14ac:dyDescent="0.2">
      <c r="A91" s="17" t="s">
        <v>90</v>
      </c>
      <c r="B91" s="146"/>
      <c r="C91" s="148"/>
      <c r="D91" s="19" t="s">
        <v>77</v>
      </c>
      <c r="E91" s="20"/>
      <c r="F91" s="20"/>
      <c r="G91" s="146" t="s">
        <v>91</v>
      </c>
      <c r="H91" s="147"/>
      <c r="I91" s="147"/>
      <c r="J91" s="147"/>
      <c r="K91" s="147"/>
      <c r="L91" s="148"/>
      <c r="N91" s="3"/>
      <c r="O91" s="3"/>
      <c r="P91" s="3"/>
      <c r="Q91" s="3"/>
      <c r="R91" s="3"/>
      <c r="S91" s="3"/>
      <c r="T91" s="3"/>
      <c r="U91" s="3"/>
      <c r="V91" s="3"/>
      <c r="W91" s="3"/>
      <c r="X91" s="3"/>
      <c r="Y91" s="3"/>
      <c r="Z91" s="3"/>
      <c r="AA91" s="3"/>
      <c r="AB91" s="3"/>
    </row>
    <row r="92" spans="1:28" ht="14" x14ac:dyDescent="0.2">
      <c r="A92" s="17" t="s">
        <v>92</v>
      </c>
      <c r="B92" s="146" t="s">
        <v>93</v>
      </c>
      <c r="C92" s="148"/>
      <c r="D92" s="19" t="s">
        <v>77</v>
      </c>
      <c r="E92" s="20"/>
      <c r="F92" s="22">
        <v>750</v>
      </c>
      <c r="G92" s="146" t="s">
        <v>94</v>
      </c>
      <c r="H92" s="147"/>
      <c r="I92" s="147"/>
      <c r="J92" s="147"/>
      <c r="K92" s="147"/>
      <c r="L92" s="148"/>
      <c r="N92" s="3"/>
      <c r="O92" s="3"/>
      <c r="P92" s="3"/>
      <c r="Q92" s="3"/>
      <c r="R92" s="3"/>
      <c r="S92" s="3"/>
      <c r="T92" s="3"/>
      <c r="U92" s="3"/>
      <c r="V92" s="3"/>
      <c r="W92" s="3"/>
      <c r="X92" s="3"/>
      <c r="Y92" s="3"/>
      <c r="Z92" s="3"/>
      <c r="AA92" s="3"/>
      <c r="AB92" s="3"/>
    </row>
    <row r="93" spans="1:28" ht="14" x14ac:dyDescent="0.2">
      <c r="A93" s="17" t="s">
        <v>92</v>
      </c>
      <c r="B93" s="146" t="s">
        <v>95</v>
      </c>
      <c r="C93" s="148"/>
      <c r="D93" s="19" t="s">
        <v>77</v>
      </c>
      <c r="E93" s="20"/>
      <c r="F93" s="22">
        <v>750</v>
      </c>
      <c r="G93" s="146" t="s">
        <v>94</v>
      </c>
      <c r="H93" s="147"/>
      <c r="I93" s="147"/>
      <c r="J93" s="147"/>
      <c r="K93" s="147"/>
      <c r="L93" s="148"/>
      <c r="N93" s="3"/>
      <c r="O93" s="3"/>
      <c r="P93" s="3"/>
      <c r="Q93" s="3"/>
      <c r="R93" s="3"/>
      <c r="S93" s="3"/>
      <c r="T93" s="3"/>
      <c r="U93" s="3"/>
      <c r="V93" s="3"/>
      <c r="W93" s="3"/>
      <c r="X93" s="3"/>
      <c r="Y93" s="3"/>
      <c r="Z93" s="3"/>
      <c r="AA93" s="3"/>
      <c r="AB93" s="3"/>
    </row>
    <row r="94" spans="1:28" ht="14" x14ac:dyDescent="0.2">
      <c r="A94" s="17" t="s">
        <v>92</v>
      </c>
      <c r="B94" s="146" t="s">
        <v>96</v>
      </c>
      <c r="C94" s="148"/>
      <c r="D94" s="19" t="s">
        <v>77</v>
      </c>
      <c r="E94" s="20"/>
      <c r="F94" s="22"/>
      <c r="G94" s="146" t="s">
        <v>94</v>
      </c>
      <c r="H94" s="147"/>
      <c r="I94" s="147"/>
      <c r="J94" s="147"/>
      <c r="K94" s="147"/>
      <c r="L94" s="148"/>
      <c r="N94" s="3"/>
      <c r="O94" s="3"/>
      <c r="P94" s="3"/>
      <c r="Q94" s="3"/>
      <c r="R94" s="3"/>
      <c r="S94" s="3"/>
      <c r="T94" s="3"/>
      <c r="U94" s="3"/>
      <c r="V94" s="3"/>
      <c r="W94" s="3"/>
      <c r="X94" s="3"/>
      <c r="Y94" s="3"/>
      <c r="Z94" s="3"/>
      <c r="AA94" s="3"/>
      <c r="AB94" s="3"/>
    </row>
    <row r="95" spans="1:28" ht="14" x14ac:dyDescent="0.2">
      <c r="A95" s="17" t="s">
        <v>92</v>
      </c>
      <c r="B95" s="146" t="s">
        <v>97</v>
      </c>
      <c r="C95" s="148"/>
      <c r="D95" s="19" t="s">
        <v>98</v>
      </c>
      <c r="E95" s="20"/>
      <c r="F95" s="20"/>
      <c r="G95" s="146" t="s">
        <v>99</v>
      </c>
      <c r="H95" s="147"/>
      <c r="I95" s="147"/>
      <c r="J95" s="147"/>
      <c r="K95" s="147"/>
      <c r="L95" s="148"/>
      <c r="N95" s="3"/>
      <c r="O95" s="3"/>
      <c r="P95" s="3"/>
      <c r="Q95" s="3"/>
      <c r="R95" s="3"/>
      <c r="S95" s="3"/>
      <c r="T95" s="3"/>
      <c r="U95" s="3"/>
      <c r="V95" s="3"/>
      <c r="W95" s="3"/>
      <c r="X95" s="3"/>
      <c r="Y95" s="3"/>
      <c r="Z95" s="3"/>
      <c r="AA95" s="3"/>
      <c r="AB95" s="3"/>
    </row>
    <row r="96" spans="1:28" ht="14" x14ac:dyDescent="0.2">
      <c r="A96" s="17" t="s">
        <v>100</v>
      </c>
      <c r="B96" s="146" t="s">
        <v>97</v>
      </c>
      <c r="C96" s="148"/>
      <c r="D96" s="19" t="s">
        <v>77</v>
      </c>
      <c r="E96" s="20"/>
      <c r="F96" s="20"/>
      <c r="G96" s="146" t="s">
        <v>101</v>
      </c>
      <c r="H96" s="147"/>
      <c r="I96" s="147"/>
      <c r="J96" s="147"/>
      <c r="K96" s="147"/>
      <c r="L96" s="148"/>
      <c r="N96" s="3"/>
      <c r="O96" s="3"/>
      <c r="P96" s="3"/>
      <c r="Q96" s="3"/>
      <c r="R96" s="3"/>
      <c r="S96" s="3"/>
      <c r="T96" s="3"/>
      <c r="U96" s="3"/>
      <c r="V96" s="3"/>
      <c r="W96" s="3"/>
      <c r="X96" s="3"/>
      <c r="Y96" s="3"/>
      <c r="Z96" s="3"/>
      <c r="AA96" s="3"/>
      <c r="AB96" s="3"/>
    </row>
    <row r="97" spans="1:28" ht="14" x14ac:dyDescent="0.2">
      <c r="A97" s="17" t="s">
        <v>100</v>
      </c>
      <c r="B97" s="146" t="s">
        <v>96</v>
      </c>
      <c r="C97" s="148"/>
      <c r="D97" s="19" t="s">
        <v>77</v>
      </c>
      <c r="E97" s="20"/>
      <c r="F97" s="20"/>
      <c r="G97" s="146" t="s">
        <v>101</v>
      </c>
      <c r="H97" s="147"/>
      <c r="I97" s="147"/>
      <c r="J97" s="147"/>
      <c r="K97" s="147"/>
      <c r="L97" s="148"/>
      <c r="N97" s="3"/>
      <c r="O97" s="3"/>
      <c r="P97" s="3"/>
      <c r="Q97" s="3"/>
      <c r="R97" s="3"/>
      <c r="S97" s="3"/>
      <c r="T97" s="3"/>
      <c r="U97" s="3"/>
      <c r="V97" s="3"/>
      <c r="W97" s="3"/>
      <c r="X97" s="3"/>
      <c r="Y97" s="3"/>
      <c r="Z97" s="3"/>
      <c r="AA97" s="3"/>
      <c r="AB97" s="3"/>
    </row>
    <row r="98" spans="1:28" ht="14" x14ac:dyDescent="0.2">
      <c r="A98" s="17" t="s">
        <v>102</v>
      </c>
      <c r="B98" s="146" t="s">
        <v>96</v>
      </c>
      <c r="C98" s="148"/>
      <c r="D98" s="19" t="s">
        <v>77</v>
      </c>
      <c r="E98" s="20"/>
      <c r="F98" s="20"/>
      <c r="G98" s="146" t="s">
        <v>101</v>
      </c>
      <c r="H98" s="147"/>
      <c r="I98" s="147"/>
      <c r="J98" s="147"/>
      <c r="K98" s="147"/>
      <c r="L98" s="148"/>
      <c r="N98" s="3"/>
      <c r="O98" s="3"/>
      <c r="P98" s="3"/>
      <c r="Q98" s="3"/>
      <c r="R98" s="3"/>
      <c r="S98" s="3"/>
      <c r="T98" s="3"/>
      <c r="U98" s="3"/>
      <c r="V98" s="3"/>
      <c r="W98" s="3"/>
      <c r="X98" s="3"/>
      <c r="Y98" s="3"/>
      <c r="Z98" s="3"/>
      <c r="AA98" s="3"/>
      <c r="AB98" s="3"/>
    </row>
    <row r="99" spans="1:28" ht="14" x14ac:dyDescent="0.2">
      <c r="A99" s="18" t="s">
        <v>116</v>
      </c>
      <c r="B99" s="146" t="s">
        <v>117</v>
      </c>
      <c r="C99" s="148"/>
      <c r="D99" s="19" t="s">
        <v>77</v>
      </c>
      <c r="E99" s="20">
        <v>262.52999999999997</v>
      </c>
      <c r="G99" s="18"/>
      <c r="H99" s="28"/>
      <c r="I99" s="28"/>
      <c r="J99" s="28"/>
      <c r="K99" s="28"/>
      <c r="L99" s="29"/>
      <c r="N99" s="3"/>
      <c r="O99" s="3"/>
      <c r="P99" s="3"/>
      <c r="Q99" s="3"/>
      <c r="R99" s="3"/>
      <c r="S99" s="3"/>
      <c r="T99" s="3"/>
      <c r="U99" s="3"/>
      <c r="V99" s="3"/>
      <c r="W99" s="3"/>
      <c r="X99" s="3"/>
      <c r="Y99" s="3"/>
      <c r="Z99" s="3"/>
      <c r="AA99" s="3"/>
      <c r="AB99" s="3"/>
    </row>
    <row r="100" spans="1:28" ht="14" x14ac:dyDescent="0.2">
      <c r="A100" s="18" t="s">
        <v>118</v>
      </c>
      <c r="B100" s="30" t="s">
        <v>117</v>
      </c>
      <c r="C100" s="29"/>
      <c r="D100" s="19" t="s">
        <v>77</v>
      </c>
      <c r="E100" s="20">
        <v>96.92</v>
      </c>
      <c r="G100" s="18"/>
      <c r="H100" s="28"/>
      <c r="I100" s="28"/>
      <c r="J100" s="28"/>
      <c r="K100" s="28"/>
      <c r="L100" s="29"/>
      <c r="N100" s="3"/>
      <c r="O100" s="3"/>
      <c r="P100" s="3"/>
      <c r="Q100" s="3"/>
      <c r="R100" s="3"/>
      <c r="S100" s="3"/>
      <c r="T100" s="3"/>
      <c r="U100" s="3"/>
      <c r="V100" s="3"/>
      <c r="W100" s="3"/>
      <c r="X100" s="3"/>
      <c r="Y100" s="3"/>
      <c r="Z100" s="3"/>
      <c r="AA100" s="3"/>
      <c r="AB100" s="3"/>
    </row>
    <row r="101" spans="1:28" ht="14" x14ac:dyDescent="0.2">
      <c r="A101" s="18" t="s">
        <v>103</v>
      </c>
      <c r="B101" s="151"/>
      <c r="C101" s="148"/>
      <c r="D101" s="19" t="s">
        <v>77</v>
      </c>
      <c r="E101" s="20"/>
      <c r="F101" s="20"/>
      <c r="G101" s="146" t="s">
        <v>104</v>
      </c>
      <c r="H101" s="147"/>
      <c r="I101" s="147"/>
      <c r="J101" s="147"/>
      <c r="K101" s="147"/>
      <c r="L101" s="148"/>
      <c r="N101" s="3"/>
      <c r="O101" s="3"/>
      <c r="P101" s="3"/>
      <c r="Q101" s="3"/>
      <c r="R101" s="3"/>
      <c r="S101" s="3"/>
      <c r="T101" s="3"/>
      <c r="U101" s="3"/>
      <c r="V101" s="3"/>
      <c r="W101" s="3"/>
      <c r="X101" s="3"/>
      <c r="Y101" s="3"/>
      <c r="Z101" s="3"/>
      <c r="AA101" s="3"/>
      <c r="AB101" s="3"/>
    </row>
    <row r="102" spans="1:28" ht="14" x14ac:dyDescent="0.2">
      <c r="A102" s="3"/>
      <c r="B102" s="3"/>
      <c r="C102" s="3"/>
      <c r="D102" s="3"/>
      <c r="E102" s="23">
        <f>SUM(E78:E101)</f>
        <v>359.45</v>
      </c>
      <c r="F102" s="23">
        <f>SUM(F79:F101)</f>
        <v>3324.2799999999997</v>
      </c>
      <c r="G102" s="3"/>
      <c r="H102" s="149"/>
      <c r="I102" s="150"/>
      <c r="J102" s="150"/>
      <c r="K102" s="150"/>
      <c r="L102" s="150"/>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sheetData>
  <mergeCells count="48">
    <mergeCell ref="G80:L80"/>
    <mergeCell ref="B80:C80"/>
    <mergeCell ref="B81:C81"/>
    <mergeCell ref="B77:C77"/>
    <mergeCell ref="G77:L77"/>
    <mergeCell ref="B78:C78"/>
    <mergeCell ref="G78:L78"/>
    <mergeCell ref="B79:C79"/>
    <mergeCell ref="G79:L79"/>
    <mergeCell ref="B85:C85"/>
    <mergeCell ref="B86:C86"/>
    <mergeCell ref="G81:L81"/>
    <mergeCell ref="G82:L82"/>
    <mergeCell ref="G83:L83"/>
    <mergeCell ref="G84:L84"/>
    <mergeCell ref="G85:L85"/>
    <mergeCell ref="G86:L86"/>
    <mergeCell ref="B82:C82"/>
    <mergeCell ref="B83:C83"/>
    <mergeCell ref="B84:C84"/>
    <mergeCell ref="G87:L87"/>
    <mergeCell ref="B94:C94"/>
    <mergeCell ref="B95:C95"/>
    <mergeCell ref="B96:C96"/>
    <mergeCell ref="B97:C97"/>
    <mergeCell ref="G95:L95"/>
    <mergeCell ref="G96:L96"/>
    <mergeCell ref="G97:L97"/>
    <mergeCell ref="B98:C98"/>
    <mergeCell ref="B101:C101"/>
    <mergeCell ref="B87:C87"/>
    <mergeCell ref="B88:C88"/>
    <mergeCell ref="B89:C89"/>
    <mergeCell ref="B90:C90"/>
    <mergeCell ref="B91:C91"/>
    <mergeCell ref="B92:C92"/>
    <mergeCell ref="B93:C93"/>
    <mergeCell ref="B99:C99"/>
    <mergeCell ref="G98:L98"/>
    <mergeCell ref="G101:L101"/>
    <mergeCell ref="H102:L102"/>
    <mergeCell ref="G88:L88"/>
    <mergeCell ref="G89:L89"/>
    <mergeCell ref="G90:L90"/>
    <mergeCell ref="G91:L91"/>
    <mergeCell ref="G92:L92"/>
    <mergeCell ref="G93:L93"/>
    <mergeCell ref="G94:L94"/>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94-EFD5-514A-A842-2F7A420168E8}">
  <sheetPr>
    <outlinePr summaryBelow="0" summaryRight="0"/>
    <pageSetUpPr fitToPage="1"/>
  </sheetPr>
  <dimension ref="A1:AB1045"/>
  <sheetViews>
    <sheetView topLeftCell="A26"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45413</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SUM(32*8.5)*23</f>
        <v>6256</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
        <f>T13+J57+G72</f>
        <v>6256.39</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0.39000000000032742</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105</v>
      </c>
      <c r="T11" s="8" t="s">
        <v>50</v>
      </c>
      <c r="U11" s="3"/>
      <c r="V11" s="3"/>
      <c r="W11" s="3"/>
      <c r="X11" s="3"/>
      <c r="Y11" s="3"/>
      <c r="Z11" s="3"/>
      <c r="AA11" s="3"/>
      <c r="AB11" s="3"/>
    </row>
    <row r="12" spans="1:28" ht="14"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14" x14ac:dyDescent="0.2">
      <c r="A13" s="3"/>
      <c r="B13" s="1"/>
      <c r="C13" s="1">
        <v>131.91999999999999</v>
      </c>
      <c r="D13" s="1">
        <v>316.68</v>
      </c>
      <c r="E13" s="1">
        <f>SUM(E12)</f>
        <v>0</v>
      </c>
      <c r="F13" s="1">
        <v>59.93</v>
      </c>
      <c r="G13" s="1">
        <v>172.92</v>
      </c>
      <c r="H13" s="1">
        <v>57.18</v>
      </c>
      <c r="I13" s="1">
        <v>141</v>
      </c>
      <c r="J13" s="1">
        <v>4.75</v>
      </c>
      <c r="K13" s="1">
        <v>35.549999999999997</v>
      </c>
      <c r="L13" s="1">
        <v>23.34</v>
      </c>
      <c r="M13" s="1">
        <v>19.5</v>
      </c>
      <c r="N13" s="1">
        <v>32.71</v>
      </c>
      <c r="O13" s="1">
        <v>439.98</v>
      </c>
      <c r="P13" s="1">
        <v>356.75</v>
      </c>
      <c r="Q13" s="1">
        <v>459</v>
      </c>
      <c r="R13" s="1">
        <v>22.68</v>
      </c>
      <c r="S13" s="1">
        <v>15</v>
      </c>
      <c r="T13" s="32">
        <f>SUM(C13:S13)</f>
        <v>2288.89</v>
      </c>
      <c r="U13" s="3"/>
      <c r="V13" s="3"/>
      <c r="W13" s="3"/>
      <c r="X13" s="3"/>
      <c r="Y13" s="3"/>
      <c r="Z13" s="3"/>
      <c r="AA13" s="3"/>
      <c r="AB13" s="3"/>
    </row>
    <row r="14" spans="1:28" ht="14" x14ac:dyDescent="0.2">
      <c r="A14" s="3"/>
      <c r="B14" s="1"/>
      <c r="C14" s="1"/>
      <c r="D14" s="1"/>
      <c r="E14" s="1"/>
      <c r="F14" s="1"/>
      <c r="G14" s="1"/>
      <c r="H14" s="1"/>
      <c r="I14" s="1"/>
      <c r="J14" s="1"/>
      <c r="K14" s="1"/>
      <c r="L14" s="1"/>
      <c r="M14" s="1"/>
      <c r="N14" s="1"/>
      <c r="O14" s="1"/>
      <c r="P14" s="1"/>
      <c r="Q14" s="1"/>
      <c r="R14" s="1"/>
      <c r="S14" s="1"/>
      <c r="T14" s="1"/>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v>22.09</v>
      </c>
      <c r="D17" s="3">
        <v>10.64</v>
      </c>
      <c r="E17" s="3">
        <v>104</v>
      </c>
      <c r="F17" s="3">
        <v>0.75</v>
      </c>
      <c r="G17" s="3"/>
      <c r="H17" s="3"/>
      <c r="I17" s="3">
        <v>0.25</v>
      </c>
      <c r="J17" s="32">
        <f t="shared" ref="J17:J57" si="0">SUM(C17:I17)</f>
        <v>137.73000000000002</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c r="D18" s="3">
        <v>32.840000000000003</v>
      </c>
      <c r="E18" s="3"/>
      <c r="F18" s="3">
        <v>14.52</v>
      </c>
      <c r="G18" s="3"/>
      <c r="H18" s="3">
        <v>20.5</v>
      </c>
      <c r="I18" s="3"/>
      <c r="J18" s="32">
        <f t="shared" si="0"/>
        <v>67.86</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2">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v>10.83</v>
      </c>
      <c r="E20" s="3"/>
      <c r="F20" s="3">
        <v>35.5</v>
      </c>
      <c r="G20" s="3"/>
      <c r="H20" s="3">
        <v>11</v>
      </c>
      <c r="I20" s="3"/>
      <c r="J20" s="32">
        <f t="shared" si="0"/>
        <v>57.33</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230.25</v>
      </c>
      <c r="D21" s="3">
        <v>44</v>
      </c>
      <c r="E21" s="3">
        <v>81.25</v>
      </c>
      <c r="F21" s="3">
        <v>3.5</v>
      </c>
      <c r="G21" s="3"/>
      <c r="H21" s="3">
        <v>10.25</v>
      </c>
      <c r="I21" s="3"/>
      <c r="J21" s="32">
        <f t="shared" si="0"/>
        <v>369.25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c r="D22" s="3"/>
      <c r="E22" s="3"/>
      <c r="F22" s="3"/>
      <c r="G22" s="3"/>
      <c r="H22" s="3"/>
      <c r="I22" s="3"/>
      <c r="J22" s="32">
        <f t="shared" si="0"/>
        <v>0</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2"/>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2"/>
      <c r="K24" s="3"/>
      <c r="L24" s="3"/>
      <c r="M24" s="3"/>
      <c r="N24" s="3"/>
      <c r="O24" s="3"/>
      <c r="P24" s="3"/>
      <c r="Q24" s="3"/>
      <c r="R24" s="3"/>
      <c r="S24" s="3"/>
      <c r="T24" s="3"/>
      <c r="U24" s="3"/>
      <c r="V24" s="3"/>
      <c r="W24" s="3"/>
      <c r="X24" s="3"/>
      <c r="Y24" s="3"/>
      <c r="Z24" s="3"/>
      <c r="AA24" s="3"/>
      <c r="AB24" s="3"/>
    </row>
    <row r="25" spans="1:28" ht="14" x14ac:dyDescent="0.2">
      <c r="A25" s="3" t="s">
        <v>14</v>
      </c>
      <c r="B25" s="3" t="s">
        <v>133</v>
      </c>
      <c r="C25" s="3">
        <v>777</v>
      </c>
      <c r="D25" s="3">
        <v>199.34</v>
      </c>
      <c r="E25" s="3">
        <v>184.67</v>
      </c>
      <c r="F25" s="3">
        <v>148.30000000000001</v>
      </c>
      <c r="G25" s="3">
        <v>59.92</v>
      </c>
      <c r="H25" s="3">
        <v>10.25</v>
      </c>
      <c r="I25" s="3">
        <v>11.5</v>
      </c>
      <c r="J25" s="32">
        <f t="shared" si="0"/>
        <v>1390.98</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2">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2"/>
      <c r="K27" s="3"/>
      <c r="L27" s="3"/>
      <c r="M27" s="3"/>
      <c r="N27" s="3"/>
      <c r="O27" s="3"/>
      <c r="P27" s="3"/>
      <c r="Q27" s="3"/>
      <c r="R27" s="3"/>
      <c r="S27" s="3"/>
      <c r="T27" s="3"/>
      <c r="U27" s="3"/>
      <c r="V27" s="3"/>
      <c r="W27" s="3"/>
      <c r="X27" s="3"/>
      <c r="Y27" s="3"/>
      <c r="Z27" s="3"/>
      <c r="AA27" s="3"/>
      <c r="AB27" s="3"/>
    </row>
    <row r="28" spans="1:28" ht="14" x14ac:dyDescent="0.2">
      <c r="A28" s="3" t="s">
        <v>122</v>
      </c>
      <c r="B28" s="3" t="s">
        <v>134</v>
      </c>
      <c r="C28" s="3"/>
      <c r="D28" s="3">
        <v>3.07</v>
      </c>
      <c r="E28" s="3"/>
      <c r="F28" s="3"/>
      <c r="G28" s="3"/>
      <c r="H28" s="3"/>
      <c r="I28" s="3"/>
      <c r="J28" s="32">
        <f t="shared" si="0"/>
        <v>3.07</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2">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v>
      </c>
      <c r="E30" s="3"/>
      <c r="F30" s="3">
        <v>1</v>
      </c>
      <c r="G30" s="3"/>
      <c r="H30" s="3"/>
      <c r="I30" s="3"/>
      <c r="J30" s="32">
        <f t="shared" si="0"/>
        <v>2</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11.25</v>
      </c>
      <c r="E31" s="3"/>
      <c r="F31" s="3">
        <v>5.75</v>
      </c>
      <c r="G31" s="3"/>
      <c r="H31" s="3">
        <v>13.5</v>
      </c>
      <c r="I31" s="3"/>
      <c r="J31" s="32">
        <f t="shared" si="0"/>
        <v>30.5</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v>15.07</v>
      </c>
      <c r="D32" s="3">
        <v>22.97</v>
      </c>
      <c r="E32" s="3">
        <v>1.42</v>
      </c>
      <c r="F32" s="3">
        <v>0.75</v>
      </c>
      <c r="G32" s="3"/>
      <c r="H32" s="3"/>
      <c r="I32" s="3">
        <v>1.95</v>
      </c>
      <c r="J32" s="32">
        <f t="shared" si="0"/>
        <v>42.160000000000004</v>
      </c>
      <c r="K32" s="3"/>
      <c r="L32" s="3"/>
      <c r="M32" s="3"/>
      <c r="N32" s="3"/>
      <c r="O32" s="3"/>
      <c r="P32" s="3"/>
      <c r="Q32" s="3"/>
      <c r="R32" s="3"/>
      <c r="S32" s="3"/>
      <c r="T32" s="3"/>
      <c r="U32" s="3"/>
      <c r="V32" s="3"/>
      <c r="W32" s="3"/>
      <c r="X32" s="3"/>
      <c r="Y32" s="3"/>
      <c r="Z32" s="3"/>
      <c r="AA32" s="3"/>
      <c r="AB32" s="3"/>
    </row>
    <row r="33" spans="1:28" ht="14" x14ac:dyDescent="0.2">
      <c r="A33" s="3" t="s">
        <v>16</v>
      </c>
      <c r="B33" s="3"/>
      <c r="C33" s="3"/>
      <c r="D33" s="3">
        <v>28.17</v>
      </c>
      <c r="E33" s="3">
        <v>29.25</v>
      </c>
      <c r="F33" s="3">
        <v>76.5</v>
      </c>
      <c r="G33" s="3"/>
      <c r="H33" s="3"/>
      <c r="I33" s="3"/>
      <c r="J33" s="32">
        <f t="shared" si="0"/>
        <v>133.92000000000002</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2">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2">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2"/>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2">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v>3.5</v>
      </c>
      <c r="E38" s="3"/>
      <c r="F38" s="3"/>
      <c r="G38" s="3"/>
      <c r="H38" s="3"/>
      <c r="I38" s="3"/>
      <c r="J38" s="32">
        <f t="shared" si="0"/>
        <v>3.5</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68.75</v>
      </c>
      <c r="D39" s="3">
        <v>48.33</v>
      </c>
      <c r="E39" s="3">
        <v>6.5</v>
      </c>
      <c r="F39" s="3">
        <v>3.75</v>
      </c>
      <c r="G39" s="3"/>
      <c r="H39" s="3">
        <v>16.829999999999998</v>
      </c>
      <c r="I39" s="3">
        <v>5.5</v>
      </c>
      <c r="J39" s="32">
        <f t="shared" si="0"/>
        <v>149.66</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2">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2"/>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c r="G42" s="3"/>
      <c r="H42" s="3"/>
      <c r="I42" s="3"/>
      <c r="J42" s="32">
        <f t="shared" si="0"/>
        <v>0</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v>0.5</v>
      </c>
      <c r="E43" s="3"/>
      <c r="F43" s="3"/>
      <c r="G43" s="3"/>
      <c r="H43" s="3"/>
      <c r="I43" s="3"/>
      <c r="J43" s="32">
        <f t="shared" si="0"/>
        <v>0.5</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257.69</v>
      </c>
      <c r="D44" s="3">
        <v>155.80000000000001</v>
      </c>
      <c r="E44" s="3">
        <v>214</v>
      </c>
      <c r="F44" s="3">
        <v>35.549999999999997</v>
      </c>
      <c r="G44" s="3"/>
      <c r="H44" s="3">
        <v>18.25</v>
      </c>
      <c r="I44" s="3">
        <v>0.48</v>
      </c>
      <c r="J44" s="32">
        <f t="shared" si="0"/>
        <v>681.77</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281.73</v>
      </c>
      <c r="D45" s="3">
        <v>161.69</v>
      </c>
      <c r="E45" s="3">
        <v>63.25</v>
      </c>
      <c r="F45" s="3">
        <v>90.84</v>
      </c>
      <c r="G45" s="3">
        <v>9.25</v>
      </c>
      <c r="H45" s="3">
        <v>50.75</v>
      </c>
      <c r="I45" s="3">
        <v>11.67</v>
      </c>
      <c r="J45" s="32">
        <f t="shared" si="0"/>
        <v>669.18</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2"/>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2">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2">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2">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2">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2">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4.75</v>
      </c>
      <c r="E52" s="3"/>
      <c r="F52" s="3">
        <v>0.25</v>
      </c>
      <c r="G52" s="3"/>
      <c r="H52" s="3">
        <v>1.5</v>
      </c>
      <c r="I52" s="3"/>
      <c r="J52" s="32">
        <f t="shared" si="0"/>
        <v>6.5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c r="D53" s="3">
        <v>5.25</v>
      </c>
      <c r="E53" s="3">
        <v>1</v>
      </c>
      <c r="F53" s="3">
        <v>34.090000000000003</v>
      </c>
      <c r="G53" s="3"/>
      <c r="H53" s="3"/>
      <c r="I53" s="3"/>
      <c r="J53" s="32">
        <f t="shared" si="0"/>
        <v>40.340000000000003</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2">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2"/>
      <c r="K55" s="3"/>
      <c r="L55" s="3"/>
      <c r="M55" s="3"/>
      <c r="N55" s="3"/>
      <c r="O55" s="3"/>
      <c r="P55" s="3"/>
      <c r="Q55" s="3"/>
      <c r="R55" s="3"/>
      <c r="S55" s="3"/>
      <c r="T55" s="3"/>
      <c r="U55" s="3"/>
      <c r="V55" s="3"/>
      <c r="W55" s="3"/>
      <c r="X55" s="3"/>
      <c r="Y55" s="3"/>
      <c r="Z55" s="3"/>
      <c r="AA55" s="3"/>
      <c r="AB55" s="3"/>
    </row>
    <row r="56" spans="1:28" ht="14" x14ac:dyDescent="0.2">
      <c r="A56" s="3" t="s">
        <v>21</v>
      </c>
      <c r="B56" s="3" t="s">
        <v>148</v>
      </c>
      <c r="C56" s="3">
        <v>10.25</v>
      </c>
      <c r="D56" s="3">
        <v>18</v>
      </c>
      <c r="E56" s="3">
        <v>40</v>
      </c>
      <c r="F56" s="3">
        <v>4</v>
      </c>
      <c r="G56" s="3"/>
      <c r="H56" s="3"/>
      <c r="I56" s="3"/>
      <c r="J56" s="32">
        <f t="shared" si="0"/>
        <v>72.25</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1662.83</v>
      </c>
      <c r="D57" s="1">
        <f t="shared" si="1"/>
        <v>761.93000000000006</v>
      </c>
      <c r="E57" s="1">
        <f t="shared" si="1"/>
        <v>725.33999999999992</v>
      </c>
      <c r="F57" s="1">
        <f t="shared" si="1"/>
        <v>455.05000000000007</v>
      </c>
      <c r="G57" s="1">
        <f t="shared" si="1"/>
        <v>69.17</v>
      </c>
      <c r="H57" s="1">
        <f t="shared" si="1"/>
        <v>152.82999999999998</v>
      </c>
      <c r="I57" s="1">
        <f t="shared" si="1"/>
        <v>31.35</v>
      </c>
      <c r="J57" s="32">
        <f t="shared" si="0"/>
        <v>3858.5000000000005</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D63" s="3"/>
      <c r="E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1.5</v>
      </c>
      <c r="D64" s="3"/>
      <c r="E64" s="3">
        <v>7.75</v>
      </c>
      <c r="F64" s="3"/>
      <c r="G64" s="1">
        <f t="shared" si="2"/>
        <v>9.25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5.25</v>
      </c>
      <c r="D65" s="3"/>
      <c r="E65" s="3">
        <v>5.5</v>
      </c>
      <c r="F65" s="3"/>
      <c r="G65" s="1">
        <f t="shared" si="2"/>
        <v>10.75</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10.85</v>
      </c>
      <c r="D67" s="3"/>
      <c r="E67" s="3">
        <v>3</v>
      </c>
      <c r="F67" s="3"/>
      <c r="G67" s="1">
        <f t="shared" si="2"/>
        <v>13.85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47.15</v>
      </c>
      <c r="D68" s="3"/>
      <c r="E68" s="3">
        <v>15.75</v>
      </c>
      <c r="F68" s="3"/>
      <c r="G68" s="1">
        <f t="shared" si="2"/>
        <v>62.9</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v>7.15</v>
      </c>
      <c r="D69" s="3"/>
      <c r="E69" s="3">
        <v>4.3499999999999996</v>
      </c>
      <c r="F69" s="3"/>
      <c r="G69" s="1">
        <f t="shared" si="2"/>
        <v>11.5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0.5</v>
      </c>
      <c r="D71" s="3"/>
      <c r="E71" s="3">
        <v>0.25</v>
      </c>
      <c r="F71" s="3"/>
      <c r="G71" s="1">
        <f t="shared" si="2"/>
        <v>0.75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72.400000000000006</v>
      </c>
      <c r="D72" s="1">
        <f>SUM(D63:D71)</f>
        <v>0</v>
      </c>
      <c r="E72" s="1">
        <f>SUM(E63:E71)</f>
        <v>36.6</v>
      </c>
      <c r="F72" s="1">
        <f>SUM(F63:F71)</f>
        <v>0</v>
      </c>
      <c r="G72" s="1">
        <f t="shared" si="2"/>
        <v>109</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63</v>
      </c>
      <c r="F77" s="14" t="s">
        <v>64</v>
      </c>
      <c r="G77" s="153" t="s">
        <v>65</v>
      </c>
      <c r="H77" s="147"/>
      <c r="I77" s="147"/>
      <c r="J77" s="147"/>
      <c r="K77" s="147"/>
      <c r="L77" s="148"/>
      <c r="N77" s="3"/>
      <c r="O77" s="3"/>
      <c r="P77" s="3"/>
      <c r="Q77" s="3"/>
      <c r="R77" s="3"/>
      <c r="S77" s="3"/>
      <c r="T77" s="3"/>
      <c r="U77" s="3"/>
      <c r="V77" s="3"/>
      <c r="W77" s="3"/>
      <c r="X77" s="3"/>
      <c r="Y77" s="3"/>
      <c r="Z77" s="3"/>
      <c r="AA77" s="3"/>
      <c r="AB77" s="3"/>
    </row>
    <row r="78" spans="1:28" ht="14" x14ac:dyDescent="0.2">
      <c r="A78" s="15"/>
      <c r="B78" s="152"/>
      <c r="C78" s="148"/>
      <c r="D78" s="15"/>
      <c r="E78" s="16"/>
      <c r="F78" s="16"/>
      <c r="G78" s="152"/>
      <c r="H78" s="147"/>
      <c r="I78" s="147"/>
      <c r="J78" s="147"/>
      <c r="K78" s="147"/>
      <c r="L78" s="148"/>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20"/>
      <c r="F79" s="20"/>
      <c r="G79" s="146" t="s">
        <v>69</v>
      </c>
      <c r="H79" s="147"/>
      <c r="I79" s="147"/>
      <c r="J79" s="147"/>
      <c r="K79" s="147"/>
      <c r="L79" s="148"/>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20"/>
      <c r="F80" s="20"/>
      <c r="G80" s="146" t="s">
        <v>69</v>
      </c>
      <c r="H80" s="147"/>
      <c r="I80" s="147"/>
      <c r="J80" s="147"/>
      <c r="K80" s="147"/>
      <c r="L80" s="148"/>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20"/>
      <c r="F81" s="20"/>
      <c r="G81" s="146" t="s">
        <v>69</v>
      </c>
      <c r="H81" s="147"/>
      <c r="I81" s="147"/>
      <c r="J81" s="147"/>
      <c r="K81" s="147"/>
      <c r="L81" s="148"/>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20"/>
      <c r="F82" s="20"/>
      <c r="G82" s="146" t="s">
        <v>69</v>
      </c>
      <c r="H82" s="147"/>
      <c r="I82" s="147"/>
      <c r="J82" s="147"/>
      <c r="K82" s="147"/>
      <c r="L82" s="148"/>
      <c r="N82" s="3"/>
      <c r="O82" s="3"/>
      <c r="P82" s="3"/>
      <c r="Q82" s="3"/>
      <c r="R82" s="3"/>
      <c r="S82" s="3"/>
      <c r="T82" s="3"/>
      <c r="U82" s="3"/>
      <c r="V82" s="3"/>
      <c r="W82" s="3"/>
      <c r="X82" s="3"/>
      <c r="Y82" s="3"/>
      <c r="Z82" s="3"/>
      <c r="AA82" s="3"/>
      <c r="AB82" s="3"/>
    </row>
    <row r="83" spans="1:28" ht="14" x14ac:dyDescent="0.2">
      <c r="A83" s="17" t="s">
        <v>66</v>
      </c>
      <c r="B83" s="146" t="s">
        <v>120</v>
      </c>
      <c r="C83" s="148"/>
      <c r="D83" s="19" t="s">
        <v>77</v>
      </c>
      <c r="E83" s="20"/>
      <c r="F83" s="20">
        <v>167.76</v>
      </c>
      <c r="G83" s="18" t="s">
        <v>121</v>
      </c>
      <c r="H83" s="28"/>
      <c r="I83" s="28"/>
      <c r="J83" s="28"/>
      <c r="K83" s="28"/>
      <c r="L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20"/>
      <c r="F84" s="20"/>
      <c r="G84" s="146" t="s">
        <v>74</v>
      </c>
      <c r="H84" s="147"/>
      <c r="I84" s="147"/>
      <c r="J84" s="147"/>
      <c r="K84" s="147"/>
      <c r="L84" s="148"/>
      <c r="N84" s="3"/>
      <c r="O84" s="3"/>
      <c r="P84" s="3"/>
      <c r="Q84" s="3"/>
      <c r="R84" s="3"/>
      <c r="S84" s="3"/>
      <c r="T84" s="3"/>
      <c r="U84" s="3"/>
      <c r="V84" s="3"/>
      <c r="W84" s="3"/>
      <c r="X84" s="3"/>
      <c r="Y84" s="3"/>
      <c r="Z84" s="3"/>
      <c r="AA84" s="3"/>
      <c r="AB84" s="3"/>
    </row>
    <row r="85" spans="1:28" ht="14" x14ac:dyDescent="0.2">
      <c r="A85" s="15"/>
      <c r="B85" s="152"/>
      <c r="C85" s="148"/>
      <c r="D85" s="15"/>
      <c r="E85" s="22"/>
      <c r="F85" s="22"/>
      <c r="G85" s="152"/>
      <c r="H85" s="147"/>
      <c r="I85" s="147"/>
      <c r="J85" s="147"/>
      <c r="K85" s="147"/>
      <c r="L85" s="148"/>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20"/>
      <c r="F86" s="20">
        <v>56.3</v>
      </c>
      <c r="G86" s="146" t="s">
        <v>78</v>
      </c>
      <c r="H86" s="147"/>
      <c r="I86" s="147"/>
      <c r="J86" s="147"/>
      <c r="K86" s="147"/>
      <c r="L86" s="148"/>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20"/>
      <c r="F87" s="20"/>
      <c r="G87" s="146" t="s">
        <v>80</v>
      </c>
      <c r="H87" s="147"/>
      <c r="I87" s="147"/>
      <c r="J87" s="147"/>
      <c r="K87" s="147"/>
      <c r="L87" s="148"/>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20"/>
      <c r="F88" s="20"/>
      <c r="G88" s="146" t="s">
        <v>82</v>
      </c>
      <c r="H88" s="147"/>
      <c r="I88" s="147"/>
      <c r="J88" s="147"/>
      <c r="K88" s="147"/>
      <c r="L88" s="148"/>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20"/>
      <c r="F89" s="20"/>
      <c r="G89" s="146" t="s">
        <v>84</v>
      </c>
      <c r="H89" s="147"/>
      <c r="I89" s="147"/>
      <c r="J89" s="147"/>
      <c r="K89" s="147"/>
      <c r="L89" s="148"/>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20"/>
      <c r="F90" s="22"/>
      <c r="G90" s="146" t="s">
        <v>86</v>
      </c>
      <c r="H90" s="147"/>
      <c r="I90" s="147"/>
      <c r="J90" s="147"/>
      <c r="K90" s="147"/>
      <c r="L90" s="148"/>
      <c r="N90" s="3"/>
      <c r="O90" s="3"/>
      <c r="P90" s="3"/>
      <c r="Q90" s="3"/>
      <c r="R90" s="3"/>
      <c r="S90" s="3"/>
      <c r="T90" s="3"/>
      <c r="U90" s="3"/>
      <c r="V90" s="3"/>
      <c r="W90" s="3"/>
      <c r="X90" s="3"/>
      <c r="Y90" s="3"/>
      <c r="Z90" s="3"/>
      <c r="AA90" s="3"/>
      <c r="AB90" s="3"/>
    </row>
    <row r="91" spans="1:28" ht="14" x14ac:dyDescent="0.2">
      <c r="A91" s="17" t="s">
        <v>87</v>
      </c>
      <c r="B91" s="146" t="s">
        <v>88</v>
      </c>
      <c r="C91" s="148"/>
      <c r="D91" s="19" t="s">
        <v>77</v>
      </c>
      <c r="E91" s="20"/>
      <c r="F91" s="20">
        <v>1821.12</v>
      </c>
      <c r="G91" s="146" t="s">
        <v>89</v>
      </c>
      <c r="H91" s="147"/>
      <c r="I91" s="147"/>
      <c r="J91" s="147"/>
      <c r="K91" s="147"/>
      <c r="L91" s="148"/>
      <c r="N91" s="3"/>
      <c r="O91" s="3"/>
      <c r="P91" s="3"/>
      <c r="Q91" s="3"/>
      <c r="R91" s="3"/>
      <c r="S91" s="3"/>
      <c r="T91" s="3"/>
      <c r="U91" s="3"/>
      <c r="V91" s="3"/>
      <c r="W91" s="3"/>
      <c r="X91" s="3"/>
      <c r="Y91" s="3"/>
      <c r="Z91" s="3"/>
      <c r="AA91" s="3"/>
      <c r="AB91" s="3"/>
    </row>
    <row r="92" spans="1:28" ht="14" x14ac:dyDescent="0.2">
      <c r="A92" s="17" t="s">
        <v>90</v>
      </c>
      <c r="B92" s="146"/>
      <c r="C92" s="148"/>
      <c r="D92" s="19" t="s">
        <v>77</v>
      </c>
      <c r="E92" s="20"/>
      <c r="F92" s="20"/>
      <c r="G92" s="146" t="s">
        <v>91</v>
      </c>
      <c r="H92" s="147"/>
      <c r="I92" s="147"/>
      <c r="J92" s="147"/>
      <c r="K92" s="147"/>
      <c r="L92" s="148"/>
      <c r="N92" s="3"/>
      <c r="O92" s="3"/>
      <c r="P92" s="3"/>
      <c r="Q92" s="3"/>
      <c r="R92" s="3"/>
      <c r="S92" s="3"/>
      <c r="T92" s="3"/>
      <c r="U92" s="3"/>
      <c r="V92" s="3"/>
      <c r="W92" s="3"/>
      <c r="X92" s="3"/>
      <c r="Y92" s="3"/>
      <c r="Z92" s="3"/>
      <c r="AA92" s="3"/>
      <c r="AB92" s="3"/>
    </row>
    <row r="93" spans="1:28" ht="14" x14ac:dyDescent="0.2">
      <c r="A93" s="17" t="s">
        <v>92</v>
      </c>
      <c r="B93" s="146" t="s">
        <v>93</v>
      </c>
      <c r="C93" s="148"/>
      <c r="D93" s="19" t="s">
        <v>77</v>
      </c>
      <c r="E93" s="20"/>
      <c r="F93" s="22">
        <v>750</v>
      </c>
      <c r="G93" s="146" t="s">
        <v>94</v>
      </c>
      <c r="H93" s="147"/>
      <c r="I93" s="147"/>
      <c r="J93" s="147"/>
      <c r="K93" s="147"/>
      <c r="L93" s="148"/>
      <c r="N93" s="3"/>
      <c r="O93" s="3"/>
      <c r="P93" s="3"/>
      <c r="Q93" s="3"/>
      <c r="R93" s="3"/>
      <c r="S93" s="3"/>
      <c r="T93" s="3"/>
      <c r="U93" s="3"/>
      <c r="V93" s="3"/>
      <c r="W93" s="3"/>
      <c r="X93" s="3"/>
      <c r="Y93" s="3"/>
      <c r="Z93" s="3"/>
      <c r="AA93" s="3"/>
      <c r="AB93" s="3"/>
    </row>
    <row r="94" spans="1:28" ht="14" x14ac:dyDescent="0.2">
      <c r="A94" s="17" t="s">
        <v>92</v>
      </c>
      <c r="B94" s="146" t="s">
        <v>95</v>
      </c>
      <c r="C94" s="148"/>
      <c r="D94" s="19" t="s">
        <v>77</v>
      </c>
      <c r="E94" s="20"/>
      <c r="F94" s="22">
        <v>750</v>
      </c>
      <c r="G94" s="146" t="s">
        <v>94</v>
      </c>
      <c r="H94" s="147"/>
      <c r="I94" s="147"/>
      <c r="J94" s="147"/>
      <c r="K94" s="147"/>
      <c r="L94" s="148"/>
      <c r="N94" s="3"/>
      <c r="O94" s="3"/>
      <c r="P94" s="3"/>
      <c r="Q94" s="3"/>
      <c r="R94" s="3"/>
      <c r="S94" s="3"/>
      <c r="T94" s="3"/>
      <c r="U94" s="3"/>
      <c r="V94" s="3"/>
      <c r="W94" s="3"/>
      <c r="X94" s="3"/>
      <c r="Y94" s="3"/>
      <c r="Z94" s="3"/>
      <c r="AA94" s="3"/>
      <c r="AB94" s="3"/>
    </row>
    <row r="95" spans="1:28" ht="14" x14ac:dyDescent="0.2">
      <c r="A95" s="17" t="s">
        <v>92</v>
      </c>
      <c r="B95" s="146" t="s">
        <v>96</v>
      </c>
      <c r="C95" s="148"/>
      <c r="D95" s="19" t="s">
        <v>77</v>
      </c>
      <c r="E95" s="20"/>
      <c r="F95" s="22"/>
      <c r="G95" s="146" t="s">
        <v>94</v>
      </c>
      <c r="H95" s="147"/>
      <c r="I95" s="147"/>
      <c r="J95" s="147"/>
      <c r="K95" s="147"/>
      <c r="L95" s="148"/>
      <c r="N95" s="3"/>
      <c r="O95" s="3"/>
      <c r="P95" s="3"/>
      <c r="Q95" s="3"/>
      <c r="R95" s="3"/>
      <c r="S95" s="3"/>
      <c r="T95" s="3"/>
      <c r="U95" s="3"/>
      <c r="V95" s="3"/>
      <c r="W95" s="3"/>
      <c r="X95" s="3"/>
      <c r="Y95" s="3"/>
      <c r="Z95" s="3"/>
      <c r="AA95" s="3"/>
      <c r="AB95" s="3"/>
    </row>
    <row r="96" spans="1:28" ht="14" x14ac:dyDescent="0.2">
      <c r="A96" s="17" t="s">
        <v>92</v>
      </c>
      <c r="B96" s="146" t="s">
        <v>97</v>
      </c>
      <c r="C96" s="148"/>
      <c r="D96" s="19" t="s">
        <v>98</v>
      </c>
      <c r="E96" s="20"/>
      <c r="F96" s="20"/>
      <c r="G96" s="146" t="s">
        <v>99</v>
      </c>
      <c r="H96" s="147"/>
      <c r="I96" s="147"/>
      <c r="J96" s="147"/>
      <c r="K96" s="147"/>
      <c r="L96" s="148"/>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20"/>
      <c r="F97" s="20"/>
      <c r="G97" s="146" t="s">
        <v>101</v>
      </c>
      <c r="H97" s="147"/>
      <c r="I97" s="147"/>
      <c r="J97" s="147"/>
      <c r="K97" s="147"/>
      <c r="L97" s="148"/>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20"/>
      <c r="F98" s="20"/>
      <c r="G98" s="146" t="s">
        <v>101</v>
      </c>
      <c r="H98" s="147"/>
      <c r="I98" s="147"/>
      <c r="J98" s="147"/>
      <c r="K98" s="147"/>
      <c r="L98" s="148"/>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20"/>
      <c r="F99" s="20"/>
      <c r="G99" s="146" t="s">
        <v>101</v>
      </c>
      <c r="H99" s="147"/>
      <c r="I99" s="147"/>
      <c r="J99" s="147"/>
      <c r="K99" s="147"/>
      <c r="L99" s="148"/>
      <c r="N99" s="3"/>
      <c r="O99" s="3"/>
      <c r="P99" s="3"/>
      <c r="Q99" s="3"/>
      <c r="R99" s="3"/>
      <c r="S99" s="3"/>
      <c r="T99" s="3"/>
      <c r="U99" s="3"/>
      <c r="V99" s="3"/>
      <c r="W99" s="3"/>
      <c r="X99" s="3"/>
      <c r="Y99" s="3"/>
      <c r="Z99" s="3"/>
      <c r="AA99" s="3"/>
      <c r="AB99" s="3"/>
    </row>
    <row r="100" spans="1:28" ht="14" x14ac:dyDescent="0.2">
      <c r="A100" s="18" t="s">
        <v>103</v>
      </c>
      <c r="B100" s="151"/>
      <c r="C100" s="148"/>
      <c r="D100" s="19" t="s">
        <v>77</v>
      </c>
      <c r="E100" s="20"/>
      <c r="F100" s="20"/>
      <c r="G100" s="146" t="s">
        <v>104</v>
      </c>
      <c r="H100" s="147"/>
      <c r="I100" s="147"/>
      <c r="J100" s="147"/>
      <c r="K100" s="147"/>
      <c r="L100" s="148"/>
      <c r="N100" s="3"/>
      <c r="O100" s="3"/>
      <c r="P100" s="3"/>
      <c r="Q100" s="3"/>
      <c r="R100" s="3"/>
      <c r="S100" s="3"/>
      <c r="T100" s="3"/>
      <c r="U100" s="3"/>
      <c r="V100" s="3"/>
      <c r="W100" s="3"/>
      <c r="X100" s="3"/>
      <c r="Y100" s="3"/>
      <c r="Z100" s="3"/>
      <c r="AA100" s="3"/>
      <c r="AB100" s="3"/>
    </row>
    <row r="101" spans="1:28" ht="14" x14ac:dyDescent="0.2">
      <c r="A101" s="3"/>
      <c r="B101" s="3"/>
      <c r="C101" s="3"/>
      <c r="D101" s="3"/>
      <c r="E101" s="23">
        <f>SUM(E78:E100)</f>
        <v>0</v>
      </c>
      <c r="F101" s="23">
        <f>SUM(F79:F100)</f>
        <v>3545.18</v>
      </c>
      <c r="G101" s="3"/>
      <c r="H101" s="149"/>
      <c r="I101" s="150"/>
      <c r="J101" s="150"/>
      <c r="K101" s="150"/>
      <c r="L101" s="150"/>
      <c r="N101" s="3"/>
      <c r="O101" s="3"/>
      <c r="P101" s="3"/>
      <c r="Q101" s="3"/>
      <c r="R101" s="3"/>
      <c r="S101" s="3"/>
      <c r="T101" s="3"/>
      <c r="U101" s="3"/>
      <c r="V101" s="3"/>
      <c r="W101" s="3"/>
      <c r="X101" s="3"/>
      <c r="Y101" s="3"/>
      <c r="Z101" s="3"/>
      <c r="AA101" s="3"/>
      <c r="AB101" s="3"/>
    </row>
    <row r="102" spans="1:28"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sheetData>
  <mergeCells count="48">
    <mergeCell ref="B77:C77"/>
    <mergeCell ref="G77:L77"/>
    <mergeCell ref="B78:C78"/>
    <mergeCell ref="G78:L78"/>
    <mergeCell ref="B79:C79"/>
    <mergeCell ref="G79:L79"/>
    <mergeCell ref="G88:L88"/>
    <mergeCell ref="G80:L80"/>
    <mergeCell ref="B80:C80"/>
    <mergeCell ref="B81:C81"/>
    <mergeCell ref="B86:C86"/>
    <mergeCell ref="B84:C84"/>
    <mergeCell ref="B87:C87"/>
    <mergeCell ref="G81:L81"/>
    <mergeCell ref="G82:L82"/>
    <mergeCell ref="G84:L84"/>
    <mergeCell ref="G85:L85"/>
    <mergeCell ref="G86:L86"/>
    <mergeCell ref="G87:L87"/>
    <mergeCell ref="B83:C83"/>
    <mergeCell ref="B82:C82"/>
    <mergeCell ref="B85:C85"/>
    <mergeCell ref="B99:C99"/>
    <mergeCell ref="B100:C100"/>
    <mergeCell ref="B88:C88"/>
    <mergeCell ref="B89:C89"/>
    <mergeCell ref="B90:C90"/>
    <mergeCell ref="B91:C91"/>
    <mergeCell ref="B92:C92"/>
    <mergeCell ref="B93:C93"/>
    <mergeCell ref="B94:C94"/>
    <mergeCell ref="B95:C95"/>
    <mergeCell ref="B96:C96"/>
    <mergeCell ref="B97:C97"/>
    <mergeCell ref="B98:C98"/>
    <mergeCell ref="G99:L99"/>
    <mergeCell ref="G100:L100"/>
    <mergeCell ref="H101:L101"/>
    <mergeCell ref="G89:L89"/>
    <mergeCell ref="G90:L90"/>
    <mergeCell ref="G91:L91"/>
    <mergeCell ref="G92:L92"/>
    <mergeCell ref="G93:L93"/>
    <mergeCell ref="G94:L94"/>
    <mergeCell ref="G95:L95"/>
    <mergeCell ref="G96:L96"/>
    <mergeCell ref="G97:L97"/>
    <mergeCell ref="G98:L98"/>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F8D5-8770-9B42-B447-D4A8829816A7}">
  <sheetPr>
    <outlinePr summaryBelow="0" summaryRight="0"/>
    <pageSetUpPr fitToPage="1"/>
  </sheetPr>
  <dimension ref="A1:AB1045"/>
  <sheetViews>
    <sheetView topLeftCell="A28"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45444</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SUM(32*8.5)*20</f>
        <v>5440</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
        <f>T13+J57+G72</f>
        <v>5445.8600000000006</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5.8600000000005821</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14" x14ac:dyDescent="0.2">
      <c r="A13" s="3"/>
      <c r="B13" s="1"/>
      <c r="C13" s="1">
        <v>67.25</v>
      </c>
      <c r="D13" s="1">
        <v>301.57</v>
      </c>
      <c r="E13" s="1">
        <f>SUM(E12)</f>
        <v>0</v>
      </c>
      <c r="F13" s="1">
        <v>63.02</v>
      </c>
      <c r="G13" s="1">
        <v>169.78</v>
      </c>
      <c r="H13" s="1">
        <v>4.75</v>
      </c>
      <c r="I13" s="1">
        <v>86.33</v>
      </c>
      <c r="J13" s="1">
        <v>2.25</v>
      </c>
      <c r="K13" s="1">
        <v>35.75</v>
      </c>
      <c r="L13" s="1">
        <v>21.08</v>
      </c>
      <c r="M13" s="1">
        <v>12.91</v>
      </c>
      <c r="N13" s="1">
        <v>31.2</v>
      </c>
      <c r="O13" s="1">
        <v>434.48</v>
      </c>
      <c r="P13" s="1">
        <v>448</v>
      </c>
      <c r="Q13" s="1">
        <v>0</v>
      </c>
      <c r="R13" s="1">
        <v>25.5</v>
      </c>
      <c r="S13" s="1">
        <v>66.25</v>
      </c>
      <c r="T13" s="1">
        <f>SUM(C13:S13)</f>
        <v>1770.1200000000001</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v>30.64</v>
      </c>
      <c r="D17" s="3">
        <v>26.61</v>
      </c>
      <c r="E17" s="3">
        <v>0.75</v>
      </c>
      <c r="F17" s="3"/>
      <c r="G17" s="3">
        <v>1.5</v>
      </c>
      <c r="H17" s="3"/>
      <c r="I17" s="3">
        <v>4.75</v>
      </c>
      <c r="J17" s="34">
        <f t="shared" ref="J17:J56" si="0">SUM(C17:I17)</f>
        <v>64.25</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91.85</v>
      </c>
      <c r="D18" s="3">
        <v>76.55</v>
      </c>
      <c r="E18" s="3">
        <v>4</v>
      </c>
      <c r="F18" s="3">
        <v>98.82</v>
      </c>
      <c r="G18" s="3">
        <v>1</v>
      </c>
      <c r="H18" s="3">
        <v>27.65</v>
      </c>
      <c r="I18" s="3"/>
      <c r="J18" s="34">
        <f t="shared" si="0"/>
        <v>299.86999999999995</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74</v>
      </c>
      <c r="D20" s="3">
        <v>23.25</v>
      </c>
      <c r="E20" s="3"/>
      <c r="F20" s="3">
        <v>11</v>
      </c>
      <c r="G20" s="3"/>
      <c r="H20" s="3">
        <v>8.67</v>
      </c>
      <c r="I20" s="3"/>
      <c r="J20" s="34">
        <f t="shared" si="0"/>
        <v>116.92</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323.5</v>
      </c>
      <c r="D21" s="3">
        <v>27.25</v>
      </c>
      <c r="E21" s="3">
        <v>7.5</v>
      </c>
      <c r="F21" s="3">
        <v>4</v>
      </c>
      <c r="G21" s="3"/>
      <c r="H21" s="3">
        <v>4.5</v>
      </c>
      <c r="I21" s="3"/>
      <c r="J21" s="34">
        <f t="shared" si="0"/>
        <v>366.75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c r="D22" s="3"/>
      <c r="E22" s="3"/>
      <c r="F22" s="3">
        <v>2</v>
      </c>
      <c r="G22" s="3"/>
      <c r="H22" s="3"/>
      <c r="I22" s="3"/>
      <c r="J22" s="34">
        <f t="shared" si="0"/>
        <v>2</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606.16</v>
      </c>
      <c r="D25" s="3">
        <f>259.88+11.5</f>
        <v>271.38</v>
      </c>
      <c r="E25" s="3">
        <v>293.2</v>
      </c>
      <c r="F25" s="3">
        <v>166.23</v>
      </c>
      <c r="G25" s="3">
        <v>120.01</v>
      </c>
      <c r="H25" s="3">
        <v>10.5</v>
      </c>
      <c r="I25" s="3"/>
      <c r="J25" s="34">
        <f t="shared" si="0"/>
        <v>1467.48</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2.8</v>
      </c>
      <c r="D28" s="3">
        <v>9.2799999999999994</v>
      </c>
      <c r="E28" s="3"/>
      <c r="F28" s="3">
        <v>17.25</v>
      </c>
      <c r="G28" s="3"/>
      <c r="H28" s="3"/>
      <c r="I28" s="3"/>
      <c r="J28" s="34">
        <f t="shared" si="0"/>
        <v>29.33</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v>
      </c>
      <c r="E30" s="3"/>
      <c r="F30" s="3">
        <v>9</v>
      </c>
      <c r="G30" s="3"/>
      <c r="H30" s="3"/>
      <c r="I30" s="3"/>
      <c r="J30" s="34">
        <f t="shared" si="0"/>
        <v>10</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34.42</v>
      </c>
      <c r="E31" s="3"/>
      <c r="F31" s="3">
        <v>21.25</v>
      </c>
      <c r="G31" s="3"/>
      <c r="H31" s="3">
        <v>63.75</v>
      </c>
      <c r="I31" s="3"/>
      <c r="J31" s="34">
        <f t="shared" si="0"/>
        <v>119.42</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v>1.45</v>
      </c>
      <c r="D32" s="3">
        <v>11.45</v>
      </c>
      <c r="E32" s="3"/>
      <c r="F32" s="3"/>
      <c r="G32" s="3"/>
      <c r="H32" s="3"/>
      <c r="I32" s="3"/>
      <c r="J32" s="34">
        <f t="shared" si="0"/>
        <v>12.899999999999999</v>
      </c>
      <c r="K32" s="3"/>
      <c r="L32" s="3"/>
      <c r="M32" s="3"/>
      <c r="N32" s="3"/>
      <c r="O32" s="3"/>
      <c r="P32" s="3"/>
      <c r="Q32" s="3"/>
      <c r="R32" s="3"/>
      <c r="S32" s="3"/>
      <c r="T32" s="3"/>
      <c r="U32" s="3"/>
      <c r="V32" s="3"/>
      <c r="W32" s="3"/>
      <c r="X32" s="3"/>
      <c r="Y32" s="3"/>
      <c r="Z32" s="3"/>
      <c r="AA32" s="3"/>
      <c r="AB32" s="3"/>
    </row>
    <row r="33" spans="1:28" ht="14" x14ac:dyDescent="0.2">
      <c r="A33" s="3" t="s">
        <v>16</v>
      </c>
      <c r="B33" s="3"/>
      <c r="C33" s="3"/>
      <c r="D33" s="3">
        <v>40.090000000000003</v>
      </c>
      <c r="E33" s="3"/>
      <c r="F33" s="3">
        <v>70.75</v>
      </c>
      <c r="G33" s="3">
        <v>9.75</v>
      </c>
      <c r="H33" s="3">
        <v>1.5</v>
      </c>
      <c r="I33" s="3"/>
      <c r="J33" s="34">
        <f t="shared" si="0"/>
        <v>122.09</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2</v>
      </c>
      <c r="D39" s="3">
        <v>9.25</v>
      </c>
      <c r="E39" s="3"/>
      <c r="F39" s="3">
        <v>13.25</v>
      </c>
      <c r="G39" s="3"/>
      <c r="H39" s="3">
        <v>23.25</v>
      </c>
      <c r="I39" s="3"/>
      <c r="J39" s="34">
        <f t="shared" si="0"/>
        <v>47.75</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0.25</v>
      </c>
      <c r="E42" s="3"/>
      <c r="F42" s="3">
        <v>1</v>
      </c>
      <c r="G42" s="3"/>
      <c r="H42" s="3"/>
      <c r="I42" s="3"/>
      <c r="J42" s="34">
        <f t="shared" si="0"/>
        <v>1.25</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162.13</v>
      </c>
      <c r="D44" s="3">
        <v>110.09</v>
      </c>
      <c r="E44" s="3">
        <v>1</v>
      </c>
      <c r="F44" s="3">
        <v>11</v>
      </c>
      <c r="G44" s="3"/>
      <c r="H44" s="3">
        <v>16.25</v>
      </c>
      <c r="I44" s="3">
        <v>1.87</v>
      </c>
      <c r="J44" s="34">
        <f t="shared" si="0"/>
        <v>302.34000000000003</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176.07</v>
      </c>
      <c r="D45" s="3">
        <v>112.73</v>
      </c>
      <c r="E45" s="3"/>
      <c r="F45" s="3">
        <v>71.430000000000007</v>
      </c>
      <c r="G45" s="3"/>
      <c r="H45" s="3">
        <v>2.5</v>
      </c>
      <c r="I45" s="3">
        <v>2</v>
      </c>
      <c r="J45" s="34">
        <f t="shared" si="0"/>
        <v>364.73</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5</v>
      </c>
      <c r="E52" s="3"/>
      <c r="F52" s="3"/>
      <c r="G52" s="3"/>
      <c r="H52" s="3"/>
      <c r="I52" s="3"/>
      <c r="J52" s="34">
        <f t="shared" si="0"/>
        <v>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109.75</v>
      </c>
      <c r="D53" s="3">
        <v>75.95</v>
      </c>
      <c r="E53" s="3"/>
      <c r="F53" s="3">
        <v>63.42</v>
      </c>
      <c r="G53" s="3"/>
      <c r="H53" s="3">
        <v>47.25</v>
      </c>
      <c r="I53" s="3"/>
      <c r="J53" s="34">
        <f t="shared" si="0"/>
        <v>296.37</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c r="D56" s="3"/>
      <c r="E56" s="3"/>
      <c r="F56" s="3"/>
      <c r="G56" s="3"/>
      <c r="H56" s="3"/>
      <c r="I56" s="3"/>
      <c r="J56" s="34">
        <f t="shared" si="0"/>
        <v>0</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1580.3500000000001</v>
      </c>
      <c r="D57" s="1">
        <f t="shared" si="1"/>
        <v>834.55000000000007</v>
      </c>
      <c r="E57" s="1">
        <f t="shared" si="1"/>
        <v>306.45</v>
      </c>
      <c r="F57" s="1">
        <f t="shared" si="1"/>
        <v>560.4</v>
      </c>
      <c r="G57" s="1">
        <f t="shared" si="1"/>
        <v>132.26</v>
      </c>
      <c r="H57" s="1">
        <f t="shared" si="1"/>
        <v>205.82</v>
      </c>
      <c r="I57" s="1">
        <f t="shared" si="1"/>
        <v>8.620000000000001</v>
      </c>
      <c r="J57" s="34">
        <f>SUM(C57:I57)</f>
        <v>3628.4500000000003</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D63" s="3"/>
      <c r="E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c r="D64" s="3"/>
      <c r="E64" s="3">
        <v>2.75</v>
      </c>
      <c r="F64" s="3"/>
      <c r="G64" s="1">
        <f t="shared" si="2"/>
        <v>2.75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1.95</v>
      </c>
      <c r="D65" s="3"/>
      <c r="E65" s="3"/>
      <c r="F65" s="3"/>
      <c r="G65" s="1">
        <f t="shared" si="2"/>
        <v>1.95</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14.56</v>
      </c>
      <c r="D67" s="3"/>
      <c r="E67" s="3">
        <v>2.75</v>
      </c>
      <c r="F67" s="3"/>
      <c r="G67" s="1">
        <f t="shared" si="2"/>
        <v>17.310000000000002</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17.73</v>
      </c>
      <c r="D68" s="3"/>
      <c r="E68" s="3">
        <v>4</v>
      </c>
      <c r="F68" s="3"/>
      <c r="G68" s="1">
        <f t="shared" si="2"/>
        <v>21.73</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v>2.75</v>
      </c>
      <c r="F69" s="3"/>
      <c r="G69" s="1">
        <f t="shared" si="2"/>
        <v>2.75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0.8</v>
      </c>
      <c r="D71" s="3"/>
      <c r="E71" s="3"/>
      <c r="F71" s="3"/>
      <c r="G71" s="1">
        <f t="shared" si="2"/>
        <v>0.8</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35.04</v>
      </c>
      <c r="D72" s="1">
        <f>SUM(D63:D71)</f>
        <v>0</v>
      </c>
      <c r="E72" s="1">
        <f>SUM(E63:E71)</f>
        <v>12.25</v>
      </c>
      <c r="F72" s="1">
        <f>SUM(F63:F71)</f>
        <v>0</v>
      </c>
      <c r="G72" s="1">
        <f t="shared" si="2"/>
        <v>47.29</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63</v>
      </c>
      <c r="F77" s="14" t="s">
        <v>64</v>
      </c>
      <c r="G77" s="153" t="s">
        <v>65</v>
      </c>
      <c r="H77" s="147"/>
      <c r="I77" s="147"/>
      <c r="J77" s="147"/>
      <c r="K77" s="147"/>
      <c r="L77" s="148"/>
      <c r="N77" s="3"/>
      <c r="O77" s="3"/>
      <c r="P77" s="3"/>
      <c r="Q77" s="3"/>
      <c r="R77" s="3"/>
      <c r="S77" s="3"/>
      <c r="T77" s="3"/>
      <c r="U77" s="3"/>
      <c r="V77" s="3"/>
      <c r="W77" s="3"/>
      <c r="X77" s="3"/>
      <c r="Y77" s="3"/>
      <c r="Z77" s="3"/>
      <c r="AA77" s="3"/>
      <c r="AB77" s="3"/>
    </row>
    <row r="78" spans="1:28" ht="14" x14ac:dyDescent="0.2">
      <c r="A78" s="15"/>
      <c r="B78" s="152"/>
      <c r="C78" s="148"/>
      <c r="D78" s="15"/>
      <c r="E78" s="15"/>
      <c r="F78" s="15"/>
      <c r="G78" s="152"/>
      <c r="H78" s="147"/>
      <c r="I78" s="147"/>
      <c r="J78" s="147"/>
      <c r="K78" s="147"/>
      <c r="L78" s="148"/>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20"/>
      <c r="F79" s="20"/>
      <c r="G79" s="146" t="s">
        <v>69</v>
      </c>
      <c r="H79" s="147"/>
      <c r="I79" s="147"/>
      <c r="J79" s="147"/>
      <c r="K79" s="147"/>
      <c r="L79" s="148"/>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20"/>
      <c r="F80" s="20"/>
      <c r="G80" s="146" t="s">
        <v>69</v>
      </c>
      <c r="H80" s="147"/>
      <c r="I80" s="147"/>
      <c r="J80" s="147"/>
      <c r="K80" s="147"/>
      <c r="L80" s="148"/>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20"/>
      <c r="F81" s="20"/>
      <c r="G81" s="146" t="s">
        <v>69</v>
      </c>
      <c r="H81" s="147"/>
      <c r="I81" s="147"/>
      <c r="J81" s="147"/>
      <c r="K81" s="147"/>
      <c r="L81" s="148"/>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20"/>
      <c r="F82" s="20"/>
      <c r="G82" s="146" t="s">
        <v>69</v>
      </c>
      <c r="H82" s="147"/>
      <c r="I82" s="147"/>
      <c r="J82" s="147"/>
      <c r="K82" s="147"/>
      <c r="L82" s="148"/>
      <c r="N82" s="3"/>
      <c r="O82" s="3"/>
      <c r="P82" s="3"/>
      <c r="Q82" s="3"/>
      <c r="R82" s="3"/>
      <c r="S82" s="3"/>
      <c r="T82" s="3"/>
      <c r="U82" s="3"/>
      <c r="V82" s="3"/>
      <c r="W82" s="3"/>
      <c r="X82" s="3"/>
      <c r="Y82" s="3"/>
      <c r="Z82" s="3"/>
      <c r="AA82" s="3"/>
      <c r="AB82" s="3"/>
    </row>
    <row r="83" spans="1:28" ht="14" x14ac:dyDescent="0.2">
      <c r="A83" s="17" t="s">
        <v>66</v>
      </c>
      <c r="B83" s="146" t="s">
        <v>120</v>
      </c>
      <c r="C83" s="148"/>
      <c r="D83" s="19" t="s">
        <v>77</v>
      </c>
      <c r="E83" s="20"/>
      <c r="F83" s="20">
        <v>210.13</v>
      </c>
      <c r="G83" s="18"/>
      <c r="H83" s="28"/>
      <c r="I83" s="28"/>
      <c r="J83" s="28"/>
      <c r="K83" s="28"/>
      <c r="L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20"/>
      <c r="F84" s="20"/>
      <c r="G84" s="146" t="s">
        <v>74</v>
      </c>
      <c r="H84" s="147"/>
      <c r="I84" s="147"/>
      <c r="J84" s="147"/>
      <c r="K84" s="147"/>
      <c r="L84" s="148"/>
      <c r="N84" s="3"/>
      <c r="O84" s="3"/>
      <c r="P84" s="3"/>
      <c r="Q84" s="3"/>
      <c r="R84" s="3"/>
      <c r="S84" s="3"/>
      <c r="T84" s="3"/>
      <c r="U84" s="3"/>
      <c r="V84" s="3"/>
      <c r="W84" s="3"/>
      <c r="X84" s="3"/>
      <c r="Y84" s="3"/>
      <c r="Z84" s="3"/>
      <c r="AA84" s="3"/>
      <c r="AB84" s="3"/>
    </row>
    <row r="85" spans="1:28" ht="14" x14ac:dyDescent="0.2">
      <c r="A85" s="15"/>
      <c r="B85" s="152"/>
      <c r="C85" s="148"/>
      <c r="D85" s="15"/>
      <c r="E85" s="22"/>
      <c r="F85" s="22"/>
      <c r="G85" s="152"/>
      <c r="H85" s="147"/>
      <c r="I85" s="147"/>
      <c r="J85" s="147"/>
      <c r="K85" s="147"/>
      <c r="L85" s="148"/>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20"/>
      <c r="F86" s="20">
        <v>55.39</v>
      </c>
      <c r="G86" s="146" t="s">
        <v>78</v>
      </c>
      <c r="H86" s="147"/>
      <c r="I86" s="147"/>
      <c r="J86" s="147"/>
      <c r="K86" s="147"/>
      <c r="L86" s="148"/>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20"/>
      <c r="F87" s="20"/>
      <c r="G87" s="146" t="s">
        <v>80</v>
      </c>
      <c r="H87" s="147"/>
      <c r="I87" s="147"/>
      <c r="J87" s="147"/>
      <c r="K87" s="147"/>
      <c r="L87" s="148"/>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20"/>
      <c r="F88" s="20"/>
      <c r="G88" s="146" t="s">
        <v>82</v>
      </c>
      <c r="H88" s="147"/>
      <c r="I88" s="147"/>
      <c r="J88" s="147"/>
      <c r="K88" s="147"/>
      <c r="L88" s="148"/>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20"/>
      <c r="F89" s="20"/>
      <c r="G89" s="146" t="s">
        <v>84</v>
      </c>
      <c r="H89" s="147"/>
      <c r="I89" s="147"/>
      <c r="J89" s="147"/>
      <c r="K89" s="147"/>
      <c r="L89" s="148"/>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20"/>
      <c r="F90" s="22"/>
      <c r="G90" s="146" t="s">
        <v>86</v>
      </c>
      <c r="H90" s="147"/>
      <c r="I90" s="147"/>
      <c r="J90" s="147"/>
      <c r="K90" s="147"/>
      <c r="L90" s="148"/>
      <c r="N90" s="3"/>
      <c r="O90" s="3"/>
      <c r="P90" s="3"/>
      <c r="Q90" s="3"/>
      <c r="R90" s="3"/>
      <c r="S90" s="3"/>
      <c r="T90" s="3"/>
      <c r="U90" s="3"/>
      <c r="V90" s="3"/>
      <c r="W90" s="3"/>
      <c r="X90" s="3"/>
      <c r="Y90" s="3"/>
      <c r="Z90" s="3"/>
      <c r="AA90" s="3"/>
      <c r="AB90" s="3"/>
    </row>
    <row r="91" spans="1:28" ht="14" x14ac:dyDescent="0.2">
      <c r="A91" s="17" t="s">
        <v>87</v>
      </c>
      <c r="B91" s="146" t="s">
        <v>88</v>
      </c>
      <c r="C91" s="148"/>
      <c r="D91" s="19" t="s">
        <v>77</v>
      </c>
      <c r="E91" s="20"/>
      <c r="F91" s="20">
        <v>1856.13</v>
      </c>
      <c r="G91" s="146" t="s">
        <v>89</v>
      </c>
      <c r="H91" s="147"/>
      <c r="I91" s="147"/>
      <c r="J91" s="147"/>
      <c r="K91" s="147"/>
      <c r="L91" s="148"/>
      <c r="N91" s="3"/>
      <c r="O91" s="3"/>
      <c r="P91" s="3"/>
      <c r="Q91" s="3"/>
      <c r="R91" s="3"/>
      <c r="S91" s="3"/>
      <c r="T91" s="3"/>
      <c r="U91" s="3"/>
      <c r="V91" s="3"/>
      <c r="W91" s="3"/>
      <c r="X91" s="3"/>
      <c r="Y91" s="3"/>
      <c r="Z91" s="3"/>
      <c r="AA91" s="3"/>
      <c r="AB91" s="3"/>
    </row>
    <row r="92" spans="1:28" ht="14" x14ac:dyDescent="0.2">
      <c r="A92" s="17" t="s">
        <v>90</v>
      </c>
      <c r="B92" s="146"/>
      <c r="C92" s="148"/>
      <c r="D92" s="19" t="s">
        <v>77</v>
      </c>
      <c r="E92" s="20"/>
      <c r="F92" s="20"/>
      <c r="G92" s="146" t="s">
        <v>91</v>
      </c>
      <c r="H92" s="147"/>
      <c r="I92" s="147"/>
      <c r="J92" s="147"/>
      <c r="K92" s="147"/>
      <c r="L92" s="148"/>
      <c r="N92" s="3"/>
      <c r="O92" s="3"/>
      <c r="P92" s="3"/>
      <c r="Q92" s="3"/>
      <c r="R92" s="3"/>
      <c r="S92" s="3"/>
      <c r="T92" s="3"/>
      <c r="U92" s="3"/>
      <c r="V92" s="3"/>
      <c r="W92" s="3"/>
      <c r="X92" s="3"/>
      <c r="Y92" s="3"/>
      <c r="Z92" s="3"/>
      <c r="AA92" s="3"/>
      <c r="AB92" s="3"/>
    </row>
    <row r="93" spans="1:28" ht="14" x14ac:dyDescent="0.2">
      <c r="A93" s="17" t="s">
        <v>92</v>
      </c>
      <c r="B93" s="146" t="s">
        <v>93</v>
      </c>
      <c r="C93" s="148"/>
      <c r="D93" s="19" t="s">
        <v>77</v>
      </c>
      <c r="E93" s="20"/>
      <c r="F93" s="22">
        <v>750</v>
      </c>
      <c r="G93" s="146" t="s">
        <v>94</v>
      </c>
      <c r="H93" s="147"/>
      <c r="I93" s="147"/>
      <c r="J93" s="147"/>
      <c r="K93" s="147"/>
      <c r="L93" s="148"/>
      <c r="N93" s="3"/>
      <c r="O93" s="3"/>
      <c r="P93" s="3"/>
      <c r="Q93" s="3"/>
      <c r="R93" s="3"/>
      <c r="S93" s="3"/>
      <c r="T93" s="3"/>
      <c r="U93" s="3"/>
      <c r="V93" s="3"/>
      <c r="W93" s="3"/>
      <c r="X93" s="3"/>
      <c r="Y93" s="3"/>
      <c r="Z93" s="3"/>
      <c r="AA93" s="3"/>
      <c r="AB93" s="3"/>
    </row>
    <row r="94" spans="1:28" ht="14" x14ac:dyDescent="0.2">
      <c r="A94" s="17" t="s">
        <v>92</v>
      </c>
      <c r="B94" s="146" t="s">
        <v>95</v>
      </c>
      <c r="C94" s="148"/>
      <c r="D94" s="19" t="s">
        <v>77</v>
      </c>
      <c r="E94" s="20"/>
      <c r="F94" s="22">
        <v>750</v>
      </c>
      <c r="G94" s="146" t="s">
        <v>94</v>
      </c>
      <c r="H94" s="147"/>
      <c r="I94" s="147"/>
      <c r="J94" s="147"/>
      <c r="K94" s="147"/>
      <c r="L94" s="148"/>
      <c r="N94" s="3"/>
      <c r="O94" s="3"/>
      <c r="P94" s="3"/>
      <c r="Q94" s="3"/>
      <c r="R94" s="3"/>
      <c r="S94" s="3"/>
      <c r="T94" s="3"/>
      <c r="U94" s="3"/>
      <c r="V94" s="3"/>
      <c r="W94" s="3"/>
      <c r="X94" s="3"/>
      <c r="Y94" s="3"/>
      <c r="Z94" s="3"/>
      <c r="AA94" s="3"/>
      <c r="AB94" s="3"/>
    </row>
    <row r="95" spans="1:28" ht="14" x14ac:dyDescent="0.2">
      <c r="A95" s="17" t="s">
        <v>92</v>
      </c>
      <c r="B95" s="146" t="s">
        <v>96</v>
      </c>
      <c r="C95" s="148"/>
      <c r="D95" s="19" t="s">
        <v>77</v>
      </c>
      <c r="E95" s="20"/>
      <c r="F95" s="22"/>
      <c r="G95" s="146" t="s">
        <v>94</v>
      </c>
      <c r="H95" s="147"/>
      <c r="I95" s="147"/>
      <c r="J95" s="147"/>
      <c r="K95" s="147"/>
      <c r="L95" s="148"/>
      <c r="N95" s="3"/>
      <c r="O95" s="3"/>
      <c r="P95" s="3"/>
      <c r="Q95" s="3"/>
      <c r="R95" s="3"/>
      <c r="S95" s="3"/>
      <c r="T95" s="3"/>
      <c r="U95" s="3"/>
      <c r="V95" s="3"/>
      <c r="W95" s="3"/>
      <c r="X95" s="3"/>
      <c r="Y95" s="3"/>
      <c r="Z95" s="3"/>
      <c r="AA95" s="3"/>
      <c r="AB95" s="3"/>
    </row>
    <row r="96" spans="1:28" ht="14" x14ac:dyDescent="0.2">
      <c r="A96" s="17" t="s">
        <v>92</v>
      </c>
      <c r="B96" s="146" t="s">
        <v>97</v>
      </c>
      <c r="C96" s="148"/>
      <c r="D96" s="19" t="s">
        <v>98</v>
      </c>
      <c r="E96" s="20"/>
      <c r="F96" s="20"/>
      <c r="G96" s="146" t="s">
        <v>99</v>
      </c>
      <c r="H96" s="147"/>
      <c r="I96" s="147"/>
      <c r="J96" s="147"/>
      <c r="K96" s="147"/>
      <c r="L96" s="148"/>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20"/>
      <c r="F97" s="20"/>
      <c r="G97" s="146" t="s">
        <v>101</v>
      </c>
      <c r="H97" s="147"/>
      <c r="I97" s="147"/>
      <c r="J97" s="147"/>
      <c r="K97" s="147"/>
      <c r="L97" s="148"/>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20"/>
      <c r="F98" s="20"/>
      <c r="G98" s="146" t="s">
        <v>101</v>
      </c>
      <c r="H98" s="147"/>
      <c r="I98" s="147"/>
      <c r="J98" s="147"/>
      <c r="K98" s="147"/>
      <c r="L98" s="148"/>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20"/>
      <c r="F99" s="20"/>
      <c r="G99" s="146" t="s">
        <v>101</v>
      </c>
      <c r="H99" s="147"/>
      <c r="I99" s="147"/>
      <c r="J99" s="147"/>
      <c r="K99" s="147"/>
      <c r="L99" s="148"/>
      <c r="N99" s="3"/>
      <c r="O99" s="3"/>
      <c r="P99" s="3"/>
      <c r="Q99" s="3"/>
      <c r="R99" s="3"/>
      <c r="S99" s="3"/>
      <c r="T99" s="3"/>
      <c r="U99" s="3"/>
      <c r="V99" s="3"/>
      <c r="W99" s="3"/>
      <c r="X99" s="3"/>
      <c r="Y99" s="3"/>
      <c r="Z99" s="3"/>
      <c r="AA99" s="3"/>
      <c r="AB99" s="3"/>
    </row>
    <row r="100" spans="1:28" ht="14" x14ac:dyDescent="0.2">
      <c r="A100" s="18" t="s">
        <v>103</v>
      </c>
      <c r="B100" s="151"/>
      <c r="C100" s="148"/>
      <c r="D100" s="19" t="s">
        <v>77</v>
      </c>
      <c r="E100" s="20"/>
      <c r="F100" s="20"/>
      <c r="G100" s="146" t="s">
        <v>104</v>
      </c>
      <c r="H100" s="147"/>
      <c r="I100" s="147"/>
      <c r="J100" s="147"/>
      <c r="K100" s="147"/>
      <c r="L100" s="148"/>
      <c r="N100" s="3"/>
      <c r="O100" s="3"/>
      <c r="P100" s="3"/>
      <c r="Q100" s="3"/>
      <c r="R100" s="3"/>
      <c r="S100" s="3"/>
      <c r="T100" s="3"/>
      <c r="U100" s="3"/>
      <c r="V100" s="3"/>
      <c r="W100" s="3"/>
      <c r="X100" s="3"/>
      <c r="Y100" s="3"/>
      <c r="Z100" s="3"/>
      <c r="AA100" s="3"/>
      <c r="AB100" s="3"/>
    </row>
    <row r="101" spans="1:28" ht="14" x14ac:dyDescent="0.2">
      <c r="A101" s="3"/>
      <c r="B101" s="3"/>
      <c r="C101" s="3"/>
      <c r="D101" s="3"/>
      <c r="E101" s="23">
        <f>SUM(E78:E100)</f>
        <v>0</v>
      </c>
      <c r="F101" s="23">
        <f>SUM(F79:F100)</f>
        <v>3621.65</v>
      </c>
      <c r="G101" s="3"/>
      <c r="H101" s="149"/>
      <c r="I101" s="150"/>
      <c r="J101" s="150"/>
      <c r="K101" s="150"/>
      <c r="L101" s="150"/>
      <c r="N101" s="3"/>
      <c r="O101" s="3"/>
      <c r="P101" s="3"/>
      <c r="Q101" s="3"/>
      <c r="R101" s="3"/>
      <c r="S101" s="3"/>
      <c r="T101" s="3"/>
      <c r="U101" s="3"/>
      <c r="V101" s="3"/>
      <c r="W101" s="3"/>
      <c r="X101" s="3"/>
      <c r="Y101" s="3"/>
      <c r="Z101" s="3"/>
      <c r="AA101" s="3"/>
      <c r="AB101" s="3"/>
    </row>
    <row r="102" spans="1:28"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sheetData>
  <mergeCells count="48">
    <mergeCell ref="B77:C77"/>
    <mergeCell ref="G77:L77"/>
    <mergeCell ref="B78:C78"/>
    <mergeCell ref="G78:L78"/>
    <mergeCell ref="B79:C79"/>
    <mergeCell ref="G79:L79"/>
    <mergeCell ref="G88:L88"/>
    <mergeCell ref="G80:L80"/>
    <mergeCell ref="B80:C80"/>
    <mergeCell ref="B81:C81"/>
    <mergeCell ref="B86:C86"/>
    <mergeCell ref="B84:C84"/>
    <mergeCell ref="B87:C87"/>
    <mergeCell ref="G81:L81"/>
    <mergeCell ref="G82:L82"/>
    <mergeCell ref="G84:L84"/>
    <mergeCell ref="G85:L85"/>
    <mergeCell ref="G86:L86"/>
    <mergeCell ref="G87:L87"/>
    <mergeCell ref="B83:C83"/>
    <mergeCell ref="B82:C82"/>
    <mergeCell ref="B85:C85"/>
    <mergeCell ref="B99:C99"/>
    <mergeCell ref="B100:C100"/>
    <mergeCell ref="B88:C88"/>
    <mergeCell ref="B89:C89"/>
    <mergeCell ref="B90:C90"/>
    <mergeCell ref="B91:C91"/>
    <mergeCell ref="B92:C92"/>
    <mergeCell ref="B93:C93"/>
    <mergeCell ref="B94:C94"/>
    <mergeCell ref="B95:C95"/>
    <mergeCell ref="B96:C96"/>
    <mergeCell ref="B97:C97"/>
    <mergeCell ref="B98:C98"/>
    <mergeCell ref="G99:L99"/>
    <mergeCell ref="G100:L100"/>
    <mergeCell ref="H101:L101"/>
    <mergeCell ref="G89:L89"/>
    <mergeCell ref="G90:L90"/>
    <mergeCell ref="G91:L91"/>
    <mergeCell ref="G92:L92"/>
    <mergeCell ref="G93:L93"/>
    <mergeCell ref="G94:L94"/>
    <mergeCell ref="G95:L95"/>
    <mergeCell ref="G96:L96"/>
    <mergeCell ref="G97:L97"/>
    <mergeCell ref="G98:L98"/>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89A-ABF9-9147-86C4-336253E3EEC4}">
  <sheetPr>
    <outlinePr summaryBelow="0" summaryRight="0"/>
    <pageSetUpPr fitToPage="1"/>
  </sheetPr>
  <dimension ref="A1:AB1045"/>
  <sheetViews>
    <sheetView topLeftCell="A23"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45474</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SUM(32*8.5)*22</f>
        <v>5984</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T13+J57+G72</f>
        <v>6356.8600000000006</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372.86000000000058</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56</v>
      </c>
      <c r="D13" s="3">
        <v>414.9</v>
      </c>
      <c r="E13" s="3"/>
      <c r="F13" s="3">
        <v>57.25</v>
      </c>
      <c r="G13" s="3">
        <v>225.97</v>
      </c>
      <c r="H13" s="3">
        <v>27</v>
      </c>
      <c r="I13" s="3">
        <v>13.62</v>
      </c>
      <c r="J13" s="3">
        <v>5</v>
      </c>
      <c r="K13" s="3">
        <v>29.5</v>
      </c>
      <c r="L13" s="3">
        <v>14.33</v>
      </c>
      <c r="M13" s="3">
        <v>17.5</v>
      </c>
      <c r="N13" s="3">
        <v>29.14</v>
      </c>
      <c r="O13" s="3">
        <v>455.34</v>
      </c>
      <c r="P13" s="3">
        <v>516</v>
      </c>
      <c r="Q13" s="3"/>
      <c r="R13" s="3">
        <v>16</v>
      </c>
      <c r="S13" s="3">
        <v>189</v>
      </c>
      <c r="T13" s="34">
        <f>SUM(C13:S13)</f>
        <v>2066.5500000000002</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v>2.25</v>
      </c>
      <c r="D17" s="3">
        <v>27.42</v>
      </c>
      <c r="E17" s="3">
        <v>6.5</v>
      </c>
      <c r="F17" s="3"/>
      <c r="G17" s="3">
        <v>2.75</v>
      </c>
      <c r="H17" s="3">
        <v>2.5</v>
      </c>
      <c r="I17" s="3">
        <v>4.28</v>
      </c>
      <c r="J17" s="34">
        <f t="shared" ref="J17:J56" si="0">SUM(C17:I17)</f>
        <v>45.7</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76.569999999999993</v>
      </c>
      <c r="D18" s="3">
        <v>36.67</v>
      </c>
      <c r="E18" s="3"/>
      <c r="F18" s="3">
        <v>67.849999999999994</v>
      </c>
      <c r="G18" s="3"/>
      <c r="H18" s="3">
        <v>32.97</v>
      </c>
      <c r="I18" s="3"/>
      <c r="J18" s="34">
        <f t="shared" si="0"/>
        <v>214.05999999999997</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92</v>
      </c>
      <c r="D20" s="3">
        <v>23.75</v>
      </c>
      <c r="E20" s="3">
        <v>6.5</v>
      </c>
      <c r="F20" s="3">
        <v>1.25</v>
      </c>
      <c r="G20" s="3"/>
      <c r="H20" s="3">
        <v>0.5</v>
      </c>
      <c r="I20" s="3"/>
      <c r="J20" s="34">
        <f t="shared" si="0"/>
        <v>124</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107.84</v>
      </c>
      <c r="D21" s="3">
        <v>64</v>
      </c>
      <c r="E21" s="3">
        <v>160.75</v>
      </c>
      <c r="F21" s="3">
        <v>3</v>
      </c>
      <c r="G21" s="3"/>
      <c r="H21" s="3">
        <v>2.5</v>
      </c>
      <c r="I21" s="3">
        <v>13.75</v>
      </c>
      <c r="J21" s="34">
        <f t="shared" si="0"/>
        <v>351.84000000000003</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26.67</v>
      </c>
      <c r="D22" s="3">
        <v>34.75</v>
      </c>
      <c r="E22" s="3">
        <v>3.75</v>
      </c>
      <c r="F22" s="3">
        <v>56.42</v>
      </c>
      <c r="G22" s="3">
        <v>10</v>
      </c>
      <c r="H22" s="3">
        <v>15.25</v>
      </c>
      <c r="I22" s="3">
        <v>3</v>
      </c>
      <c r="J22" s="34">
        <f t="shared" si="0"/>
        <v>149.84</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690.11</v>
      </c>
      <c r="D25" s="3">
        <v>360.12</v>
      </c>
      <c r="E25" s="3">
        <v>340.92</v>
      </c>
      <c r="F25" s="3">
        <v>60.41</v>
      </c>
      <c r="G25" s="3">
        <v>188.23</v>
      </c>
      <c r="H25" s="3">
        <v>79.5</v>
      </c>
      <c r="I25" s="3">
        <v>99</v>
      </c>
      <c r="J25" s="34">
        <f t="shared" si="0"/>
        <v>1818.2900000000002</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c r="D28" s="3">
        <v>22.75</v>
      </c>
      <c r="E28" s="3"/>
      <c r="F28" s="3">
        <v>10.75</v>
      </c>
      <c r="G28" s="3"/>
      <c r="H28" s="3">
        <v>15.5</v>
      </c>
      <c r="I28" s="3"/>
      <c r="J28" s="34">
        <f t="shared" si="0"/>
        <v>49</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8.25</v>
      </c>
      <c r="E30" s="3"/>
      <c r="F30" s="3">
        <v>5</v>
      </c>
      <c r="G30" s="3">
        <v>0.5</v>
      </c>
      <c r="H30" s="3"/>
      <c r="I30" s="3"/>
      <c r="J30" s="34">
        <f t="shared" si="0"/>
        <v>13.75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47.5</v>
      </c>
      <c r="E31" s="3"/>
      <c r="F31" s="3">
        <v>30.5</v>
      </c>
      <c r="G31" s="3"/>
      <c r="H31" s="3">
        <v>25</v>
      </c>
      <c r="I31" s="3"/>
      <c r="J31" s="34">
        <f t="shared" si="0"/>
        <v>103</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v>10.53</v>
      </c>
      <c r="D32" s="3">
        <v>6.7</v>
      </c>
      <c r="E32" s="3"/>
      <c r="F32" s="3"/>
      <c r="G32" s="3"/>
      <c r="H32" s="3"/>
      <c r="I32" s="3">
        <v>3.58</v>
      </c>
      <c r="J32" s="34">
        <f t="shared" si="0"/>
        <v>20.810000000000002</v>
      </c>
      <c r="K32" s="3"/>
      <c r="L32" s="3"/>
      <c r="M32" s="3"/>
      <c r="N32" s="3"/>
      <c r="O32" s="3"/>
      <c r="P32" s="3"/>
      <c r="Q32" s="3"/>
      <c r="R32" s="3"/>
      <c r="S32" s="3"/>
      <c r="T32" s="3"/>
      <c r="U32" s="3"/>
      <c r="V32" s="3"/>
      <c r="W32" s="3"/>
      <c r="X32" s="3"/>
      <c r="Y32" s="3"/>
      <c r="Z32" s="3"/>
      <c r="AA32" s="3"/>
      <c r="AB32" s="3"/>
    </row>
    <row r="33" spans="1:28" ht="14" x14ac:dyDescent="0.2">
      <c r="A33" s="3" t="s">
        <v>16</v>
      </c>
      <c r="B33" s="3"/>
      <c r="C33" s="3"/>
      <c r="D33" s="3">
        <v>26.5</v>
      </c>
      <c r="E33" s="3"/>
      <c r="F33" s="3">
        <v>31</v>
      </c>
      <c r="G33" s="3"/>
      <c r="H33" s="3"/>
      <c r="I33" s="3"/>
      <c r="J33" s="34">
        <f t="shared" si="0"/>
        <v>57.5</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c r="D39" s="3">
        <v>43.17</v>
      </c>
      <c r="E39" s="3"/>
      <c r="F39" s="3">
        <v>31.25</v>
      </c>
      <c r="G39" s="3"/>
      <c r="H39" s="3">
        <v>45</v>
      </c>
      <c r="I39" s="3"/>
      <c r="J39" s="34">
        <f t="shared" si="0"/>
        <v>119.42</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28.66</v>
      </c>
      <c r="E42" s="3"/>
      <c r="F42" s="3">
        <v>22.92</v>
      </c>
      <c r="G42" s="3"/>
      <c r="H42" s="3"/>
      <c r="I42" s="3"/>
      <c r="J42" s="34">
        <f t="shared" si="0"/>
        <v>51.58</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246.99</v>
      </c>
      <c r="D44" s="3">
        <v>122.64</v>
      </c>
      <c r="E44" s="3">
        <v>14</v>
      </c>
      <c r="F44" s="3">
        <v>13</v>
      </c>
      <c r="G44" s="3"/>
      <c r="H44" s="3">
        <v>13.25</v>
      </c>
      <c r="I44" s="3">
        <v>2.58</v>
      </c>
      <c r="J44" s="34">
        <f t="shared" si="0"/>
        <v>412.46</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197.79</v>
      </c>
      <c r="D45" s="3">
        <v>88.47</v>
      </c>
      <c r="E45" s="3"/>
      <c r="F45" s="3">
        <v>84.85</v>
      </c>
      <c r="G45" s="3"/>
      <c r="H45" s="3"/>
      <c r="I45" s="3">
        <v>8.3000000000000007</v>
      </c>
      <c r="J45" s="34">
        <f t="shared" si="0"/>
        <v>379.41</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6.75</v>
      </c>
      <c r="E52" s="3"/>
      <c r="F52" s="3"/>
      <c r="G52" s="3"/>
      <c r="H52" s="3"/>
      <c r="I52" s="3"/>
      <c r="J52" s="34">
        <f t="shared" si="0"/>
        <v>6.75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129.09</v>
      </c>
      <c r="D53" s="3">
        <v>22.5</v>
      </c>
      <c r="E53" s="3"/>
      <c r="F53" s="3">
        <v>46.75</v>
      </c>
      <c r="G53" s="3"/>
      <c r="H53" s="3">
        <v>25.59</v>
      </c>
      <c r="I53" s="3"/>
      <c r="J53" s="34">
        <f t="shared" si="0"/>
        <v>223.93</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c r="D56" s="3">
        <v>35.75</v>
      </c>
      <c r="E56" s="3"/>
      <c r="F56" s="3">
        <v>16.5</v>
      </c>
      <c r="G56" s="3"/>
      <c r="H56" s="3"/>
      <c r="I56" s="3"/>
      <c r="J56" s="34">
        <f t="shared" si="0"/>
        <v>52.25</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1579.84</v>
      </c>
      <c r="D57" s="1">
        <f t="shared" si="1"/>
        <v>1006.35</v>
      </c>
      <c r="E57" s="1">
        <f t="shared" si="1"/>
        <v>532.42000000000007</v>
      </c>
      <c r="F57" s="1">
        <f t="shared" si="1"/>
        <v>481.44999999999993</v>
      </c>
      <c r="G57" s="1">
        <f t="shared" si="1"/>
        <v>201.48</v>
      </c>
      <c r="H57" s="1">
        <f t="shared" si="1"/>
        <v>257.56</v>
      </c>
      <c r="I57" s="1">
        <f t="shared" si="1"/>
        <v>134.49</v>
      </c>
      <c r="J57" s="34">
        <f>SUM(C57:I57)</f>
        <v>4193.59</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D63" s="3"/>
      <c r="E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1.75</v>
      </c>
      <c r="D64" s="3"/>
      <c r="E64" s="3">
        <v>2.5</v>
      </c>
      <c r="F64" s="3"/>
      <c r="G64" s="1">
        <f t="shared" si="2"/>
        <v>4.25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44.5</v>
      </c>
      <c r="D65" s="3"/>
      <c r="E65" s="3">
        <v>19.5</v>
      </c>
      <c r="F65" s="3"/>
      <c r="G65" s="1">
        <f t="shared" si="2"/>
        <v>64</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14.92</v>
      </c>
      <c r="D67" s="3"/>
      <c r="E67" s="3">
        <v>0.5</v>
      </c>
      <c r="F67" s="3"/>
      <c r="G67" s="1">
        <f t="shared" si="2"/>
        <v>15.42</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3.25</v>
      </c>
      <c r="D68" s="3"/>
      <c r="E68" s="3">
        <v>4.5</v>
      </c>
      <c r="F68" s="3"/>
      <c r="G68" s="1">
        <f t="shared" si="2"/>
        <v>7.75</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v>1.25</v>
      </c>
      <c r="D69" s="3"/>
      <c r="E69" s="3">
        <v>0.3</v>
      </c>
      <c r="F69" s="3"/>
      <c r="G69" s="1">
        <f t="shared" si="2"/>
        <v>1.55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2.75</v>
      </c>
      <c r="D71" s="3"/>
      <c r="E71" s="3">
        <v>1</v>
      </c>
      <c r="F71" s="3"/>
      <c r="G71" s="1">
        <f t="shared" si="2"/>
        <v>3.75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68.42</v>
      </c>
      <c r="D72" s="1">
        <f>SUM(D63:D71)</f>
        <v>0</v>
      </c>
      <c r="E72" s="1">
        <f>SUM(E63:E71)</f>
        <v>28.3</v>
      </c>
      <c r="F72" s="1">
        <f>SUM(F63:F71)</f>
        <v>0</v>
      </c>
      <c r="G72" s="1">
        <f t="shared" si="2"/>
        <v>96.72</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63</v>
      </c>
      <c r="F77" s="14" t="s">
        <v>64</v>
      </c>
      <c r="G77" s="153" t="s">
        <v>65</v>
      </c>
      <c r="H77" s="147"/>
      <c r="I77" s="147"/>
      <c r="J77" s="147"/>
      <c r="K77" s="147"/>
      <c r="L77" s="148"/>
      <c r="N77" s="3"/>
      <c r="O77" s="3"/>
      <c r="P77" s="3"/>
      <c r="Q77" s="3"/>
      <c r="R77" s="3"/>
      <c r="S77" s="3"/>
      <c r="T77" s="3"/>
      <c r="U77" s="3"/>
      <c r="V77" s="3"/>
      <c r="W77" s="3"/>
      <c r="X77" s="3"/>
      <c r="Y77" s="3"/>
      <c r="Z77" s="3"/>
      <c r="AA77" s="3"/>
      <c r="AB77" s="3"/>
    </row>
    <row r="78" spans="1:28" ht="14" x14ac:dyDescent="0.2">
      <c r="A78" s="15"/>
      <c r="B78" s="152"/>
      <c r="C78" s="148"/>
      <c r="D78" s="15"/>
      <c r="E78" s="15"/>
      <c r="F78" s="15"/>
      <c r="G78" s="152"/>
      <c r="H78" s="147"/>
      <c r="I78" s="147"/>
      <c r="J78" s="147"/>
      <c r="K78" s="147"/>
      <c r="L78" s="148"/>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20"/>
      <c r="F79" s="20"/>
      <c r="G79" s="146" t="s">
        <v>69</v>
      </c>
      <c r="H79" s="147"/>
      <c r="I79" s="147"/>
      <c r="J79" s="147"/>
      <c r="K79" s="147"/>
      <c r="L79" s="148"/>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20"/>
      <c r="F80" s="20"/>
      <c r="G80" s="146" t="s">
        <v>69</v>
      </c>
      <c r="H80" s="147"/>
      <c r="I80" s="147"/>
      <c r="J80" s="147"/>
      <c r="K80" s="147"/>
      <c r="L80" s="148"/>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20"/>
      <c r="F81" s="20"/>
      <c r="G81" s="146" t="s">
        <v>69</v>
      </c>
      <c r="H81" s="147"/>
      <c r="I81" s="147"/>
      <c r="J81" s="147"/>
      <c r="K81" s="147"/>
      <c r="L81" s="148"/>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20"/>
      <c r="F82" s="20"/>
      <c r="G82" s="146" t="s">
        <v>69</v>
      </c>
      <c r="H82" s="147"/>
      <c r="I82" s="147"/>
      <c r="J82" s="147"/>
      <c r="K82" s="147"/>
      <c r="L82" s="148"/>
      <c r="N82" s="3"/>
      <c r="O82" s="3"/>
      <c r="P82" s="3"/>
      <c r="Q82" s="3"/>
      <c r="R82" s="3"/>
      <c r="S82" s="3"/>
      <c r="T82" s="3"/>
      <c r="U82" s="3"/>
      <c r="V82" s="3"/>
      <c r="W82" s="3"/>
      <c r="X82" s="3"/>
      <c r="Y82" s="3"/>
      <c r="Z82" s="3"/>
      <c r="AA82" s="3"/>
      <c r="AB82" s="3"/>
    </row>
    <row r="83" spans="1:28" ht="14" x14ac:dyDescent="0.2">
      <c r="A83" s="17" t="s">
        <v>66</v>
      </c>
      <c r="B83" s="146" t="s">
        <v>120</v>
      </c>
      <c r="C83" s="148"/>
      <c r="D83" s="19" t="s">
        <v>77</v>
      </c>
      <c r="E83" s="20"/>
      <c r="F83" s="20"/>
      <c r="G83" s="18"/>
      <c r="H83" s="28"/>
      <c r="I83" s="28"/>
      <c r="J83" s="28"/>
      <c r="K83" s="28"/>
      <c r="L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20"/>
      <c r="F84" s="20"/>
      <c r="G84" s="146" t="s">
        <v>74</v>
      </c>
      <c r="H84" s="147"/>
      <c r="I84" s="147"/>
      <c r="J84" s="147"/>
      <c r="K84" s="147"/>
      <c r="L84" s="148"/>
      <c r="N84" s="3"/>
      <c r="O84" s="3"/>
      <c r="P84" s="3"/>
      <c r="Q84" s="3"/>
      <c r="R84" s="3"/>
      <c r="S84" s="3"/>
      <c r="T84" s="3"/>
      <c r="U84" s="3"/>
      <c r="V84" s="3"/>
      <c r="W84" s="3"/>
      <c r="X84" s="3"/>
      <c r="Y84" s="3"/>
      <c r="Z84" s="3"/>
      <c r="AA84" s="3"/>
      <c r="AB84" s="3"/>
    </row>
    <row r="85" spans="1:28" ht="14" x14ac:dyDescent="0.2">
      <c r="A85" s="15"/>
      <c r="B85" s="152"/>
      <c r="C85" s="148"/>
      <c r="D85" s="15"/>
      <c r="E85" s="22"/>
      <c r="F85" s="22"/>
      <c r="G85" s="152"/>
      <c r="H85" s="147"/>
      <c r="I85" s="147"/>
      <c r="J85" s="147"/>
      <c r="K85" s="147"/>
      <c r="L85" s="148"/>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20"/>
      <c r="F86" s="20">
        <v>57.29</v>
      </c>
      <c r="G86" s="146" t="s">
        <v>78</v>
      </c>
      <c r="H86" s="147"/>
      <c r="I86" s="147"/>
      <c r="J86" s="147"/>
      <c r="K86" s="147"/>
      <c r="L86" s="148"/>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20"/>
      <c r="F87" s="20"/>
      <c r="G87" s="146" t="s">
        <v>80</v>
      </c>
      <c r="H87" s="147"/>
      <c r="I87" s="147"/>
      <c r="J87" s="147"/>
      <c r="K87" s="147"/>
      <c r="L87" s="148"/>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20"/>
      <c r="F88" s="20"/>
      <c r="G88" s="146" t="s">
        <v>82</v>
      </c>
      <c r="H88" s="147"/>
      <c r="I88" s="147"/>
      <c r="J88" s="147"/>
      <c r="K88" s="147"/>
      <c r="L88" s="148"/>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20"/>
      <c r="F89" s="20"/>
      <c r="G89" s="146" t="s">
        <v>84</v>
      </c>
      <c r="H89" s="147"/>
      <c r="I89" s="147"/>
      <c r="J89" s="147"/>
      <c r="K89" s="147"/>
      <c r="L89" s="148"/>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20"/>
      <c r="F90" s="22"/>
      <c r="G90" s="146" t="s">
        <v>86</v>
      </c>
      <c r="H90" s="147"/>
      <c r="I90" s="147"/>
      <c r="J90" s="147"/>
      <c r="K90" s="147"/>
      <c r="L90" s="148"/>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20"/>
      <c r="F91" s="20">
        <v>30474.29</v>
      </c>
      <c r="G91" s="146" t="s">
        <v>89</v>
      </c>
      <c r="H91" s="147"/>
      <c r="I91" s="147"/>
      <c r="J91" s="147"/>
      <c r="K91" s="147"/>
      <c r="L91" s="148"/>
      <c r="N91" s="3"/>
      <c r="O91" s="3"/>
      <c r="P91" s="3"/>
      <c r="Q91" s="3"/>
      <c r="R91" s="3"/>
      <c r="S91" s="3"/>
      <c r="T91" s="3"/>
      <c r="U91" s="3"/>
      <c r="V91" s="3"/>
      <c r="W91" s="3"/>
      <c r="X91" s="3"/>
      <c r="Y91" s="3"/>
      <c r="Z91" s="3"/>
      <c r="AA91" s="3"/>
      <c r="AB91" s="3"/>
    </row>
    <row r="92" spans="1:28" ht="14" x14ac:dyDescent="0.2">
      <c r="A92" s="17" t="s">
        <v>90</v>
      </c>
      <c r="B92" s="146"/>
      <c r="C92" s="148"/>
      <c r="D92" s="19" t="s">
        <v>77</v>
      </c>
      <c r="E92" s="20"/>
      <c r="F92" s="20"/>
      <c r="G92" s="146" t="s">
        <v>91</v>
      </c>
      <c r="H92" s="147"/>
      <c r="I92" s="147"/>
      <c r="J92" s="147"/>
      <c r="K92" s="147"/>
      <c r="L92" s="148"/>
      <c r="N92" s="3"/>
      <c r="O92" s="3"/>
      <c r="P92" s="3"/>
      <c r="Q92" s="3"/>
      <c r="R92" s="3"/>
      <c r="S92" s="3"/>
      <c r="T92" s="3"/>
      <c r="U92" s="3"/>
      <c r="V92" s="3"/>
      <c r="W92" s="3"/>
      <c r="X92" s="3"/>
      <c r="Y92" s="3"/>
      <c r="Z92" s="3"/>
      <c r="AA92" s="3"/>
      <c r="AB92" s="3"/>
    </row>
    <row r="93" spans="1:28" ht="14" x14ac:dyDescent="0.2">
      <c r="A93" s="17" t="s">
        <v>92</v>
      </c>
      <c r="B93" s="146" t="s">
        <v>93</v>
      </c>
      <c r="C93" s="148"/>
      <c r="D93" s="19" t="s">
        <v>77</v>
      </c>
      <c r="E93" s="20"/>
      <c r="F93" s="22">
        <v>500</v>
      </c>
      <c r="G93" s="146" t="s">
        <v>150</v>
      </c>
      <c r="H93" s="147"/>
      <c r="I93" s="147"/>
      <c r="J93" s="147"/>
      <c r="K93" s="147"/>
      <c r="L93" s="148"/>
      <c r="N93" s="3"/>
      <c r="O93" s="3"/>
      <c r="P93" s="3"/>
      <c r="Q93" s="3"/>
      <c r="R93" s="3"/>
      <c r="S93" s="3"/>
      <c r="T93" s="3"/>
      <c r="U93" s="3"/>
      <c r="V93" s="3"/>
      <c r="W93" s="3"/>
      <c r="X93" s="3"/>
      <c r="Y93" s="3"/>
      <c r="Z93" s="3"/>
      <c r="AA93" s="3"/>
      <c r="AB93" s="3"/>
    </row>
    <row r="94" spans="1:28" ht="14" x14ac:dyDescent="0.2">
      <c r="A94" s="17" t="s">
        <v>92</v>
      </c>
      <c r="B94" s="146" t="s">
        <v>95</v>
      </c>
      <c r="C94" s="148"/>
      <c r="D94" s="19" t="s">
        <v>77</v>
      </c>
      <c r="E94" s="20"/>
      <c r="F94" s="22">
        <v>500</v>
      </c>
      <c r="G94" s="146" t="s">
        <v>150</v>
      </c>
      <c r="H94" s="147"/>
      <c r="I94" s="147"/>
      <c r="J94" s="147"/>
      <c r="K94" s="147"/>
      <c r="L94" s="148"/>
      <c r="N94" s="3"/>
      <c r="O94" s="3"/>
      <c r="P94" s="3"/>
      <c r="Q94" s="3"/>
      <c r="R94" s="3"/>
      <c r="S94" s="3"/>
      <c r="T94" s="3"/>
      <c r="U94" s="3"/>
      <c r="V94" s="3"/>
      <c r="W94" s="3"/>
      <c r="X94" s="3"/>
      <c r="Y94" s="3"/>
      <c r="Z94" s="3"/>
      <c r="AA94" s="3"/>
      <c r="AB94" s="3"/>
    </row>
    <row r="95" spans="1:28" ht="14" x14ac:dyDescent="0.2">
      <c r="A95" s="17" t="s">
        <v>92</v>
      </c>
      <c r="B95" s="146" t="s">
        <v>96</v>
      </c>
      <c r="C95" s="148"/>
      <c r="D95" s="19" t="s">
        <v>77</v>
      </c>
      <c r="E95" s="20"/>
      <c r="F95" s="22"/>
      <c r="G95" s="146" t="s">
        <v>94</v>
      </c>
      <c r="H95" s="147"/>
      <c r="I95" s="147"/>
      <c r="J95" s="147"/>
      <c r="K95" s="147"/>
      <c r="L95" s="148"/>
      <c r="N95" s="3"/>
      <c r="O95" s="3"/>
      <c r="P95" s="3"/>
      <c r="Q95" s="3"/>
      <c r="R95" s="3"/>
      <c r="S95" s="3"/>
      <c r="T95" s="3"/>
      <c r="U95" s="3"/>
      <c r="V95" s="3"/>
      <c r="W95" s="3"/>
      <c r="X95" s="3"/>
      <c r="Y95" s="3"/>
      <c r="Z95" s="3"/>
      <c r="AA95" s="3"/>
      <c r="AB95" s="3"/>
    </row>
    <row r="96" spans="1:28" ht="14" x14ac:dyDescent="0.2">
      <c r="A96" s="17" t="s">
        <v>92</v>
      </c>
      <c r="B96" s="146" t="s">
        <v>97</v>
      </c>
      <c r="C96" s="148"/>
      <c r="D96" s="19" t="s">
        <v>98</v>
      </c>
      <c r="E96" s="20"/>
      <c r="F96" s="20"/>
      <c r="G96" s="146" t="s">
        <v>99</v>
      </c>
      <c r="H96" s="147"/>
      <c r="I96" s="147"/>
      <c r="J96" s="147"/>
      <c r="K96" s="147"/>
      <c r="L96" s="148"/>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20"/>
      <c r="F97" s="20"/>
      <c r="G97" s="146" t="s">
        <v>101</v>
      </c>
      <c r="H97" s="147"/>
      <c r="I97" s="147"/>
      <c r="J97" s="147"/>
      <c r="K97" s="147"/>
      <c r="L97" s="148"/>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20"/>
      <c r="F98" s="20"/>
      <c r="G98" s="146" t="s">
        <v>101</v>
      </c>
      <c r="H98" s="147"/>
      <c r="I98" s="147"/>
      <c r="J98" s="147"/>
      <c r="K98" s="147"/>
      <c r="L98" s="148"/>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20"/>
      <c r="F99" s="20"/>
      <c r="G99" s="146" t="s">
        <v>101</v>
      </c>
      <c r="H99" s="147"/>
      <c r="I99" s="147"/>
      <c r="J99" s="147"/>
      <c r="K99" s="147"/>
      <c r="L99" s="148"/>
      <c r="N99" s="3"/>
      <c r="O99" s="3"/>
      <c r="P99" s="3"/>
      <c r="Q99" s="3"/>
      <c r="R99" s="3"/>
      <c r="S99" s="3"/>
      <c r="T99" s="3"/>
      <c r="U99" s="3"/>
      <c r="V99" s="3"/>
      <c r="W99" s="3"/>
      <c r="X99" s="3"/>
      <c r="Y99" s="3"/>
      <c r="Z99" s="3"/>
      <c r="AA99" s="3"/>
      <c r="AB99" s="3"/>
    </row>
    <row r="100" spans="1:28" ht="14" x14ac:dyDescent="0.2">
      <c r="A100" s="18" t="s">
        <v>103</v>
      </c>
      <c r="B100" s="151"/>
      <c r="C100" s="148"/>
      <c r="D100" s="19" t="s">
        <v>77</v>
      </c>
      <c r="E100" s="20"/>
      <c r="F100" s="20"/>
      <c r="G100" s="146" t="s">
        <v>104</v>
      </c>
      <c r="H100" s="147"/>
      <c r="I100" s="147"/>
      <c r="J100" s="147"/>
      <c r="K100" s="147"/>
      <c r="L100" s="148"/>
      <c r="N100" s="3"/>
      <c r="O100" s="3"/>
      <c r="P100" s="3"/>
      <c r="Q100" s="3"/>
      <c r="R100" s="3"/>
      <c r="S100" s="3"/>
      <c r="T100" s="3"/>
      <c r="U100" s="3"/>
      <c r="V100" s="3"/>
      <c r="W100" s="3"/>
      <c r="X100" s="3"/>
      <c r="Y100" s="3"/>
      <c r="Z100" s="3"/>
      <c r="AA100" s="3"/>
      <c r="AB100" s="3"/>
    </row>
    <row r="101" spans="1:28" ht="14" x14ac:dyDescent="0.2">
      <c r="A101" s="3"/>
      <c r="B101" s="3"/>
      <c r="C101" s="3"/>
      <c r="D101" s="3"/>
      <c r="E101" s="23">
        <f>SUM(E78:E100)</f>
        <v>0</v>
      </c>
      <c r="F101" s="23">
        <f>SUM(F79:F100)</f>
        <v>31531.58</v>
      </c>
      <c r="G101" s="3"/>
      <c r="H101" s="149"/>
      <c r="I101" s="150"/>
      <c r="J101" s="150"/>
      <c r="K101" s="150"/>
      <c r="L101" s="150"/>
      <c r="N101" s="3"/>
      <c r="O101" s="3"/>
      <c r="P101" s="3"/>
      <c r="Q101" s="3"/>
      <c r="R101" s="3"/>
      <c r="S101" s="3"/>
      <c r="T101" s="3"/>
      <c r="U101" s="3"/>
      <c r="V101" s="3"/>
      <c r="W101" s="3"/>
      <c r="X101" s="3"/>
      <c r="Y101" s="3"/>
      <c r="Z101" s="3"/>
      <c r="AA101" s="3"/>
      <c r="AB101" s="3"/>
    </row>
    <row r="102" spans="1:28"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sheetData>
  <mergeCells count="48">
    <mergeCell ref="B77:C77"/>
    <mergeCell ref="G77:L77"/>
    <mergeCell ref="B78:C78"/>
    <mergeCell ref="G78:L78"/>
    <mergeCell ref="B79:C79"/>
    <mergeCell ref="G79:L79"/>
    <mergeCell ref="B86:C86"/>
    <mergeCell ref="G86:L86"/>
    <mergeCell ref="B80:C80"/>
    <mergeCell ref="G80:L80"/>
    <mergeCell ref="B81:C81"/>
    <mergeCell ref="G81:L81"/>
    <mergeCell ref="B82:C82"/>
    <mergeCell ref="G82:L82"/>
    <mergeCell ref="B83:C83"/>
    <mergeCell ref="B84:C84"/>
    <mergeCell ref="G84:L84"/>
    <mergeCell ref="B85:C85"/>
    <mergeCell ref="G85:L85"/>
    <mergeCell ref="B87:C87"/>
    <mergeCell ref="G87:L87"/>
    <mergeCell ref="B88:C88"/>
    <mergeCell ref="G88:L88"/>
    <mergeCell ref="B89:C89"/>
    <mergeCell ref="G89:L89"/>
    <mergeCell ref="B90:C90"/>
    <mergeCell ref="G90:L90"/>
    <mergeCell ref="B91:C91"/>
    <mergeCell ref="G91:L91"/>
    <mergeCell ref="B92:C92"/>
    <mergeCell ref="G92:L92"/>
    <mergeCell ref="B93:C93"/>
    <mergeCell ref="G93:L93"/>
    <mergeCell ref="B94:C94"/>
    <mergeCell ref="G94:L94"/>
    <mergeCell ref="B95:C95"/>
    <mergeCell ref="G95:L95"/>
    <mergeCell ref="B96:C96"/>
    <mergeCell ref="G96:L96"/>
    <mergeCell ref="B97:C97"/>
    <mergeCell ref="G97:L97"/>
    <mergeCell ref="B98:C98"/>
    <mergeCell ref="G98:L98"/>
    <mergeCell ref="B99:C99"/>
    <mergeCell ref="G99:L99"/>
    <mergeCell ref="B100:C100"/>
    <mergeCell ref="G100:L100"/>
    <mergeCell ref="H101:L10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CF347-AEA4-CA42-B002-6517AC1DB7FC}">
  <sheetPr>
    <outlinePr summaryBelow="0" summaryRight="0"/>
    <pageSetUpPr fitToPage="1"/>
  </sheetPr>
  <dimension ref="A1:AB1045"/>
  <sheetViews>
    <sheetView topLeftCell="A24"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45505</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SUM(32*8.5)*22</f>
        <v>5984</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v>6148.68</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164.68000000000029</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16.760000000000002</v>
      </c>
      <c r="D13" s="3">
        <v>351.47</v>
      </c>
      <c r="E13" s="3"/>
      <c r="F13" s="3">
        <v>16.23</v>
      </c>
      <c r="G13" s="3">
        <v>124.84</v>
      </c>
      <c r="H13" s="3">
        <v>3</v>
      </c>
      <c r="I13" s="3">
        <v>7.75</v>
      </c>
      <c r="J13" s="3">
        <v>4.75</v>
      </c>
      <c r="K13" s="3">
        <v>36.75</v>
      </c>
      <c r="L13" s="3"/>
      <c r="M13" s="3">
        <v>11.58</v>
      </c>
      <c r="N13" s="3">
        <v>41.74</v>
      </c>
      <c r="O13" s="3">
        <v>405.26</v>
      </c>
      <c r="P13" s="3">
        <v>812.75</v>
      </c>
      <c r="Q13" s="3">
        <v>256.5</v>
      </c>
      <c r="R13" s="3">
        <v>31.5</v>
      </c>
      <c r="S13" s="3">
        <v>187</v>
      </c>
      <c r="T13" s="34">
        <f>SUM(C13:S13)</f>
        <v>2307.88</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v>0.57999999999999996</v>
      </c>
      <c r="D17" s="3">
        <v>1</v>
      </c>
      <c r="E17" s="3"/>
      <c r="F17" s="3"/>
      <c r="G17" s="3">
        <v>0.5</v>
      </c>
      <c r="H17" s="3"/>
      <c r="I17" s="3"/>
      <c r="J17" s="34">
        <f t="shared" ref="J17:J56" si="0">SUM(C17:I17)</f>
        <v>2.08</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69.72</v>
      </c>
      <c r="D18" s="3">
        <v>44.19</v>
      </c>
      <c r="E18" s="3"/>
      <c r="F18" s="3">
        <v>18.75</v>
      </c>
      <c r="G18" s="3"/>
      <c r="H18" s="3">
        <v>3.17</v>
      </c>
      <c r="I18" s="3"/>
      <c r="J18" s="34">
        <f t="shared" si="0"/>
        <v>135.82999999999998</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21.66</v>
      </c>
      <c r="D20" s="3">
        <v>4.75</v>
      </c>
      <c r="E20" s="3">
        <v>3.5</v>
      </c>
      <c r="F20" s="3"/>
      <c r="G20" s="3"/>
      <c r="H20" s="3"/>
      <c r="I20" s="3">
        <v>0.75</v>
      </c>
      <c r="J20" s="34">
        <f t="shared" si="0"/>
        <v>30.66</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33.42</v>
      </c>
      <c r="D21" s="3">
        <v>6</v>
      </c>
      <c r="E21" s="3">
        <v>1</v>
      </c>
      <c r="F21" s="3">
        <v>0.5</v>
      </c>
      <c r="G21" s="3"/>
      <c r="H21" s="3">
        <v>3.75</v>
      </c>
      <c r="I21" s="3">
        <v>1</v>
      </c>
      <c r="J21" s="34">
        <f t="shared" si="0"/>
        <v>45.67</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121.25</v>
      </c>
      <c r="D22" s="3">
        <v>17</v>
      </c>
      <c r="E22" s="3">
        <v>6.25</v>
      </c>
      <c r="F22" s="3">
        <v>24</v>
      </c>
      <c r="G22" s="3">
        <v>14.75</v>
      </c>
      <c r="H22" s="3">
        <v>12.75</v>
      </c>
      <c r="I22" s="3"/>
      <c r="J22" s="34">
        <f t="shared" si="0"/>
        <v>196</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614.52</v>
      </c>
      <c r="D25" s="3">
        <v>350.75</v>
      </c>
      <c r="E25" s="3">
        <v>211.25</v>
      </c>
      <c r="F25" s="3">
        <v>217.65</v>
      </c>
      <c r="G25" s="3">
        <v>129.34</v>
      </c>
      <c r="H25" s="3">
        <v>19.600000000000001</v>
      </c>
      <c r="I25" s="3">
        <v>9</v>
      </c>
      <c r="J25" s="34">
        <f t="shared" si="0"/>
        <v>1552.11</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0.42</v>
      </c>
      <c r="D28" s="3">
        <v>35.799999999999997</v>
      </c>
      <c r="E28" s="3"/>
      <c r="F28" s="3">
        <v>25</v>
      </c>
      <c r="G28" s="3"/>
      <c r="H28" s="3">
        <v>6.75</v>
      </c>
      <c r="I28" s="3"/>
      <c r="J28" s="34">
        <f t="shared" si="0"/>
        <v>67.97</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2.5</v>
      </c>
      <c r="E30" s="3"/>
      <c r="F30" s="3"/>
      <c r="G30" s="3"/>
      <c r="H30" s="3"/>
      <c r="I30" s="3"/>
      <c r="J30" s="34">
        <f t="shared" si="0"/>
        <v>2.5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24.5</v>
      </c>
      <c r="E31" s="3"/>
      <c r="F31" s="3">
        <v>12.5</v>
      </c>
      <c r="G31" s="3"/>
      <c r="H31" s="3">
        <v>22.75</v>
      </c>
      <c r="I31" s="3"/>
      <c r="J31" s="34">
        <f t="shared" si="0"/>
        <v>59.75</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c r="C33" s="3">
        <v>25.5</v>
      </c>
      <c r="D33" s="3">
        <v>16.75</v>
      </c>
      <c r="E33" s="3"/>
      <c r="F33" s="3">
        <v>2.25</v>
      </c>
      <c r="G33" s="3"/>
      <c r="H33" s="3">
        <v>0.5</v>
      </c>
      <c r="I33" s="3"/>
      <c r="J33" s="34">
        <f t="shared" si="0"/>
        <v>45</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c r="D39" s="3">
        <v>11.25</v>
      </c>
      <c r="E39" s="3"/>
      <c r="F39" s="3">
        <v>5.75</v>
      </c>
      <c r="G39" s="3"/>
      <c r="H39" s="3">
        <v>1</v>
      </c>
      <c r="I39" s="3"/>
      <c r="J39" s="34">
        <f t="shared" si="0"/>
        <v>18</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43.26</v>
      </c>
      <c r="E42" s="3"/>
      <c r="F42" s="3">
        <v>112.66</v>
      </c>
      <c r="G42" s="3"/>
      <c r="H42" s="3"/>
      <c r="I42" s="3"/>
      <c r="J42" s="34">
        <f t="shared" si="0"/>
        <v>155.91999999999999</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v>1</v>
      </c>
      <c r="G43" s="3"/>
      <c r="H43" s="3"/>
      <c r="I43" s="3"/>
      <c r="J43" s="34">
        <f t="shared" si="0"/>
        <v>1</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311.83</v>
      </c>
      <c r="D44" s="3">
        <v>128.96</v>
      </c>
      <c r="E44" s="3">
        <v>25</v>
      </c>
      <c r="F44" s="3">
        <v>44</v>
      </c>
      <c r="G44" s="3"/>
      <c r="H44" s="3">
        <v>22.5</v>
      </c>
      <c r="I44" s="3"/>
      <c r="J44" s="34">
        <f t="shared" si="0"/>
        <v>532.29</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231.86</v>
      </c>
      <c r="D45" s="3">
        <v>146.94999999999999</v>
      </c>
      <c r="E45" s="3"/>
      <c r="F45" s="3">
        <v>83.09</v>
      </c>
      <c r="G45" s="3">
        <v>3.75</v>
      </c>
      <c r="H45" s="3">
        <v>4.75</v>
      </c>
      <c r="I45" s="3">
        <v>12.94</v>
      </c>
      <c r="J45" s="34">
        <f t="shared" si="0"/>
        <v>483.34</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15.5</v>
      </c>
      <c r="E52" s="3"/>
      <c r="F52" s="3">
        <v>6</v>
      </c>
      <c r="G52" s="3"/>
      <c r="H52" s="3"/>
      <c r="I52" s="3"/>
      <c r="J52" s="34">
        <f t="shared" si="0"/>
        <v>21.5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140.01</v>
      </c>
      <c r="D53" s="3">
        <v>37.25</v>
      </c>
      <c r="E53" s="3"/>
      <c r="F53" s="3">
        <v>7</v>
      </c>
      <c r="G53" s="3"/>
      <c r="H53" s="3">
        <v>2</v>
      </c>
      <c r="I53" s="3"/>
      <c r="J53" s="34">
        <f t="shared" si="0"/>
        <v>186.26</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128.16999999999999</v>
      </c>
      <c r="D56" s="3">
        <v>37.5</v>
      </c>
      <c r="E56" s="3"/>
      <c r="F56" s="3">
        <v>34.75</v>
      </c>
      <c r="G56" s="3"/>
      <c r="H56" s="3"/>
      <c r="I56" s="3"/>
      <c r="J56" s="34">
        <f t="shared" si="0"/>
        <v>200.42</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1698.9399999999998</v>
      </c>
      <c r="D57" s="1">
        <f t="shared" si="1"/>
        <v>923.91000000000008</v>
      </c>
      <c r="E57" s="1">
        <f t="shared" si="1"/>
        <v>247</v>
      </c>
      <c r="F57" s="1">
        <f t="shared" si="1"/>
        <v>594.9</v>
      </c>
      <c r="G57" s="1">
        <f t="shared" si="1"/>
        <v>148.34</v>
      </c>
      <c r="H57" s="1">
        <f t="shared" si="1"/>
        <v>99.52000000000001</v>
      </c>
      <c r="I57" s="1">
        <f t="shared" si="1"/>
        <v>23.689999999999998</v>
      </c>
      <c r="J57" s="34">
        <f>SUM(C57:I57)</f>
        <v>3736.3</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D63" s="3"/>
      <c r="E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1.75</v>
      </c>
      <c r="D64" s="3"/>
      <c r="E64" s="3">
        <v>0.75</v>
      </c>
      <c r="F64" s="3"/>
      <c r="G64" s="1">
        <f t="shared" si="2"/>
        <v>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22.85</v>
      </c>
      <c r="D65" s="3"/>
      <c r="E65" s="3">
        <v>21</v>
      </c>
      <c r="F65" s="3"/>
      <c r="G65" s="1">
        <f t="shared" si="2"/>
        <v>43.85</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43.9</v>
      </c>
      <c r="D67" s="3"/>
      <c r="E67" s="3">
        <v>0.25</v>
      </c>
      <c r="F67" s="3"/>
      <c r="G67" s="1">
        <f t="shared" si="2"/>
        <v>44.15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5.75</v>
      </c>
      <c r="D68" s="3"/>
      <c r="E68" s="3">
        <v>2.75</v>
      </c>
      <c r="F68" s="3"/>
      <c r="G68" s="1">
        <f t="shared" si="2"/>
        <v>8.5</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v>0.25</v>
      </c>
      <c r="F69" s="3"/>
      <c r="G69" s="1">
        <f t="shared" si="2"/>
        <v>0.25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5.25</v>
      </c>
      <c r="D71" s="3"/>
      <c r="E71" s="3"/>
      <c r="F71" s="3"/>
      <c r="G71" s="1">
        <f t="shared" si="2"/>
        <v>5.25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79.5</v>
      </c>
      <c r="D72" s="1">
        <f>SUM(D63:D71)</f>
        <v>0</v>
      </c>
      <c r="E72" s="1">
        <f>SUM(E63:E71)</f>
        <v>25</v>
      </c>
      <c r="F72" s="1">
        <f>SUM(F63:F71)</f>
        <v>0</v>
      </c>
      <c r="G72" s="1">
        <f t="shared" si="2"/>
        <v>104.5</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57.52</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19747.75</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3"/>
      <c r="B101" s="3"/>
      <c r="C101" s="3"/>
      <c r="D101" s="3"/>
      <c r="F101" s="23">
        <f>SUM(F78:F100)</f>
        <v>0</v>
      </c>
      <c r="G101" s="23">
        <f>SUM(G79:G100)</f>
        <v>19805.27</v>
      </c>
      <c r="H101" s="3"/>
      <c r="I101" s="3"/>
      <c r="N101" s="3"/>
      <c r="O101" s="3"/>
      <c r="P101" s="3"/>
      <c r="Q101" s="3"/>
      <c r="R101" s="3"/>
      <c r="S101" s="3"/>
      <c r="T101" s="3"/>
      <c r="U101" s="3"/>
      <c r="V101" s="3"/>
      <c r="W101" s="3"/>
      <c r="X101" s="3"/>
      <c r="Y101" s="3"/>
      <c r="Z101" s="3"/>
      <c r="AA101" s="3"/>
      <c r="AB101" s="3"/>
    </row>
    <row r="102" spans="1:28"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sheetData>
  <mergeCells count="24">
    <mergeCell ref="B77:C77"/>
    <mergeCell ref="B78:C78"/>
    <mergeCell ref="B79:C79"/>
    <mergeCell ref="B83:C83"/>
    <mergeCell ref="B84:C84"/>
    <mergeCell ref="B80:C80"/>
    <mergeCell ref="B93:C93"/>
    <mergeCell ref="B94:C94"/>
    <mergeCell ref="B95:C95"/>
    <mergeCell ref="B81:C81"/>
    <mergeCell ref="B82:C82"/>
    <mergeCell ref="B90:C90"/>
    <mergeCell ref="B91:C91"/>
    <mergeCell ref="B88:C88"/>
    <mergeCell ref="B89:C89"/>
    <mergeCell ref="B92:C92"/>
    <mergeCell ref="B87:C87"/>
    <mergeCell ref="B85:C85"/>
    <mergeCell ref="B86:C86"/>
    <mergeCell ref="B99:C99"/>
    <mergeCell ref="B100:C100"/>
    <mergeCell ref="B96:C96"/>
    <mergeCell ref="B97:C97"/>
    <mergeCell ref="B98:C98"/>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259B-2D2F-A34A-ABDC-6911F69AF4B4}">
  <sheetPr>
    <outlinePr summaryBelow="0" summaryRight="0"/>
    <pageSetUpPr fitToPage="1"/>
  </sheetPr>
  <dimension ref="A1:AB1045"/>
  <sheetViews>
    <sheetView topLeftCell="A27"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45536</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SUM(32*8.5)*21</f>
        <v>5712</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v>5949.36</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237.35999999999967</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45.5</v>
      </c>
      <c r="D13" s="3">
        <v>360.73</v>
      </c>
      <c r="E13" s="3"/>
      <c r="F13" s="3">
        <v>22</v>
      </c>
      <c r="G13" s="3">
        <v>129.41999999999999</v>
      </c>
      <c r="H13" s="3">
        <v>5.25</v>
      </c>
      <c r="I13" s="3"/>
      <c r="J13" s="3">
        <v>2</v>
      </c>
      <c r="K13" s="3">
        <v>35.18</v>
      </c>
      <c r="L13" s="3">
        <v>3</v>
      </c>
      <c r="M13" s="3">
        <v>12.25</v>
      </c>
      <c r="N13" s="3">
        <v>55.5</v>
      </c>
      <c r="O13" s="3">
        <v>418</v>
      </c>
      <c r="P13" s="3">
        <v>461.25</v>
      </c>
      <c r="Q13" s="3"/>
      <c r="R13" s="3"/>
      <c r="S13" s="3">
        <v>9.5</v>
      </c>
      <c r="T13" s="34">
        <f>SUM(C13:S13)</f>
        <v>1559.58</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102.82</v>
      </c>
      <c r="D18" s="3">
        <v>39.49</v>
      </c>
      <c r="E18" s="3"/>
      <c r="F18" s="3">
        <v>28.5</v>
      </c>
      <c r="G18" s="3"/>
      <c r="H18" s="3"/>
      <c r="I18" s="3"/>
      <c r="J18" s="34">
        <f t="shared" si="0"/>
        <v>170.81</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40.25</v>
      </c>
      <c r="D20" s="3">
        <v>11</v>
      </c>
      <c r="E20" s="3">
        <v>6.5</v>
      </c>
      <c r="F20" s="3"/>
      <c r="G20" s="3"/>
      <c r="H20" s="3"/>
      <c r="I20" s="3"/>
      <c r="J20" s="34">
        <f t="shared" si="0"/>
        <v>57.75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34.5</v>
      </c>
      <c r="D21" s="3">
        <v>5.75</v>
      </c>
      <c r="E21" s="3">
        <v>0.25</v>
      </c>
      <c r="F21" s="3">
        <v>3</v>
      </c>
      <c r="G21" s="3"/>
      <c r="H21" s="3">
        <v>0.75</v>
      </c>
      <c r="I21" s="3">
        <v>1.25</v>
      </c>
      <c r="J21" s="34">
        <f t="shared" si="0"/>
        <v>45.5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158.84</v>
      </c>
      <c r="D22" s="3">
        <v>19.670000000000002</v>
      </c>
      <c r="E22" s="3">
        <v>1</v>
      </c>
      <c r="F22" s="3">
        <v>57.25</v>
      </c>
      <c r="G22" s="3">
        <v>1</v>
      </c>
      <c r="H22" s="3">
        <v>3.25</v>
      </c>
      <c r="I22" s="3"/>
      <c r="J22" s="34">
        <f t="shared" si="0"/>
        <v>241.01</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728.06</v>
      </c>
      <c r="D25" s="3">
        <v>339.39</v>
      </c>
      <c r="E25" s="3">
        <v>223.51</v>
      </c>
      <c r="F25" s="3">
        <v>115.75</v>
      </c>
      <c r="G25" s="3">
        <v>106.84</v>
      </c>
      <c r="H25" s="3">
        <v>24.5</v>
      </c>
      <c r="I25" s="3"/>
      <c r="J25" s="34">
        <f t="shared" si="0"/>
        <v>1538.0499999999997</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c r="D28" s="3">
        <v>25.09</v>
      </c>
      <c r="E28" s="3"/>
      <c r="F28" s="3">
        <v>11.5</v>
      </c>
      <c r="G28" s="3"/>
      <c r="H28" s="3">
        <v>4</v>
      </c>
      <c r="I28" s="3"/>
      <c r="J28" s="34">
        <f t="shared" si="0"/>
        <v>40.590000000000003</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3</v>
      </c>
      <c r="E30" s="3"/>
      <c r="F30" s="3"/>
      <c r="G30" s="3"/>
      <c r="H30" s="3"/>
      <c r="I30" s="3"/>
      <c r="J30" s="34">
        <f t="shared" si="0"/>
        <v>3</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42.83</v>
      </c>
      <c r="E31" s="3"/>
      <c r="F31" s="3"/>
      <c r="G31" s="3"/>
      <c r="H31" s="3">
        <v>18.75</v>
      </c>
      <c r="I31" s="3"/>
      <c r="J31" s="34">
        <f t="shared" si="0"/>
        <v>61.58</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c r="C33" s="3">
        <v>3.5</v>
      </c>
      <c r="D33" s="3">
        <v>15.5</v>
      </c>
      <c r="E33" s="3"/>
      <c r="F33" s="3">
        <v>2.25</v>
      </c>
      <c r="G33" s="3"/>
      <c r="H33" s="3">
        <v>0.5</v>
      </c>
      <c r="I33" s="3"/>
      <c r="J33" s="34">
        <f t="shared" si="0"/>
        <v>21.75</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c r="D39" s="3">
        <v>34</v>
      </c>
      <c r="E39" s="3"/>
      <c r="F39" s="3">
        <v>13.25</v>
      </c>
      <c r="G39" s="3"/>
      <c r="H39" s="3">
        <v>43</v>
      </c>
      <c r="I39" s="3"/>
      <c r="J39" s="34">
        <f t="shared" si="0"/>
        <v>90.25</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32.75</v>
      </c>
      <c r="E42" s="3"/>
      <c r="F42" s="3">
        <v>60.49</v>
      </c>
      <c r="G42" s="3"/>
      <c r="H42" s="3"/>
      <c r="I42" s="3"/>
      <c r="J42" s="34">
        <f t="shared" si="0"/>
        <v>93.240000000000009</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v>0.5</v>
      </c>
      <c r="G43" s="3"/>
      <c r="H43" s="3"/>
      <c r="I43" s="3"/>
      <c r="J43" s="34">
        <f t="shared" si="0"/>
        <v>0.5</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602.95000000000005</v>
      </c>
      <c r="D44" s="3">
        <v>184.68</v>
      </c>
      <c r="E44" s="3">
        <v>128.5</v>
      </c>
      <c r="F44" s="3">
        <v>59</v>
      </c>
      <c r="G44" s="3"/>
      <c r="H44" s="3">
        <v>17.5</v>
      </c>
      <c r="I44" s="3"/>
      <c r="J44" s="34">
        <f t="shared" si="0"/>
        <v>992.63000000000011</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208.95</v>
      </c>
      <c r="D45" s="3">
        <v>118.06</v>
      </c>
      <c r="E45" s="3"/>
      <c r="F45" s="3">
        <v>100.18</v>
      </c>
      <c r="G45" s="3">
        <v>8.5</v>
      </c>
      <c r="H45" s="3">
        <v>6.5</v>
      </c>
      <c r="I45" s="3">
        <v>6.57</v>
      </c>
      <c r="J45" s="34">
        <f t="shared" si="0"/>
        <v>448.76</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v>5.75</v>
      </c>
      <c r="E50" s="3"/>
      <c r="F50" s="3">
        <v>22.92</v>
      </c>
      <c r="G50" s="3"/>
      <c r="H50" s="3"/>
      <c r="I50" s="3"/>
      <c r="J50" s="34">
        <f t="shared" si="0"/>
        <v>28.67</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v>3.5</v>
      </c>
      <c r="E51" s="3"/>
      <c r="F51" s="3"/>
      <c r="G51" s="3"/>
      <c r="H51" s="3"/>
      <c r="I51" s="3"/>
      <c r="J51" s="34">
        <f t="shared" si="0"/>
        <v>3.5</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26.25</v>
      </c>
      <c r="E52" s="3"/>
      <c r="F52" s="3">
        <v>2.25</v>
      </c>
      <c r="G52" s="3"/>
      <c r="H52" s="3"/>
      <c r="I52" s="3"/>
      <c r="J52" s="34">
        <f t="shared" si="0"/>
        <v>28.5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118.18</v>
      </c>
      <c r="D53" s="3">
        <v>28.5</v>
      </c>
      <c r="E53" s="3"/>
      <c r="F53" s="3">
        <v>2.92</v>
      </c>
      <c r="G53" s="3"/>
      <c r="H53" s="3">
        <v>40</v>
      </c>
      <c r="I53" s="3">
        <v>0.5</v>
      </c>
      <c r="J53" s="34">
        <f t="shared" si="0"/>
        <v>190.1</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54.91</v>
      </c>
      <c r="D56" s="3">
        <v>60.74</v>
      </c>
      <c r="E56" s="3"/>
      <c r="F56" s="3">
        <v>18.75</v>
      </c>
      <c r="G56" s="3"/>
      <c r="H56" s="3"/>
      <c r="I56" s="3"/>
      <c r="J56" s="34">
        <f t="shared" si="0"/>
        <v>134.4</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2052.96</v>
      </c>
      <c r="D57" s="1">
        <f t="shared" si="1"/>
        <v>995.94999999999982</v>
      </c>
      <c r="E57" s="1">
        <f t="shared" si="1"/>
        <v>359.76</v>
      </c>
      <c r="F57" s="1">
        <f t="shared" si="1"/>
        <v>498.51000000000005</v>
      </c>
      <c r="G57" s="1">
        <f t="shared" si="1"/>
        <v>116.34</v>
      </c>
      <c r="H57" s="1">
        <f t="shared" si="1"/>
        <v>158.75</v>
      </c>
      <c r="I57" s="1">
        <f t="shared" si="1"/>
        <v>8.32</v>
      </c>
      <c r="J57" s="34">
        <f>SUM(C57:I57)</f>
        <v>4190.59</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0.5</v>
      </c>
      <c r="D64" s="3"/>
      <c r="E64" s="3">
        <v>1.75</v>
      </c>
      <c r="F64" s="3"/>
      <c r="G64" s="1">
        <f t="shared" si="2"/>
        <v>2.25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127.57</v>
      </c>
      <c r="D65" s="3"/>
      <c r="E65" s="3">
        <v>41.75</v>
      </c>
      <c r="F65" s="3"/>
      <c r="G65" s="1">
        <f t="shared" si="2"/>
        <v>169.32</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15.2</v>
      </c>
      <c r="D67" s="3"/>
      <c r="E67" s="3">
        <v>0.5</v>
      </c>
      <c r="F67" s="3"/>
      <c r="G67" s="1">
        <f t="shared" si="2"/>
        <v>15.7</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3.17</v>
      </c>
      <c r="D68" s="3"/>
      <c r="E68" s="3">
        <v>3</v>
      </c>
      <c r="F68" s="3"/>
      <c r="G68" s="1">
        <f t="shared" si="2"/>
        <v>6.17</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2"/>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4</v>
      </c>
      <c r="D71" s="3"/>
      <c r="E71" s="3">
        <v>1.75</v>
      </c>
      <c r="F71" s="3"/>
      <c r="G71" s="1">
        <f t="shared" si="2"/>
        <v>5.75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150.43999999999997</v>
      </c>
      <c r="D72" s="1">
        <f>SUM(D64:D71)</f>
        <v>0</v>
      </c>
      <c r="E72" s="1">
        <f>SUM(E64:E71)</f>
        <v>48.75</v>
      </c>
      <c r="F72" s="1">
        <f>SUM(F63:F71)</f>
        <v>0</v>
      </c>
      <c r="G72" s="1">
        <f t="shared" si="2"/>
        <v>199.18999999999997</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53.81</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14794.48</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3"/>
      <c r="B101" s="3"/>
      <c r="C101" s="3"/>
      <c r="D101" s="3"/>
      <c r="F101" s="23">
        <f>SUM(F78:F100)</f>
        <v>0</v>
      </c>
      <c r="G101" s="23">
        <f>SUM(G79:G100)</f>
        <v>14848.289999999999</v>
      </c>
      <c r="H101" s="3"/>
      <c r="I101" s="3"/>
      <c r="N101" s="3"/>
      <c r="O101" s="3"/>
      <c r="P101" s="3"/>
      <c r="Q101" s="3"/>
      <c r="R101" s="3"/>
      <c r="S101" s="3"/>
      <c r="T101" s="3"/>
      <c r="U101" s="3"/>
      <c r="V101" s="3"/>
      <c r="W101" s="3"/>
      <c r="X101" s="3"/>
      <c r="Y101" s="3"/>
      <c r="Z101" s="3"/>
      <c r="AA101" s="3"/>
      <c r="AB101" s="3"/>
    </row>
    <row r="102" spans="1:28"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sheetData>
  <mergeCells count="24">
    <mergeCell ref="B82:C82"/>
    <mergeCell ref="B84:C84"/>
    <mergeCell ref="B85:C85"/>
    <mergeCell ref="B86:C86"/>
    <mergeCell ref="B87:C87"/>
    <mergeCell ref="B83:C83"/>
    <mergeCell ref="B77:C77"/>
    <mergeCell ref="B78:C78"/>
    <mergeCell ref="B79:C79"/>
    <mergeCell ref="B80:C80"/>
    <mergeCell ref="B81:C81"/>
    <mergeCell ref="B88:C88"/>
    <mergeCell ref="B97:C97"/>
    <mergeCell ref="B100:C100"/>
    <mergeCell ref="B89:C89"/>
    <mergeCell ref="B90:C90"/>
    <mergeCell ref="B91:C91"/>
    <mergeCell ref="B92:C92"/>
    <mergeCell ref="B93:C93"/>
    <mergeCell ref="B94:C94"/>
    <mergeCell ref="B95:C95"/>
    <mergeCell ref="B96:C96"/>
    <mergeCell ref="B98:C98"/>
    <mergeCell ref="B99:C99"/>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2CA5-13BC-FF43-89D0-BC609532B82F}">
  <sheetPr>
    <outlinePr summaryBelow="0" summaryRight="0"/>
    <pageSetUpPr fitToPage="1"/>
  </sheetPr>
  <dimension ref="A1:AB1045"/>
  <sheetViews>
    <sheetView topLeftCell="A24"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45566</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SUM(32*8.5)*23</f>
        <v>6256</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v>6352.97</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96.970000000000255</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66.25</v>
      </c>
      <c r="D13" s="3">
        <v>386.99</v>
      </c>
      <c r="E13" s="3"/>
      <c r="F13" s="3">
        <v>26.25</v>
      </c>
      <c r="G13" s="3">
        <v>112.92</v>
      </c>
      <c r="H13" s="3">
        <v>21.25</v>
      </c>
      <c r="I13" s="3">
        <v>4.5</v>
      </c>
      <c r="J13" s="3">
        <v>0.5</v>
      </c>
      <c r="K13" s="3">
        <v>27.42</v>
      </c>
      <c r="L13" s="3">
        <v>13.33</v>
      </c>
      <c r="M13" s="3">
        <v>18.5</v>
      </c>
      <c r="N13" s="3">
        <v>36</v>
      </c>
      <c r="O13" s="3">
        <v>455.5</v>
      </c>
      <c r="P13" s="3">
        <v>458.75</v>
      </c>
      <c r="Q13" s="3"/>
      <c r="R13" s="3">
        <v>46.25</v>
      </c>
      <c r="S13" s="3">
        <v>5.5</v>
      </c>
      <c r="T13" s="34">
        <f>SUM(C13:S13)</f>
        <v>1679.9099999999999</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197.81</v>
      </c>
      <c r="D18" s="3">
        <v>31.6</v>
      </c>
      <c r="E18" s="3"/>
      <c r="F18" s="3">
        <v>62.99</v>
      </c>
      <c r="G18" s="3">
        <v>19.5</v>
      </c>
      <c r="H18" s="3">
        <v>2.75</v>
      </c>
      <c r="I18" s="3"/>
      <c r="J18" s="34">
        <f t="shared" si="0"/>
        <v>314.64999999999998</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v>2.5</v>
      </c>
      <c r="E20" s="3"/>
      <c r="F20" s="3"/>
      <c r="G20" s="3"/>
      <c r="H20" s="3"/>
      <c r="I20" s="3"/>
      <c r="J20" s="34">
        <f t="shared" si="0"/>
        <v>2.5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v>1.75</v>
      </c>
      <c r="D21" s="3"/>
      <c r="E21" s="3"/>
      <c r="F21" s="3">
        <v>0.25</v>
      </c>
      <c r="G21" s="3">
        <v>0.25</v>
      </c>
      <c r="H21" s="3"/>
      <c r="I21" s="3"/>
      <c r="J21" s="34">
        <f t="shared" si="0"/>
        <v>2.25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28</v>
      </c>
      <c r="D22" s="3">
        <v>13</v>
      </c>
      <c r="E22" s="3"/>
      <c r="F22" s="3">
        <v>55.25</v>
      </c>
      <c r="G22" s="3"/>
      <c r="H22" s="3">
        <v>4.5</v>
      </c>
      <c r="I22" s="3"/>
      <c r="J22" s="34">
        <f t="shared" si="0"/>
        <v>100.75</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879.41</v>
      </c>
      <c r="D25" s="3">
        <v>365.26</v>
      </c>
      <c r="E25" s="3">
        <v>219.51</v>
      </c>
      <c r="F25" s="3">
        <v>101.34</v>
      </c>
      <c r="G25" s="3">
        <v>103.86</v>
      </c>
      <c r="H25" s="3">
        <v>62</v>
      </c>
      <c r="I25" s="3">
        <v>8.58</v>
      </c>
      <c r="J25" s="34">
        <f t="shared" si="0"/>
        <v>1739.9599999999998</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c r="D28" s="3">
        <v>21.22</v>
      </c>
      <c r="E28" s="3"/>
      <c r="F28" s="3">
        <v>28.5</v>
      </c>
      <c r="G28" s="3"/>
      <c r="H28" s="3"/>
      <c r="I28" s="3"/>
      <c r="J28" s="34">
        <f t="shared" si="0"/>
        <v>49.72</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14.5</v>
      </c>
      <c r="E30" s="3"/>
      <c r="F30" s="3">
        <v>0.5</v>
      </c>
      <c r="G30" s="3">
        <v>6</v>
      </c>
      <c r="H30" s="3"/>
      <c r="I30" s="3"/>
      <c r="J30" s="34">
        <f t="shared" si="0"/>
        <v>21</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29.28</v>
      </c>
      <c r="E31" s="3"/>
      <c r="F31" s="3">
        <v>10.75</v>
      </c>
      <c r="G31" s="3"/>
      <c r="H31" s="3">
        <v>34.25</v>
      </c>
      <c r="I31" s="3"/>
      <c r="J31" s="34">
        <f t="shared" si="0"/>
        <v>74.28</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c r="C33" s="3">
        <v>8.5</v>
      </c>
      <c r="D33" s="3">
        <v>11.5</v>
      </c>
      <c r="E33" s="3"/>
      <c r="F33" s="3"/>
      <c r="G33" s="3">
        <v>3.25</v>
      </c>
      <c r="H33" s="3">
        <v>1.92</v>
      </c>
      <c r="I33" s="3"/>
      <c r="J33" s="34">
        <f t="shared" si="0"/>
        <v>25.17</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v>0.5</v>
      </c>
      <c r="E34" s="3"/>
      <c r="F34" s="3">
        <v>1</v>
      </c>
      <c r="G34" s="3"/>
      <c r="H34" s="3"/>
      <c r="I34" s="3"/>
      <c r="J34" s="34">
        <f t="shared" si="0"/>
        <v>1.5</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v>1</v>
      </c>
      <c r="G35" s="3"/>
      <c r="H35" s="3"/>
      <c r="I35" s="3"/>
      <c r="J35" s="34">
        <f t="shared" si="0"/>
        <v>1</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84.84</v>
      </c>
      <c r="D39" s="3">
        <v>81.86</v>
      </c>
      <c r="E39" s="3"/>
      <c r="F39" s="3">
        <v>5.75</v>
      </c>
      <c r="G39" s="3"/>
      <c r="H39" s="3">
        <v>42.25</v>
      </c>
      <c r="I39" s="3"/>
      <c r="J39" s="34">
        <f t="shared" si="0"/>
        <v>214.7</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21.84</v>
      </c>
      <c r="E42" s="3"/>
      <c r="F42" s="3">
        <v>19.170000000000002</v>
      </c>
      <c r="G42" s="3"/>
      <c r="H42" s="3"/>
      <c r="I42" s="3"/>
      <c r="J42" s="34">
        <f t="shared" si="0"/>
        <v>41.010000000000005</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644.27</v>
      </c>
      <c r="D44" s="3">
        <v>145.84</v>
      </c>
      <c r="E44" s="3">
        <v>124.75</v>
      </c>
      <c r="F44" s="3">
        <v>29.08</v>
      </c>
      <c r="G44" s="3"/>
      <c r="H44" s="3">
        <v>6.25</v>
      </c>
      <c r="I44" s="3"/>
      <c r="J44" s="34">
        <f t="shared" si="0"/>
        <v>950.19</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237.58</v>
      </c>
      <c r="D45" s="3">
        <v>156.13</v>
      </c>
      <c r="E45" s="3"/>
      <c r="F45" s="3">
        <v>87.85</v>
      </c>
      <c r="G45" s="3">
        <v>4.25</v>
      </c>
      <c r="H45" s="3">
        <v>118.75</v>
      </c>
      <c r="I45" s="3">
        <v>8.51</v>
      </c>
      <c r="J45" s="34">
        <f t="shared" si="0"/>
        <v>613.07000000000005</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v>1.75</v>
      </c>
      <c r="E50" s="3"/>
      <c r="F50" s="3">
        <v>5.5</v>
      </c>
      <c r="G50" s="3"/>
      <c r="H50" s="3"/>
      <c r="I50" s="3"/>
      <c r="J50" s="34">
        <f t="shared" si="0"/>
        <v>7.25</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v>25.33</v>
      </c>
      <c r="E51" s="3"/>
      <c r="F51" s="3">
        <v>71.09</v>
      </c>
      <c r="G51" s="3"/>
      <c r="H51" s="3"/>
      <c r="I51" s="3"/>
      <c r="J51" s="34">
        <f t="shared" si="0"/>
        <v>96.42</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2.75</v>
      </c>
      <c r="E52" s="3"/>
      <c r="F52" s="3"/>
      <c r="G52" s="3"/>
      <c r="H52" s="3"/>
      <c r="I52" s="3"/>
      <c r="J52" s="34">
        <f t="shared" si="0"/>
        <v>2.75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22.75</v>
      </c>
      <c r="D53" s="3">
        <v>52</v>
      </c>
      <c r="E53" s="3"/>
      <c r="F53" s="3">
        <v>13.75</v>
      </c>
      <c r="G53" s="3"/>
      <c r="H53" s="3">
        <v>11</v>
      </c>
      <c r="I53" s="3"/>
      <c r="J53" s="34">
        <f t="shared" si="0"/>
        <v>99.5</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183.71</v>
      </c>
      <c r="D56" s="3">
        <v>34.51</v>
      </c>
      <c r="E56" s="3">
        <v>6</v>
      </c>
      <c r="F56" s="3">
        <v>31.75</v>
      </c>
      <c r="G56" s="3"/>
      <c r="H56" s="3"/>
      <c r="I56" s="3">
        <v>0.75</v>
      </c>
      <c r="J56" s="34">
        <f t="shared" si="0"/>
        <v>256.72000000000003</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2288.62</v>
      </c>
      <c r="D57" s="1">
        <f t="shared" si="1"/>
        <v>1011.3700000000001</v>
      </c>
      <c r="E57" s="1">
        <f t="shared" si="1"/>
        <v>350.26</v>
      </c>
      <c r="F57" s="1">
        <f t="shared" si="1"/>
        <v>525.5200000000001</v>
      </c>
      <c r="G57" s="1">
        <f t="shared" si="1"/>
        <v>137.11000000000001</v>
      </c>
      <c r="H57" s="1">
        <f t="shared" si="1"/>
        <v>283.67</v>
      </c>
      <c r="I57" s="1">
        <f t="shared" si="1"/>
        <v>17.84</v>
      </c>
      <c r="J57" s="34">
        <f>SUM(C57:I57)</f>
        <v>4614.3900000000003</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1.75</v>
      </c>
      <c r="D64" s="3"/>
      <c r="E64" s="3">
        <v>1</v>
      </c>
      <c r="F64" s="3"/>
      <c r="G64" s="1">
        <f t="shared" si="2"/>
        <v>2.75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17.87</v>
      </c>
      <c r="D65" s="3"/>
      <c r="E65" s="3">
        <v>6.08</v>
      </c>
      <c r="F65" s="3"/>
      <c r="G65" s="1">
        <f t="shared" si="2"/>
        <v>23.950000000000003</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6.25</v>
      </c>
      <c r="D67" s="3"/>
      <c r="E67" s="3">
        <v>0.5</v>
      </c>
      <c r="F67" s="3"/>
      <c r="G67" s="1">
        <f t="shared" si="2"/>
        <v>6.75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6.63</v>
      </c>
      <c r="D68" s="3"/>
      <c r="E68" s="3">
        <v>10.26</v>
      </c>
      <c r="F68" s="3"/>
      <c r="G68" s="1">
        <f t="shared" si="2"/>
        <v>16.89</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v>0.5</v>
      </c>
      <c r="F69" s="3"/>
      <c r="G69" s="1">
        <f t="shared" si="2"/>
        <v>0.5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4.33</v>
      </c>
      <c r="D71" s="3"/>
      <c r="E71" s="3">
        <v>3.5</v>
      </c>
      <c r="F71" s="3"/>
      <c r="G71" s="1">
        <f t="shared" si="2"/>
        <v>7.83</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36.83</v>
      </c>
      <c r="D72" s="1">
        <f>SUM(D64:D71)</f>
        <v>0</v>
      </c>
      <c r="E72" s="1">
        <f>SUM(E64:E71)</f>
        <v>21.84</v>
      </c>
      <c r="F72" s="1">
        <f>SUM(F63:F71)</f>
        <v>0</v>
      </c>
      <c r="G72" s="1">
        <f t="shared" si="2"/>
        <v>58.67</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56.68</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18054.060000000001</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v>398.97</v>
      </c>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v>396.13</v>
      </c>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3"/>
      <c r="B101" s="3"/>
      <c r="C101" s="3"/>
      <c r="D101" s="3"/>
      <c r="F101" s="23">
        <f>SUM(F78:F100)</f>
        <v>0</v>
      </c>
      <c r="G101" s="23">
        <f>SUM(G79:G100)</f>
        <v>18905.840000000004</v>
      </c>
      <c r="H101" s="3"/>
      <c r="I101" s="3"/>
      <c r="N101" s="3"/>
      <c r="O101" s="3"/>
      <c r="P101" s="3"/>
      <c r="Q101" s="3"/>
      <c r="R101" s="3"/>
      <c r="S101" s="3"/>
      <c r="T101" s="3"/>
      <c r="U101" s="3"/>
      <c r="V101" s="3"/>
      <c r="W101" s="3"/>
      <c r="X101" s="3"/>
      <c r="Y101" s="3"/>
      <c r="Z101" s="3"/>
      <c r="AA101" s="3"/>
      <c r="AB101" s="3"/>
    </row>
    <row r="102" spans="1:28"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sheetData>
  <mergeCells count="24">
    <mergeCell ref="B82:C82"/>
    <mergeCell ref="B84:C84"/>
    <mergeCell ref="B85:C85"/>
    <mergeCell ref="B86:C86"/>
    <mergeCell ref="B87:C87"/>
    <mergeCell ref="B83:C83"/>
    <mergeCell ref="B77:C77"/>
    <mergeCell ref="B78:C78"/>
    <mergeCell ref="B79:C79"/>
    <mergeCell ref="B80:C80"/>
    <mergeCell ref="B81:C81"/>
    <mergeCell ref="B88:C88"/>
    <mergeCell ref="B97:C97"/>
    <mergeCell ref="B100:C100"/>
    <mergeCell ref="B89:C89"/>
    <mergeCell ref="B90:C90"/>
    <mergeCell ref="B91:C91"/>
    <mergeCell ref="B92:C92"/>
    <mergeCell ref="B93:C93"/>
    <mergeCell ref="B94:C94"/>
    <mergeCell ref="B95:C95"/>
    <mergeCell ref="B96:C96"/>
    <mergeCell ref="B98:C98"/>
    <mergeCell ref="B99:C99"/>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4AD4-6706-EB49-AD86-8B12518AF476}">
  <sheetPr>
    <outlinePr summaryBelow="0" summaryRight="0"/>
    <pageSetUpPr fitToPage="1"/>
  </sheetPr>
  <dimension ref="A1:AB1046"/>
  <sheetViews>
    <sheetView topLeftCell="A25"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45597</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SUM(32*8.5)*21</f>
        <v>5712</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v>5957.62</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245.61999999999989</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122.17</v>
      </c>
      <c r="D13" s="3">
        <v>363.35</v>
      </c>
      <c r="E13" s="3"/>
      <c r="F13" s="3">
        <v>24.25</v>
      </c>
      <c r="G13" s="3">
        <v>132.43</v>
      </c>
      <c r="H13" s="3">
        <v>12</v>
      </c>
      <c r="I13" s="3">
        <v>19.25</v>
      </c>
      <c r="J13" s="3">
        <v>4.75</v>
      </c>
      <c r="K13" s="3">
        <v>27.75</v>
      </c>
      <c r="L13" s="3">
        <v>10.5</v>
      </c>
      <c r="M13" s="3">
        <v>11</v>
      </c>
      <c r="N13" s="3">
        <v>31.33</v>
      </c>
      <c r="O13" s="3">
        <v>416.62</v>
      </c>
      <c r="P13" s="3">
        <v>432.75</v>
      </c>
      <c r="Q13" s="3"/>
      <c r="R13" s="3">
        <v>72.569999999999993</v>
      </c>
      <c r="S13" s="3">
        <v>17</v>
      </c>
      <c r="T13" s="34">
        <f>SUM(C13:S13)</f>
        <v>1697.72</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192.69</v>
      </c>
      <c r="D18" s="3">
        <v>41.51</v>
      </c>
      <c r="E18" s="3">
        <v>115.3</v>
      </c>
      <c r="F18" s="3">
        <v>98.59</v>
      </c>
      <c r="G18" s="3">
        <v>21.53</v>
      </c>
      <c r="H18" s="3">
        <v>8</v>
      </c>
      <c r="I18" s="3">
        <v>0.57999999999999996</v>
      </c>
      <c r="J18" s="34">
        <f t="shared" si="0"/>
        <v>478.2</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v>0.75</v>
      </c>
      <c r="I21" s="3"/>
      <c r="J21" s="34">
        <f t="shared" si="0"/>
        <v>0.75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124.17</v>
      </c>
      <c r="D22" s="3">
        <v>6.42</v>
      </c>
      <c r="E22" s="3"/>
      <c r="F22" s="3">
        <v>24.75</v>
      </c>
      <c r="G22" s="3">
        <v>4.25</v>
      </c>
      <c r="H22" s="3">
        <v>0.5</v>
      </c>
      <c r="I22" s="3"/>
      <c r="J22" s="34">
        <f t="shared" si="0"/>
        <v>160.09</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455.45</v>
      </c>
      <c r="D25" s="3">
        <v>320.45</v>
      </c>
      <c r="E25" s="3">
        <v>364.13</v>
      </c>
      <c r="F25" s="3">
        <v>89.25</v>
      </c>
      <c r="G25" s="3">
        <v>55.67</v>
      </c>
      <c r="H25" s="3">
        <v>39.75</v>
      </c>
      <c r="I25" s="3">
        <v>7.92</v>
      </c>
      <c r="J25" s="34">
        <f t="shared" si="0"/>
        <v>1332.6200000000001</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c r="D28" s="3">
        <v>46.42</v>
      </c>
      <c r="E28" s="3"/>
      <c r="F28" s="3">
        <v>47.5</v>
      </c>
      <c r="G28" s="3"/>
      <c r="H28" s="3">
        <v>9.75</v>
      </c>
      <c r="I28" s="3"/>
      <c r="J28" s="34">
        <f t="shared" si="0"/>
        <v>103.67</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4.25</v>
      </c>
      <c r="E30" s="3"/>
      <c r="F30" s="3">
        <v>5</v>
      </c>
      <c r="G30" s="3"/>
      <c r="H30" s="3"/>
      <c r="I30" s="3"/>
      <c r="J30" s="34">
        <f t="shared" si="0"/>
        <v>9.25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20.399999999999999</v>
      </c>
      <c r="E31" s="3"/>
      <c r="F31" s="3">
        <v>8</v>
      </c>
      <c r="G31" s="3"/>
      <c r="H31" s="3">
        <v>46.25</v>
      </c>
      <c r="I31" s="3"/>
      <c r="J31" s="34">
        <f t="shared" si="0"/>
        <v>74.650000000000006</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c r="C33" s="3">
        <v>279.25</v>
      </c>
      <c r="D33" s="3">
        <v>41.75</v>
      </c>
      <c r="E33" s="3"/>
      <c r="F33" s="3">
        <v>7</v>
      </c>
      <c r="G33" s="3">
        <v>13.75</v>
      </c>
      <c r="H33" s="3">
        <v>14.67</v>
      </c>
      <c r="I33" s="3"/>
      <c r="J33" s="34">
        <f t="shared" si="0"/>
        <v>356.42</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119.67</v>
      </c>
      <c r="D39" s="3">
        <v>55.92</v>
      </c>
      <c r="E39" s="3"/>
      <c r="F39" s="3">
        <v>2</v>
      </c>
      <c r="G39" s="3"/>
      <c r="H39" s="3">
        <v>15.75</v>
      </c>
      <c r="I39" s="3"/>
      <c r="J39" s="34">
        <f t="shared" si="0"/>
        <v>193.34</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c r="G40" s="3"/>
      <c r="H40" s="3"/>
      <c r="I40" s="3"/>
      <c r="J40" s="34">
        <f t="shared" si="0"/>
        <v>0</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7.58</v>
      </c>
      <c r="E42" s="3"/>
      <c r="F42" s="3">
        <v>4.5</v>
      </c>
      <c r="G42" s="3"/>
      <c r="H42" s="3"/>
      <c r="I42" s="3"/>
      <c r="J42" s="34">
        <f t="shared" si="0"/>
        <v>12.08</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394.19</v>
      </c>
      <c r="D44" s="3">
        <v>166.33</v>
      </c>
      <c r="E44" s="3">
        <v>48.25</v>
      </c>
      <c r="F44" s="3">
        <v>26.75</v>
      </c>
      <c r="G44" s="3"/>
      <c r="H44" s="3">
        <v>33</v>
      </c>
      <c r="I44" s="3">
        <v>57.42</v>
      </c>
      <c r="J44" s="34">
        <f t="shared" si="0"/>
        <v>725.93999999999994</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346.47</v>
      </c>
      <c r="D45" s="3">
        <v>108.77</v>
      </c>
      <c r="E45" s="3"/>
      <c r="F45" s="3">
        <v>82.68</v>
      </c>
      <c r="G45" s="3">
        <v>0.25</v>
      </c>
      <c r="H45" s="3"/>
      <c r="I45" s="3"/>
      <c r="J45" s="34">
        <f t="shared" si="0"/>
        <v>538.17000000000007</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v>5.5</v>
      </c>
      <c r="E51" s="3"/>
      <c r="F51" s="3">
        <v>10.92</v>
      </c>
      <c r="G51" s="3"/>
      <c r="H51" s="3"/>
      <c r="I51" s="3"/>
      <c r="J51" s="34">
        <f t="shared" si="0"/>
        <v>16.420000000000002</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3.5</v>
      </c>
      <c r="E52" s="3"/>
      <c r="F52" s="3"/>
      <c r="G52" s="3"/>
      <c r="H52" s="3"/>
      <c r="I52" s="3"/>
      <c r="J52" s="34">
        <f t="shared" si="0"/>
        <v>3.5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c r="D53" s="3">
        <v>15.25</v>
      </c>
      <c r="E53" s="3"/>
      <c r="F53" s="3">
        <v>2</v>
      </c>
      <c r="G53" s="3"/>
      <c r="H53" s="3">
        <v>0.5</v>
      </c>
      <c r="I53" s="3"/>
      <c r="J53" s="34">
        <f t="shared" si="0"/>
        <v>17.75</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3.74</v>
      </c>
      <c r="D56" s="3">
        <v>17.329999999999998</v>
      </c>
      <c r="E56" s="3"/>
      <c r="F56" s="3">
        <v>14.75</v>
      </c>
      <c r="G56" s="3"/>
      <c r="H56" s="3"/>
      <c r="I56" s="3"/>
      <c r="J56" s="34">
        <f t="shared" si="0"/>
        <v>35.82</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1915.63</v>
      </c>
      <c r="D57" s="1">
        <f t="shared" si="1"/>
        <v>861.38000000000011</v>
      </c>
      <c r="E57" s="1">
        <f t="shared" si="1"/>
        <v>527.68000000000006</v>
      </c>
      <c r="F57" s="1">
        <f t="shared" si="1"/>
        <v>423.69000000000005</v>
      </c>
      <c r="G57" s="1">
        <f t="shared" si="1"/>
        <v>95.45</v>
      </c>
      <c r="H57" s="1">
        <f t="shared" si="1"/>
        <v>168.92000000000002</v>
      </c>
      <c r="I57" s="1">
        <f t="shared" si="1"/>
        <v>65.92</v>
      </c>
      <c r="J57" s="34">
        <f>SUM(C57:I57)</f>
        <v>4058.6700000000005</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 t="shared" ref="G63:G72" si="2">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c r="D64" s="3"/>
      <c r="E64" s="3">
        <v>0.25</v>
      </c>
      <c r="F64" s="3"/>
      <c r="G64" s="1">
        <f t="shared" si="2"/>
        <v>0.25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134.08000000000001</v>
      </c>
      <c r="D65" s="3"/>
      <c r="E65" s="3">
        <v>23.35</v>
      </c>
      <c r="F65" s="3"/>
      <c r="G65" s="1">
        <f t="shared" si="2"/>
        <v>157.43</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9.75</v>
      </c>
      <c r="D67" s="3"/>
      <c r="E67" s="3">
        <v>13.9</v>
      </c>
      <c r="F67" s="3"/>
      <c r="G67" s="1">
        <f t="shared" si="2"/>
        <v>23.65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4.75</v>
      </c>
      <c r="D68" s="3"/>
      <c r="E68" s="3">
        <v>10.4</v>
      </c>
      <c r="F68" s="3"/>
      <c r="G68" s="1">
        <f t="shared" si="2"/>
        <v>15.15</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v>0.25</v>
      </c>
      <c r="D69" s="3"/>
      <c r="E69" s="3">
        <v>1</v>
      </c>
      <c r="F69" s="3"/>
      <c r="G69" s="1">
        <f t="shared" si="2"/>
        <v>1.25</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1.75</v>
      </c>
      <c r="D71" s="3"/>
      <c r="E71" s="3">
        <v>1.75</v>
      </c>
      <c r="F71" s="3"/>
      <c r="G71" s="1">
        <f t="shared" si="2"/>
        <v>3.5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150.58000000000001</v>
      </c>
      <c r="D72" s="1">
        <f>SUM(D64:D71)</f>
        <v>0</v>
      </c>
      <c r="E72" s="1">
        <f>SUM(E64:E71)</f>
        <v>50.65</v>
      </c>
      <c r="F72" s="1">
        <f>SUM(F63:F71)</f>
        <v>0</v>
      </c>
      <c r="G72" s="1">
        <f t="shared" si="2"/>
        <v>201.23000000000002</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50.88</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16154.4</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24" t="s">
        <v>163</v>
      </c>
      <c r="B101" s="24"/>
      <c r="C101" s="25"/>
      <c r="D101" s="26"/>
      <c r="E101" s="26"/>
      <c r="F101" s="27">
        <v>986</v>
      </c>
      <c r="H101" s="24" t="s">
        <v>164</v>
      </c>
      <c r="I101" s="25"/>
      <c r="J101" s="25"/>
      <c r="K101" s="25"/>
      <c r="L101" s="25"/>
      <c r="M101" s="25"/>
      <c r="N101" s="3"/>
      <c r="O101" s="3"/>
      <c r="P101" s="3"/>
      <c r="Q101" s="3"/>
      <c r="R101" s="3"/>
      <c r="S101" s="3"/>
      <c r="T101" s="3"/>
      <c r="U101" s="3"/>
      <c r="V101" s="3"/>
      <c r="W101" s="3"/>
      <c r="X101" s="3"/>
      <c r="Y101" s="3"/>
      <c r="Z101" s="3"/>
      <c r="AA101" s="3"/>
      <c r="AB101" s="3"/>
    </row>
    <row r="102" spans="1:28" ht="14" x14ac:dyDescent="0.2">
      <c r="A102" s="3"/>
      <c r="B102" s="3"/>
      <c r="C102" s="3"/>
      <c r="D102" s="3"/>
      <c r="F102" s="23">
        <f>SUM(F78:F101)</f>
        <v>986</v>
      </c>
      <c r="G102" s="23">
        <f>SUM(G79:G101)</f>
        <v>16205.279999999999</v>
      </c>
      <c r="H102" s="3"/>
      <c r="I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sheetData>
  <mergeCells count="24">
    <mergeCell ref="B99:C99"/>
    <mergeCell ref="B86:C86"/>
    <mergeCell ref="B87:C87"/>
    <mergeCell ref="B88:C88"/>
    <mergeCell ref="B100:C100"/>
    <mergeCell ref="B89:C89"/>
    <mergeCell ref="B90:C90"/>
    <mergeCell ref="B91:C91"/>
    <mergeCell ref="B92:C92"/>
    <mergeCell ref="B97:C97"/>
    <mergeCell ref="B83:C83"/>
    <mergeCell ref="B84:C84"/>
    <mergeCell ref="B85:C85"/>
    <mergeCell ref="B98:C98"/>
    <mergeCell ref="B82:C82"/>
    <mergeCell ref="B93:C93"/>
    <mergeCell ref="B94:C94"/>
    <mergeCell ref="B95:C95"/>
    <mergeCell ref="B96:C96"/>
    <mergeCell ref="B77:C77"/>
    <mergeCell ref="B78:C78"/>
    <mergeCell ref="B79:C79"/>
    <mergeCell ref="B80:C80"/>
    <mergeCell ref="B81:C8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DC27-F502-1B41-96F2-78723085AD28}">
  <sheetPr>
    <outlinePr summaryBelow="0" summaryRight="0"/>
    <pageSetUpPr fitToPage="1"/>
  </sheetPr>
  <dimension ref="A1:AB1046"/>
  <sheetViews>
    <sheetView topLeftCell="A23"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45627</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SUM(32*8.5)*22</f>
        <v>5984</v>
      </c>
      <c r="C4" s="35" t="s">
        <v>119</v>
      </c>
      <c r="E4" s="3"/>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v>6201.07</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217.06999999999971</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50.53</v>
      </c>
      <c r="D13" s="3">
        <v>341.53</v>
      </c>
      <c r="E13" s="3"/>
      <c r="F13" s="3">
        <v>36.25</v>
      </c>
      <c r="G13" s="3">
        <v>95.83</v>
      </c>
      <c r="H13" s="3">
        <v>3.67</v>
      </c>
      <c r="I13" s="3">
        <v>55.08</v>
      </c>
      <c r="J13" s="3">
        <v>0.75</v>
      </c>
      <c r="K13" s="3">
        <v>15.5</v>
      </c>
      <c r="L13" s="3">
        <v>0.25</v>
      </c>
      <c r="M13" s="3">
        <v>8.25</v>
      </c>
      <c r="N13" s="3">
        <v>18.829999999999998</v>
      </c>
      <c r="O13" s="3">
        <v>356.17</v>
      </c>
      <c r="P13" s="3">
        <v>1634.74</v>
      </c>
      <c r="Q13" s="3">
        <v>534.16</v>
      </c>
      <c r="R13" s="3">
        <v>3.75</v>
      </c>
      <c r="S13" s="3"/>
      <c r="T13" s="34">
        <f>SUM(C13:S13)</f>
        <v>3155.29</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49.95</v>
      </c>
      <c r="D18" s="3">
        <v>24.2</v>
      </c>
      <c r="E18" s="3">
        <v>25.75</v>
      </c>
      <c r="F18" s="3">
        <v>95.43</v>
      </c>
      <c r="G18" s="3">
        <v>9.24</v>
      </c>
      <c r="H18" s="3">
        <v>1.25</v>
      </c>
      <c r="I18" s="3">
        <v>1.93</v>
      </c>
      <c r="J18" s="34">
        <f t="shared" si="0"/>
        <v>207.75000000000003</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125.43</v>
      </c>
      <c r="D22" s="3">
        <v>18.5</v>
      </c>
      <c r="E22" s="3"/>
      <c r="F22" s="3">
        <v>31.75</v>
      </c>
      <c r="G22" s="3"/>
      <c r="H22" s="3">
        <v>1.25</v>
      </c>
      <c r="I22" s="3"/>
      <c r="J22" s="34">
        <f t="shared" si="0"/>
        <v>176.93</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175.93</v>
      </c>
      <c r="D25" s="3">
        <v>256.08</v>
      </c>
      <c r="E25" s="3">
        <v>99.5</v>
      </c>
      <c r="F25" s="3">
        <v>117.25</v>
      </c>
      <c r="G25" s="3">
        <v>25.67</v>
      </c>
      <c r="H25" s="3">
        <v>5</v>
      </c>
      <c r="I25" s="3">
        <v>3</v>
      </c>
      <c r="J25" s="34">
        <f t="shared" si="0"/>
        <v>682.43</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129.5</v>
      </c>
      <c r="D28" s="3">
        <v>80.92</v>
      </c>
      <c r="E28" s="3"/>
      <c r="F28" s="3">
        <v>42.75</v>
      </c>
      <c r="G28" s="3"/>
      <c r="H28" s="3">
        <v>27.75</v>
      </c>
      <c r="I28" s="3"/>
      <c r="J28" s="34">
        <f t="shared" si="0"/>
        <v>280.92</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1.75</v>
      </c>
      <c r="E30" s="3"/>
      <c r="F30" s="3"/>
      <c r="G30" s="3"/>
      <c r="H30" s="3"/>
      <c r="I30" s="3"/>
      <c r="J30" s="34">
        <f t="shared" si="0"/>
        <v>1.75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7.25</v>
      </c>
      <c r="E31" s="3"/>
      <c r="F31" s="3"/>
      <c r="G31" s="3"/>
      <c r="H31" s="3">
        <v>8.25</v>
      </c>
      <c r="I31" s="3"/>
      <c r="J31" s="34">
        <f t="shared" si="0"/>
        <v>15.5</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c r="C33" s="3">
        <v>185.5</v>
      </c>
      <c r="D33" s="3">
        <v>37.75</v>
      </c>
      <c r="E33" s="3"/>
      <c r="F33" s="3">
        <v>1</v>
      </c>
      <c r="G33" s="3">
        <v>27.67</v>
      </c>
      <c r="H33" s="3">
        <v>6.17</v>
      </c>
      <c r="I33" s="3"/>
      <c r="J33" s="34">
        <f t="shared" si="0"/>
        <v>258.09000000000003</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v>1</v>
      </c>
      <c r="E35" s="3"/>
      <c r="F35" s="3"/>
      <c r="G35" s="3"/>
      <c r="H35" s="3"/>
      <c r="I35" s="3"/>
      <c r="J35" s="34">
        <f t="shared" si="0"/>
        <v>1</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100.5</v>
      </c>
      <c r="D39" s="3">
        <v>50</v>
      </c>
      <c r="E39" s="3"/>
      <c r="F39" s="3">
        <v>20.75</v>
      </c>
      <c r="G39" s="3"/>
      <c r="H39" s="3">
        <v>42.08</v>
      </c>
      <c r="I39" s="3"/>
      <c r="J39" s="34">
        <f t="shared" si="0"/>
        <v>213.32999999999998</v>
      </c>
      <c r="K39" s="3"/>
      <c r="L39" s="3"/>
      <c r="M39" s="3"/>
      <c r="N39" s="3"/>
      <c r="O39" s="3"/>
      <c r="P39" s="3"/>
      <c r="Q39" s="3"/>
      <c r="R39" s="3"/>
      <c r="S39" s="3"/>
      <c r="T39" s="3"/>
      <c r="U39" s="3"/>
      <c r="V39" s="3"/>
      <c r="W39" s="3"/>
      <c r="X39" s="3"/>
      <c r="Y39" s="3"/>
      <c r="Z39" s="3"/>
      <c r="AA39" s="3"/>
      <c r="AB39" s="3"/>
    </row>
    <row r="40" spans="1:28" ht="14" x14ac:dyDescent="0.2">
      <c r="A40" s="3" t="s">
        <v>165</v>
      </c>
      <c r="B40" s="3"/>
      <c r="C40" s="3"/>
      <c r="D40" s="3"/>
      <c r="E40" s="3"/>
      <c r="F40" s="3">
        <v>15.5</v>
      </c>
      <c r="G40" s="3"/>
      <c r="H40" s="3"/>
      <c r="I40" s="3"/>
      <c r="J40" s="34">
        <f t="shared" si="0"/>
        <v>15.5</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c r="G42" s="3"/>
      <c r="H42" s="3"/>
      <c r="I42" s="3"/>
      <c r="J42" s="34">
        <f t="shared" si="0"/>
        <v>0</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272.19</v>
      </c>
      <c r="D44" s="3">
        <v>118.71</v>
      </c>
      <c r="E44" s="3">
        <v>183.5</v>
      </c>
      <c r="F44" s="3">
        <v>34</v>
      </c>
      <c r="G44" s="3"/>
      <c r="H44" s="3">
        <v>8.75</v>
      </c>
      <c r="I44" s="3"/>
      <c r="J44" s="34">
        <f t="shared" si="0"/>
        <v>617.15</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138.86000000000001</v>
      </c>
      <c r="D45" s="3">
        <v>57.87</v>
      </c>
      <c r="E45" s="3"/>
      <c r="F45" s="3">
        <v>79.180000000000007</v>
      </c>
      <c r="G45" s="3"/>
      <c r="H45" s="3">
        <v>0.57999999999999996</v>
      </c>
      <c r="I45" s="3"/>
      <c r="J45" s="34">
        <f t="shared" si="0"/>
        <v>276.49</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24</v>
      </c>
      <c r="E52" s="3"/>
      <c r="F52" s="3">
        <v>0.5</v>
      </c>
      <c r="G52" s="3"/>
      <c r="H52" s="3">
        <v>6.5</v>
      </c>
      <c r="I52" s="3"/>
      <c r="J52" s="34">
        <f t="shared" si="0"/>
        <v>31</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c r="D53" s="3">
        <v>7.25</v>
      </c>
      <c r="E53" s="3"/>
      <c r="F53" s="3"/>
      <c r="G53" s="3"/>
      <c r="H53" s="3"/>
      <c r="I53" s="3"/>
      <c r="J53" s="34">
        <f t="shared" si="0"/>
        <v>7.25</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22</v>
      </c>
      <c r="D56" s="3">
        <v>31.91</v>
      </c>
      <c r="E56" s="3"/>
      <c r="F56" s="3">
        <v>0.5</v>
      </c>
      <c r="G56" s="3"/>
      <c r="H56" s="3"/>
      <c r="I56" s="3"/>
      <c r="J56" s="34">
        <f t="shared" si="0"/>
        <v>54.41</v>
      </c>
      <c r="K56" s="3"/>
      <c r="L56" s="3"/>
      <c r="M56" s="3"/>
      <c r="N56" s="3"/>
      <c r="O56" s="3"/>
      <c r="P56" s="3"/>
      <c r="Q56" s="3"/>
      <c r="R56" s="3"/>
      <c r="S56" s="3"/>
      <c r="T56" s="3"/>
      <c r="U56" s="3"/>
      <c r="V56" s="3"/>
      <c r="W56" s="3"/>
      <c r="X56" s="3"/>
      <c r="Y56" s="3"/>
      <c r="Z56" s="3"/>
      <c r="AA56" s="3"/>
      <c r="AB56" s="3"/>
    </row>
    <row r="57" spans="1:28" ht="14" x14ac:dyDescent="0.2">
      <c r="A57" s="3"/>
      <c r="B57" s="1"/>
      <c r="C57" s="1">
        <f t="shared" ref="C57:I57" si="1">SUM(C17:C56)</f>
        <v>1199.8600000000001</v>
      </c>
      <c r="D57" s="1">
        <f t="shared" si="1"/>
        <v>717.18999999999994</v>
      </c>
      <c r="E57" s="1">
        <f t="shared" si="1"/>
        <v>308.75</v>
      </c>
      <c r="F57" s="1">
        <f t="shared" si="1"/>
        <v>438.61</v>
      </c>
      <c r="G57" s="1">
        <f t="shared" si="1"/>
        <v>62.580000000000005</v>
      </c>
      <c r="H57" s="1">
        <f t="shared" si="1"/>
        <v>107.58</v>
      </c>
      <c r="I57" s="1">
        <f t="shared" si="1"/>
        <v>4.93</v>
      </c>
      <c r="J57" s="34">
        <f>SUM(C57:I57)</f>
        <v>2839.5</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c r="D64" s="3"/>
      <c r="E64" s="3"/>
      <c r="F64" s="3"/>
      <c r="G64" s="1">
        <f t="shared" ref="G64:G71" si="2">SUM(C64:F64)</f>
        <v>0</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118.84</v>
      </c>
      <c r="D65" s="3"/>
      <c r="E65" s="3">
        <v>27.45</v>
      </c>
      <c r="F65" s="3"/>
      <c r="G65" s="1">
        <f t="shared" si="2"/>
        <v>146.29</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20.65</v>
      </c>
      <c r="D67" s="3"/>
      <c r="E67" s="3">
        <v>19.5</v>
      </c>
      <c r="F67" s="3"/>
      <c r="G67" s="1">
        <f t="shared" si="2"/>
        <v>40.15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4.17</v>
      </c>
      <c r="D68" s="3"/>
      <c r="E68" s="3">
        <v>2.17</v>
      </c>
      <c r="F68" s="3"/>
      <c r="G68" s="1">
        <f t="shared" si="2"/>
        <v>6.34</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v>2.1</v>
      </c>
      <c r="F69" s="3"/>
      <c r="G69" s="1">
        <f t="shared" si="2"/>
        <v>2.1</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10.15</v>
      </c>
      <c r="D71" s="3"/>
      <c r="E71" s="3">
        <v>1.25</v>
      </c>
      <c r="F71" s="3"/>
      <c r="G71" s="1">
        <f t="shared" si="2"/>
        <v>11.4</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153.81</v>
      </c>
      <c r="D72" s="1">
        <f>SUM(D64:D71)</f>
        <v>0</v>
      </c>
      <c r="E72" s="1">
        <f>SUM(E64:E71)</f>
        <v>52.470000000000006</v>
      </c>
      <c r="F72" s="1">
        <f>SUM(F63:F71)</f>
        <v>0</v>
      </c>
      <c r="G72" s="1">
        <f>SUM(C72:F72)</f>
        <v>206.28</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57.57</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16772.330000000002</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v>302.27999999999997</v>
      </c>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24" t="s">
        <v>163</v>
      </c>
      <c r="B101" s="24"/>
      <c r="C101" s="25"/>
      <c r="D101" s="19" t="s">
        <v>77</v>
      </c>
      <c r="E101" s="39" t="s">
        <v>155</v>
      </c>
      <c r="F101" s="27"/>
      <c r="H101" s="24" t="s">
        <v>164</v>
      </c>
      <c r="I101" s="25"/>
      <c r="J101" s="25"/>
      <c r="K101" s="25"/>
      <c r="L101" s="25"/>
      <c r="M101" s="25"/>
      <c r="N101" s="3"/>
      <c r="O101" s="3"/>
      <c r="P101" s="3"/>
      <c r="Q101" s="3"/>
      <c r="R101" s="3"/>
      <c r="S101" s="3"/>
      <c r="T101" s="3"/>
      <c r="U101" s="3"/>
      <c r="V101" s="3"/>
      <c r="W101" s="3"/>
      <c r="X101" s="3"/>
      <c r="Y101" s="3"/>
      <c r="Z101" s="3"/>
      <c r="AA101" s="3"/>
      <c r="AB101" s="3"/>
    </row>
    <row r="102" spans="1:28" ht="14" x14ac:dyDescent="0.2">
      <c r="A102" s="3"/>
      <c r="B102" s="3"/>
      <c r="C102" s="3"/>
      <c r="D102" s="3"/>
      <c r="F102" s="23">
        <f>SUM(F78:F101)</f>
        <v>302.27999999999997</v>
      </c>
      <c r="G102" s="23">
        <f>SUM(G79:G101)</f>
        <v>16829.900000000001</v>
      </c>
      <c r="H102" s="3"/>
      <c r="I102" s="3"/>
      <c r="N102" s="3"/>
      <c r="O102" s="3"/>
      <c r="P102" s="3"/>
      <c r="Q102" s="3"/>
      <c r="R102" s="3"/>
      <c r="S102" s="3"/>
      <c r="T102" s="3"/>
      <c r="U102" s="3"/>
      <c r="V102" s="3"/>
      <c r="W102" s="3"/>
      <c r="X102" s="3"/>
      <c r="Y102" s="3"/>
      <c r="Z102" s="3"/>
      <c r="AA102" s="3"/>
      <c r="AB102" s="3"/>
    </row>
    <row r="103" spans="1:28"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sheetData>
  <mergeCells count="24">
    <mergeCell ref="B99:C99"/>
    <mergeCell ref="B86:C86"/>
    <mergeCell ref="B87:C87"/>
    <mergeCell ref="B88:C88"/>
    <mergeCell ref="B100:C100"/>
    <mergeCell ref="B89:C89"/>
    <mergeCell ref="B90:C90"/>
    <mergeCell ref="B91:C91"/>
    <mergeCell ref="B92:C92"/>
    <mergeCell ref="B97:C97"/>
    <mergeCell ref="B83:C83"/>
    <mergeCell ref="B84:C84"/>
    <mergeCell ref="B85:C85"/>
    <mergeCell ref="B98:C98"/>
    <mergeCell ref="B82:C82"/>
    <mergeCell ref="B93:C93"/>
    <mergeCell ref="B94:C94"/>
    <mergeCell ref="B95:C95"/>
    <mergeCell ref="B96:C96"/>
    <mergeCell ref="B77:C77"/>
    <mergeCell ref="B78:C78"/>
    <mergeCell ref="B79:C79"/>
    <mergeCell ref="B80:C80"/>
    <mergeCell ref="B81:C8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9FE5-BDB9-D74A-842B-D5CF6B359E6B}">
  <sheetPr>
    <outlinePr summaryBelow="0" summaryRight="0"/>
    <pageSetUpPr fitToPage="1"/>
  </sheetPr>
  <dimension ref="A1:AB1047"/>
  <sheetViews>
    <sheetView topLeftCell="A16"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45658</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SUM(32*8.5)*23</f>
        <v>6256</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6266.4500000000007</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10.450000000000728</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87.34</v>
      </c>
      <c r="D13" s="3">
        <v>372.81</v>
      </c>
      <c r="E13" s="3"/>
      <c r="F13" s="3">
        <v>34.590000000000003</v>
      </c>
      <c r="G13" s="3">
        <v>126.34</v>
      </c>
      <c r="H13" s="3">
        <v>16.920000000000002</v>
      </c>
      <c r="I13" s="3">
        <v>19.670000000000002</v>
      </c>
      <c r="J13" s="3">
        <v>7</v>
      </c>
      <c r="K13" s="3">
        <v>21.75</v>
      </c>
      <c r="L13" s="3">
        <v>3</v>
      </c>
      <c r="M13" s="3">
        <v>11.25</v>
      </c>
      <c r="N13" s="3">
        <v>26</v>
      </c>
      <c r="O13" s="3">
        <v>502.97</v>
      </c>
      <c r="P13" s="3">
        <v>334.16</v>
      </c>
      <c r="Q13" s="3">
        <v>263.33</v>
      </c>
      <c r="R13" s="3">
        <v>50</v>
      </c>
      <c r="S13" s="3">
        <v>172.25</v>
      </c>
      <c r="T13" s="34">
        <f>SUM(C13:S13)</f>
        <v>2049.38</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131.36000000000001</v>
      </c>
      <c r="D18" s="3">
        <v>19.89</v>
      </c>
      <c r="E18" s="3">
        <v>144.94999999999999</v>
      </c>
      <c r="F18" s="3">
        <v>108.32</v>
      </c>
      <c r="G18" s="3">
        <v>12.42</v>
      </c>
      <c r="H18" s="3"/>
      <c r="I18" s="3"/>
      <c r="J18" s="34">
        <f t="shared" si="0"/>
        <v>416.94</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137.66999999999999</v>
      </c>
      <c r="D22" s="3">
        <v>9.42</v>
      </c>
      <c r="E22" s="3">
        <v>65.25</v>
      </c>
      <c r="F22" s="3">
        <v>16</v>
      </c>
      <c r="G22" s="3"/>
      <c r="H22" s="3">
        <v>4.5</v>
      </c>
      <c r="I22" s="3">
        <v>0.5</v>
      </c>
      <c r="J22" s="34">
        <f t="shared" si="0"/>
        <v>233.33999999999997</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152.28</v>
      </c>
      <c r="D25" s="3">
        <v>339.49</v>
      </c>
      <c r="E25" s="3">
        <v>141</v>
      </c>
      <c r="F25" s="3">
        <v>224.92</v>
      </c>
      <c r="G25" s="3">
        <v>34.69</v>
      </c>
      <c r="H25" s="3">
        <v>32</v>
      </c>
      <c r="I25" s="3">
        <v>0.75</v>
      </c>
      <c r="J25" s="34">
        <f t="shared" si="0"/>
        <v>925.12999999999988</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208.33</v>
      </c>
      <c r="D28" s="3">
        <v>77</v>
      </c>
      <c r="E28" s="3"/>
      <c r="F28" s="3">
        <v>18.5</v>
      </c>
      <c r="G28" s="3"/>
      <c r="H28" s="3">
        <v>3.25</v>
      </c>
      <c r="I28" s="3"/>
      <c r="J28" s="34">
        <f t="shared" si="0"/>
        <v>307.08000000000004</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c r="G29" s="3"/>
      <c r="H29" s="3"/>
      <c r="I29" s="3"/>
      <c r="J29" s="34">
        <f t="shared" si="0"/>
        <v>0</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14</v>
      </c>
      <c r="E30" s="3"/>
      <c r="F30" s="3">
        <v>10.25</v>
      </c>
      <c r="G30" s="3"/>
      <c r="H30" s="3"/>
      <c r="I30" s="3"/>
      <c r="J30" s="34">
        <f t="shared" si="0"/>
        <v>24.25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c r="D31" s="3">
        <v>25.67</v>
      </c>
      <c r="E31" s="3"/>
      <c r="F31" s="3">
        <v>5</v>
      </c>
      <c r="G31" s="3"/>
      <c r="H31" s="3">
        <v>24</v>
      </c>
      <c r="I31" s="3"/>
      <c r="J31" s="34">
        <f t="shared" si="0"/>
        <v>54.67</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324</v>
      </c>
      <c r="D33" s="3">
        <v>19</v>
      </c>
      <c r="E33" s="3"/>
      <c r="F33" s="3">
        <v>2.75</v>
      </c>
      <c r="G33" s="3"/>
      <c r="H33" s="3">
        <v>54.09</v>
      </c>
      <c r="I33" s="3"/>
      <c r="J33" s="34">
        <f t="shared" si="0"/>
        <v>399.84000000000003</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v>1.75</v>
      </c>
      <c r="E34" s="3"/>
      <c r="F34" s="3">
        <v>0.25</v>
      </c>
      <c r="G34" s="3"/>
      <c r="H34" s="3"/>
      <c r="I34" s="3"/>
      <c r="J34" s="34">
        <f t="shared" si="0"/>
        <v>2</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v>3.5</v>
      </c>
      <c r="E35" s="3"/>
      <c r="F35" s="3"/>
      <c r="G35" s="3"/>
      <c r="H35" s="3"/>
      <c r="I35" s="3"/>
      <c r="J35" s="34">
        <f t="shared" si="0"/>
        <v>3.5</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c r="D37" s="3">
        <v>9</v>
      </c>
      <c r="E37" s="3"/>
      <c r="F37" s="3">
        <v>6.75</v>
      </c>
      <c r="G37" s="3"/>
      <c r="H37" s="3">
        <v>0.5</v>
      </c>
      <c r="I37" s="3"/>
      <c r="J37" s="34">
        <f t="shared" si="0"/>
        <v>16.25</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251</v>
      </c>
      <c r="D39" s="3">
        <v>44.25</v>
      </c>
      <c r="E39" s="3"/>
      <c r="F39" s="3">
        <v>2</v>
      </c>
      <c r="G39" s="3"/>
      <c r="H39" s="3">
        <v>30.33</v>
      </c>
      <c r="I39" s="3"/>
      <c r="J39" s="34">
        <f t="shared" si="0"/>
        <v>327.58</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v>16</v>
      </c>
      <c r="E40" s="3"/>
      <c r="F40" s="3">
        <v>4.5</v>
      </c>
      <c r="G40" s="3"/>
      <c r="H40" s="3">
        <v>46.58</v>
      </c>
      <c r="I40" s="3"/>
      <c r="J40" s="34">
        <f t="shared" si="0"/>
        <v>67.08</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c r="G42" s="3"/>
      <c r="H42" s="3"/>
      <c r="I42" s="3"/>
      <c r="J42" s="34">
        <f t="shared" si="0"/>
        <v>0</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309.91000000000003</v>
      </c>
      <c r="D44" s="3">
        <v>190.2</v>
      </c>
      <c r="E44" s="3">
        <v>107.75</v>
      </c>
      <c r="F44" s="3">
        <v>93.5</v>
      </c>
      <c r="G44" s="3"/>
      <c r="H44" s="3">
        <v>0.5</v>
      </c>
      <c r="I44" s="3"/>
      <c r="J44" s="34">
        <f t="shared" si="0"/>
        <v>701.86</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224.17</v>
      </c>
      <c r="D45" s="3">
        <v>90.01</v>
      </c>
      <c r="E45" s="3"/>
      <c r="F45" s="3">
        <v>104.43</v>
      </c>
      <c r="G45" s="3"/>
      <c r="H45" s="3">
        <v>3.5</v>
      </c>
      <c r="I45" s="3"/>
      <c r="J45" s="34">
        <f t="shared" si="0"/>
        <v>422.11</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21</v>
      </c>
      <c r="E52" s="3"/>
      <c r="F52" s="3">
        <v>5.5</v>
      </c>
      <c r="G52" s="3"/>
      <c r="H52" s="3">
        <v>14.67</v>
      </c>
      <c r="I52" s="3"/>
      <c r="J52" s="34">
        <f t="shared" si="0"/>
        <v>41.17</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c r="D53" s="3">
        <v>13.42</v>
      </c>
      <c r="E53" s="3"/>
      <c r="F53" s="3">
        <v>2</v>
      </c>
      <c r="G53" s="3"/>
      <c r="H53" s="3"/>
      <c r="I53" s="3"/>
      <c r="J53" s="34">
        <f t="shared" si="0"/>
        <v>15.42</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49.67</v>
      </c>
      <c r="D56" s="3">
        <v>21.58</v>
      </c>
      <c r="E56" s="3"/>
      <c r="F56" s="3">
        <v>3.75</v>
      </c>
      <c r="G56" s="3"/>
      <c r="H56" s="3"/>
      <c r="I56" s="3"/>
      <c r="J56" s="34">
        <f t="shared" si="0"/>
        <v>75</v>
      </c>
      <c r="K56" s="3"/>
      <c r="L56" s="3"/>
      <c r="M56" s="3"/>
      <c r="N56" s="3"/>
      <c r="O56" s="3"/>
      <c r="P56" s="3"/>
      <c r="Q56" s="3"/>
      <c r="R56" s="3"/>
      <c r="S56" s="3"/>
      <c r="T56" s="3"/>
      <c r="U56" s="3"/>
      <c r="V56" s="3"/>
      <c r="W56" s="3"/>
      <c r="X56" s="3"/>
      <c r="Y56" s="3"/>
      <c r="Z56" s="3"/>
      <c r="AA56" s="3"/>
      <c r="AB56" s="3"/>
    </row>
    <row r="57" spans="1:28" ht="14" x14ac:dyDescent="0.2">
      <c r="A57" s="3"/>
      <c r="B57" s="1"/>
      <c r="C57" s="1">
        <f>SUM(C17:C56)</f>
        <v>1788.39</v>
      </c>
      <c r="D57" s="1">
        <f t="shared" ref="D57:I57" si="1">SUM(D17:D56)</f>
        <v>915.18000000000006</v>
      </c>
      <c r="E57" s="1">
        <f t="shared" si="1"/>
        <v>458.95</v>
      </c>
      <c r="F57" s="1">
        <f t="shared" si="1"/>
        <v>608.42000000000007</v>
      </c>
      <c r="G57" s="1">
        <f t="shared" si="1"/>
        <v>47.11</v>
      </c>
      <c r="H57" s="1">
        <f t="shared" si="1"/>
        <v>213.92</v>
      </c>
      <c r="I57" s="1">
        <f t="shared" si="1"/>
        <v>1.25</v>
      </c>
      <c r="J57" s="34">
        <f>SUM(C57:I57)</f>
        <v>4033.2200000000003</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c r="D64" s="3"/>
      <c r="E64" s="3"/>
      <c r="F64" s="3"/>
      <c r="G64" s="1">
        <f t="shared" ref="G64:G71" si="2">SUM(C64:F64)</f>
        <v>0</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94.41</v>
      </c>
      <c r="D65" s="3"/>
      <c r="E65" s="3">
        <v>25.58</v>
      </c>
      <c r="F65" s="3"/>
      <c r="G65" s="1">
        <f t="shared" si="2"/>
        <v>119.99</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14.4</v>
      </c>
      <c r="D67" s="3"/>
      <c r="E67" s="3">
        <v>37.83</v>
      </c>
      <c r="F67" s="3"/>
      <c r="G67" s="1">
        <f t="shared" si="2"/>
        <v>52.23</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6.31</v>
      </c>
      <c r="D68" s="3"/>
      <c r="E68" s="3">
        <v>4.82</v>
      </c>
      <c r="F68" s="3"/>
      <c r="G68" s="1">
        <f t="shared" si="2"/>
        <v>11.129999999999999</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2"/>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c r="D71" s="3"/>
      <c r="E71" s="3">
        <v>0.5</v>
      </c>
      <c r="F71" s="3"/>
      <c r="G71" s="1">
        <f t="shared" si="2"/>
        <v>0.5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115.12</v>
      </c>
      <c r="D72" s="1">
        <f>SUM(D64:D71)</f>
        <v>0</v>
      </c>
      <c r="E72" s="1">
        <f>SUM(E64:E71)</f>
        <v>68.72999999999999</v>
      </c>
      <c r="F72" s="1">
        <f>SUM(F63:F71)</f>
        <v>0</v>
      </c>
      <c r="G72" s="1">
        <f>SUM(C72:F72)</f>
        <v>183.85</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59.16</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14678.21</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24" t="s">
        <v>163</v>
      </c>
      <c r="B101" s="24"/>
      <c r="C101" s="25"/>
      <c r="D101" s="19" t="s">
        <v>77</v>
      </c>
      <c r="E101" s="39" t="s">
        <v>155</v>
      </c>
      <c r="F101" s="27"/>
      <c r="H101" s="24" t="s">
        <v>164</v>
      </c>
      <c r="I101" s="25"/>
      <c r="J101" s="25"/>
      <c r="K101" s="25"/>
      <c r="L101" s="25"/>
      <c r="M101" s="25"/>
      <c r="N101" s="3"/>
      <c r="O101" s="3"/>
      <c r="P101" s="3"/>
      <c r="Q101" s="3"/>
      <c r="R101" s="3"/>
      <c r="S101" s="3"/>
      <c r="T101" s="3"/>
      <c r="U101" s="3"/>
      <c r="V101" s="3"/>
      <c r="W101" s="3"/>
      <c r="X101" s="3"/>
      <c r="Y101" s="3"/>
      <c r="Z101" s="3"/>
      <c r="AA101" s="3"/>
      <c r="AB101" s="3"/>
    </row>
    <row r="102" spans="1:28" ht="14" x14ac:dyDescent="0.2">
      <c r="A102" s="24" t="s">
        <v>179</v>
      </c>
      <c r="B102" s="24" t="s">
        <v>18</v>
      </c>
      <c r="C102" s="25"/>
      <c r="D102" s="19" t="s">
        <v>77</v>
      </c>
      <c r="E102" s="26" t="s">
        <v>155</v>
      </c>
      <c r="F102" s="27"/>
      <c r="G102" s="20">
        <v>263.69</v>
      </c>
      <c r="H102" s="18" t="s">
        <v>101</v>
      </c>
      <c r="I102" s="25"/>
      <c r="J102" s="25"/>
      <c r="K102" s="25"/>
      <c r="L102" s="25"/>
      <c r="M102" s="25"/>
      <c r="N102" s="3"/>
      <c r="O102" s="3"/>
      <c r="P102" s="3"/>
      <c r="Q102" s="3"/>
      <c r="R102" s="3"/>
      <c r="S102" s="3"/>
      <c r="T102" s="3"/>
      <c r="U102" s="3"/>
      <c r="V102" s="3"/>
      <c r="W102" s="3"/>
      <c r="X102" s="3"/>
      <c r="Y102" s="3"/>
      <c r="Z102" s="3"/>
      <c r="AA102" s="3"/>
      <c r="AB102" s="3"/>
    </row>
    <row r="103" spans="1:28" ht="14" x14ac:dyDescent="0.2">
      <c r="A103" s="3"/>
      <c r="B103" s="3"/>
      <c r="C103" s="3"/>
      <c r="D103" s="3"/>
      <c r="F103" s="23">
        <f>SUM(F78:F101)</f>
        <v>0</v>
      </c>
      <c r="G103" s="23">
        <f>SUM(G79:G102)</f>
        <v>15001.06</v>
      </c>
      <c r="H103" s="3"/>
      <c r="I103" s="3"/>
      <c r="N103" s="3"/>
      <c r="O103" s="3"/>
      <c r="P103" s="3"/>
      <c r="Q103" s="3"/>
      <c r="R103" s="3"/>
      <c r="S103" s="3"/>
      <c r="T103" s="3"/>
      <c r="U103" s="3"/>
      <c r="V103" s="3"/>
      <c r="W103" s="3"/>
      <c r="X103" s="3"/>
      <c r="Y103" s="3"/>
      <c r="Z103" s="3"/>
      <c r="AA103" s="3"/>
      <c r="AB103" s="3"/>
    </row>
    <row r="104" spans="1:28"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sheetData>
  <mergeCells count="24">
    <mergeCell ref="B97:C97"/>
    <mergeCell ref="B98:C98"/>
    <mergeCell ref="B99:C99"/>
    <mergeCell ref="B100:C100"/>
    <mergeCell ref="B92:C92"/>
    <mergeCell ref="B93:C93"/>
    <mergeCell ref="B94:C94"/>
    <mergeCell ref="B95:C95"/>
    <mergeCell ref="B96:C96"/>
    <mergeCell ref="B87:C87"/>
    <mergeCell ref="B88:C88"/>
    <mergeCell ref="B89:C89"/>
    <mergeCell ref="B90:C90"/>
    <mergeCell ref="B91:C91"/>
    <mergeCell ref="B82:C82"/>
    <mergeCell ref="B83:C83"/>
    <mergeCell ref="B84:C84"/>
    <mergeCell ref="B85:C85"/>
    <mergeCell ref="B86:C86"/>
    <mergeCell ref="B77:C77"/>
    <mergeCell ref="B78:C78"/>
    <mergeCell ref="B79:C79"/>
    <mergeCell ref="B80:C80"/>
    <mergeCell ref="B81:C8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A260-F87D-6440-A1A0-FBDC9306142A}">
  <sheetPr>
    <outlinePr summaryBelow="0" summaryRight="0"/>
    <pageSetUpPr fitToPage="1"/>
  </sheetPr>
  <dimension ref="A1:AB1049"/>
  <sheetViews>
    <sheetView topLeftCell="A19"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45689</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SUM(32*8.5)*20</f>
        <v>5440</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5441.07</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1.069999999999709</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31.52</v>
      </c>
      <c r="D13" s="3">
        <v>329.02</v>
      </c>
      <c r="E13" s="3"/>
      <c r="F13" s="3">
        <v>35.549999999999997</v>
      </c>
      <c r="G13" s="3">
        <v>127.03</v>
      </c>
      <c r="H13" s="3">
        <v>17.75</v>
      </c>
      <c r="I13" s="3">
        <v>26.33</v>
      </c>
      <c r="J13" s="3">
        <v>6.25</v>
      </c>
      <c r="K13" s="3">
        <v>30.61</v>
      </c>
      <c r="L13" s="3">
        <v>6</v>
      </c>
      <c r="M13" s="3">
        <v>2.5</v>
      </c>
      <c r="N13" s="3">
        <v>26</v>
      </c>
      <c r="O13" s="3">
        <v>486.47</v>
      </c>
      <c r="P13" s="3">
        <v>294</v>
      </c>
      <c r="Q13" s="3"/>
      <c r="R13" s="3">
        <v>31.12</v>
      </c>
      <c r="S13" s="3">
        <v>24</v>
      </c>
      <c r="T13" s="34">
        <f>SUM(C13:S13)</f>
        <v>1474.15</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77.5</v>
      </c>
      <c r="D18" s="3">
        <v>63.33</v>
      </c>
      <c r="E18" s="3">
        <v>19.45</v>
      </c>
      <c r="F18" s="3">
        <v>97.15</v>
      </c>
      <c r="G18" s="3">
        <v>35.07</v>
      </c>
      <c r="H18" s="3">
        <v>0.25</v>
      </c>
      <c r="I18" s="3">
        <v>6.5</v>
      </c>
      <c r="J18" s="34">
        <f t="shared" si="0"/>
        <v>299.24999999999994</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v>0.25</v>
      </c>
      <c r="E20" s="3"/>
      <c r="F20" s="3"/>
      <c r="G20" s="3"/>
      <c r="H20" s="3"/>
      <c r="I20" s="3"/>
      <c r="J20" s="34">
        <f t="shared" si="0"/>
        <v>0.25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v>0.25</v>
      </c>
      <c r="E21" s="3"/>
      <c r="F21" s="3"/>
      <c r="G21" s="3"/>
      <c r="H21" s="3">
        <v>1.5</v>
      </c>
      <c r="I21" s="3"/>
      <c r="J21" s="34">
        <f t="shared" si="0"/>
        <v>1.75</v>
      </c>
      <c r="K21" s="3"/>
      <c r="L21" s="3"/>
      <c r="M21" s="3"/>
      <c r="N21" s="3"/>
      <c r="O21" s="3"/>
      <c r="P21" s="3"/>
      <c r="Q21" s="3"/>
      <c r="R21" s="3"/>
      <c r="S21" s="3"/>
      <c r="T21" s="3"/>
      <c r="U21" s="3"/>
      <c r="V21" s="3"/>
      <c r="W21" s="3"/>
      <c r="X21" s="3"/>
      <c r="Y21" s="3"/>
      <c r="Z21" s="3"/>
      <c r="AA21" s="3"/>
      <c r="AB21" s="3"/>
    </row>
    <row r="22" spans="1:28" ht="14" x14ac:dyDescent="0.2">
      <c r="A22" s="3" t="s">
        <v>13</v>
      </c>
      <c r="B22" s="3" t="s">
        <v>132</v>
      </c>
      <c r="C22" s="3">
        <v>135.94</v>
      </c>
      <c r="D22" s="3">
        <v>17.5</v>
      </c>
      <c r="E22" s="3">
        <v>25</v>
      </c>
      <c r="F22" s="3">
        <v>8.85</v>
      </c>
      <c r="G22" s="3">
        <v>0.43</v>
      </c>
      <c r="H22" s="3"/>
      <c r="I22" s="3"/>
      <c r="J22" s="34">
        <f t="shared" si="0"/>
        <v>187.72</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206.25</v>
      </c>
      <c r="D25" s="3">
        <v>292.31</v>
      </c>
      <c r="E25" s="3">
        <v>130.16999999999999</v>
      </c>
      <c r="F25" s="3">
        <v>164.83</v>
      </c>
      <c r="G25" s="3">
        <v>23.3</v>
      </c>
      <c r="H25" s="3">
        <v>49.5</v>
      </c>
      <c r="I25" s="3">
        <v>0.75</v>
      </c>
      <c r="J25" s="34">
        <f t="shared" si="0"/>
        <v>867.11</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177.5</v>
      </c>
      <c r="D28" s="3">
        <v>61</v>
      </c>
      <c r="E28" s="3"/>
      <c r="F28" s="3">
        <v>17</v>
      </c>
      <c r="G28" s="3"/>
      <c r="H28" s="3">
        <v>5.25</v>
      </c>
      <c r="I28" s="3"/>
      <c r="J28" s="34">
        <f t="shared" si="0"/>
        <v>260.75</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c r="E29" s="3"/>
      <c r="F29" s="3">
        <v>32</v>
      </c>
      <c r="G29" s="3"/>
      <c r="H29" s="3"/>
      <c r="I29" s="3"/>
      <c r="J29" s="34">
        <f t="shared" si="0"/>
        <v>32</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3.5</v>
      </c>
      <c r="E30" s="3"/>
      <c r="F30" s="3">
        <v>1.5</v>
      </c>
      <c r="G30" s="3">
        <v>24.05</v>
      </c>
      <c r="H30" s="3"/>
      <c r="I30" s="3"/>
      <c r="J30" s="34">
        <f t="shared" si="0"/>
        <v>29.05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2</v>
      </c>
      <c r="D31" s="3">
        <v>25.52</v>
      </c>
      <c r="E31" s="3"/>
      <c r="F31" s="3">
        <v>7.5</v>
      </c>
      <c r="G31" s="3"/>
      <c r="H31" s="3">
        <v>19.3</v>
      </c>
      <c r="I31" s="3"/>
      <c r="J31" s="34">
        <f t="shared" si="0"/>
        <v>54.319999999999993</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239</v>
      </c>
      <c r="D33" s="3">
        <v>76.5</v>
      </c>
      <c r="E33" s="3">
        <v>68</v>
      </c>
      <c r="F33" s="3">
        <v>11</v>
      </c>
      <c r="G33" s="3">
        <v>23.47</v>
      </c>
      <c r="H33" s="3"/>
      <c r="I33" s="3"/>
      <c r="J33" s="34">
        <f t="shared" si="0"/>
        <v>417.97</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v>0.25</v>
      </c>
      <c r="E34" s="3"/>
      <c r="F34" s="3"/>
      <c r="G34" s="3"/>
      <c r="H34" s="3"/>
      <c r="I34" s="3"/>
      <c r="J34" s="34">
        <f t="shared" si="0"/>
        <v>0.25</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v>0.5</v>
      </c>
      <c r="J35" s="34">
        <f t="shared" si="0"/>
        <v>0.5</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v>6</v>
      </c>
      <c r="D37" s="3">
        <v>7.67</v>
      </c>
      <c r="E37" s="3"/>
      <c r="F37" s="3"/>
      <c r="G37" s="3"/>
      <c r="H37" s="3">
        <v>1.67</v>
      </c>
      <c r="I37" s="3"/>
      <c r="J37" s="34">
        <f t="shared" si="0"/>
        <v>15.34</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84.87</v>
      </c>
      <c r="D39" s="3">
        <v>58.5</v>
      </c>
      <c r="E39" s="3">
        <v>37.08</v>
      </c>
      <c r="F39" s="3">
        <v>1</v>
      </c>
      <c r="G39" s="3"/>
      <c r="H39" s="3">
        <v>37.35</v>
      </c>
      <c r="I39" s="3"/>
      <c r="J39" s="34">
        <f t="shared" si="0"/>
        <v>218.79999999999998</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v>29.92</v>
      </c>
      <c r="E40" s="3"/>
      <c r="F40" s="3">
        <v>4.5</v>
      </c>
      <c r="G40" s="3"/>
      <c r="H40" s="3">
        <v>37.42</v>
      </c>
      <c r="I40" s="3"/>
      <c r="J40" s="34">
        <f t="shared" si="0"/>
        <v>71.84</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c r="G42" s="3"/>
      <c r="H42" s="3"/>
      <c r="I42" s="3"/>
      <c r="J42" s="34">
        <f t="shared" si="0"/>
        <v>0</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347.67</v>
      </c>
      <c r="D44" s="3">
        <v>149.69999999999999</v>
      </c>
      <c r="E44" s="3">
        <v>22.05</v>
      </c>
      <c r="F44" s="3">
        <v>80.75</v>
      </c>
      <c r="G44" s="3"/>
      <c r="H44" s="3">
        <v>21</v>
      </c>
      <c r="I44" s="3">
        <v>4.45</v>
      </c>
      <c r="J44" s="34">
        <f t="shared" si="0"/>
        <v>625.62</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221.39</v>
      </c>
      <c r="D45" s="3">
        <v>115.57</v>
      </c>
      <c r="E45" s="3"/>
      <c r="F45" s="3">
        <v>100.01</v>
      </c>
      <c r="G45" s="3">
        <v>1.5</v>
      </c>
      <c r="H45" s="3">
        <v>38.25</v>
      </c>
      <c r="I45" s="3">
        <v>10.5</v>
      </c>
      <c r="J45" s="34">
        <f t="shared" si="0"/>
        <v>487.21999999999997</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v>9</v>
      </c>
      <c r="G49" s="3"/>
      <c r="H49" s="3"/>
      <c r="I49" s="3"/>
      <c r="J49" s="34">
        <f t="shared" si="0"/>
        <v>9</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2.5</v>
      </c>
      <c r="E52" s="3"/>
      <c r="F52" s="3"/>
      <c r="G52" s="3"/>
      <c r="H52" s="3"/>
      <c r="I52" s="3"/>
      <c r="J52" s="34">
        <f t="shared" si="0"/>
        <v>2.5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40.67</v>
      </c>
      <c r="D53" s="3">
        <v>30.58</v>
      </c>
      <c r="E53" s="3"/>
      <c r="F53" s="3">
        <v>10.67</v>
      </c>
      <c r="G53" s="3"/>
      <c r="H53" s="3">
        <v>5</v>
      </c>
      <c r="I53" s="3"/>
      <c r="J53" s="34">
        <f t="shared" si="0"/>
        <v>86.92</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28.83</v>
      </c>
      <c r="D56" s="3">
        <v>29.76</v>
      </c>
      <c r="E56" s="3"/>
      <c r="F56" s="3"/>
      <c r="G56" s="3"/>
      <c r="H56" s="3"/>
      <c r="I56" s="3"/>
      <c r="J56" s="34">
        <f t="shared" si="0"/>
        <v>58.59</v>
      </c>
      <c r="K56" s="3"/>
      <c r="L56" s="3"/>
      <c r="M56" s="3"/>
      <c r="N56" s="3"/>
      <c r="O56" s="3"/>
      <c r="P56" s="3"/>
      <c r="Q56" s="3"/>
      <c r="R56" s="3"/>
      <c r="S56" s="3"/>
      <c r="T56" s="3"/>
      <c r="U56" s="3"/>
      <c r="V56" s="3"/>
      <c r="W56" s="3"/>
      <c r="X56" s="3"/>
      <c r="Y56" s="3"/>
      <c r="Z56" s="3"/>
      <c r="AA56" s="3"/>
      <c r="AB56" s="3"/>
    </row>
    <row r="57" spans="1:28" ht="14" x14ac:dyDescent="0.2">
      <c r="A57" s="3"/>
      <c r="B57" s="1"/>
      <c r="C57" s="1">
        <f>SUM(C17:C56)</f>
        <v>1567.62</v>
      </c>
      <c r="D57" s="1">
        <f t="shared" ref="D57:I57" si="1">SUM(D17:D56)</f>
        <v>964.60999999999979</v>
      </c>
      <c r="E57" s="1">
        <f t="shared" si="1"/>
        <v>301.75</v>
      </c>
      <c r="F57" s="1">
        <f t="shared" si="1"/>
        <v>545.76</v>
      </c>
      <c r="G57" s="1">
        <f t="shared" si="1"/>
        <v>107.82</v>
      </c>
      <c r="H57" s="1">
        <f t="shared" si="1"/>
        <v>216.49</v>
      </c>
      <c r="I57" s="1">
        <f t="shared" si="1"/>
        <v>22.7</v>
      </c>
      <c r="J57" s="34">
        <f>SUM(C57:I57)</f>
        <v>3726.75</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c r="D64" s="3"/>
      <c r="E64" s="3">
        <v>0.33</v>
      </c>
      <c r="F64" s="3"/>
      <c r="G64" s="1">
        <f t="shared" ref="G64:G71" si="2">SUM(C64:F64)</f>
        <v>0.33</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112.11</v>
      </c>
      <c r="D65" s="3"/>
      <c r="E65" s="3">
        <v>32.83</v>
      </c>
      <c r="F65" s="3"/>
      <c r="G65" s="1">
        <f t="shared" si="2"/>
        <v>144.94</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2"/>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4.4800000000000004</v>
      </c>
      <c r="D67" s="3"/>
      <c r="E67" s="3">
        <v>46.67</v>
      </c>
      <c r="F67" s="3"/>
      <c r="G67" s="1">
        <f t="shared" si="2"/>
        <v>51.150000000000006</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26.78</v>
      </c>
      <c r="D68" s="3"/>
      <c r="E68" s="3">
        <v>16.72</v>
      </c>
      <c r="F68" s="3"/>
      <c r="G68" s="1">
        <f t="shared" si="2"/>
        <v>43.5</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2"/>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2"/>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c r="D71" s="3"/>
      <c r="E71" s="3">
        <v>0.25</v>
      </c>
      <c r="F71" s="3"/>
      <c r="G71" s="1">
        <f t="shared" si="2"/>
        <v>0.25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143.37</v>
      </c>
      <c r="D72" s="1">
        <f>SUM(D64:D71)</f>
        <v>0</v>
      </c>
      <c r="E72" s="1">
        <f>SUM(E64:E71)</f>
        <v>96.8</v>
      </c>
      <c r="F72" s="1">
        <f>SUM(F63:F71)</f>
        <v>0</v>
      </c>
      <c r="G72" s="1">
        <f>SUM(C72:F72)</f>
        <v>240.17000000000002</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5"/>
      <c r="B85" s="152"/>
      <c r="C85" s="148"/>
      <c r="D85" s="15"/>
      <c r="F85" s="22"/>
      <c r="G85" s="22"/>
      <c r="H85" s="37"/>
      <c r="I85" s="28"/>
      <c r="J85" s="28"/>
      <c r="K85" s="28"/>
      <c r="L85" s="28"/>
      <c r="M85" s="29"/>
      <c r="N85" s="3"/>
      <c r="O85" s="3"/>
      <c r="P85" s="3"/>
      <c r="Q85" s="3"/>
      <c r="R85" s="3"/>
      <c r="S85" s="3"/>
      <c r="T85" s="3"/>
      <c r="U85" s="3"/>
      <c r="V85" s="3"/>
      <c r="W85" s="3"/>
      <c r="X85" s="3"/>
      <c r="Y85" s="3"/>
      <c r="Z85" s="3"/>
      <c r="AA85" s="3"/>
      <c r="AB85" s="3"/>
    </row>
    <row r="86" spans="1:28" ht="14" x14ac:dyDescent="0.2">
      <c r="A86" s="17" t="s">
        <v>75</v>
      </c>
      <c r="B86" s="146" t="s">
        <v>76</v>
      </c>
      <c r="C86" s="148"/>
      <c r="D86" s="19" t="s">
        <v>77</v>
      </c>
      <c r="E86" s="19" t="s">
        <v>153</v>
      </c>
      <c r="F86" s="20"/>
      <c r="G86" s="20">
        <v>52.04</v>
      </c>
      <c r="H86" s="18" t="s">
        <v>78</v>
      </c>
      <c r="I86" s="28"/>
      <c r="J86" s="28"/>
      <c r="K86" s="28"/>
      <c r="L86" s="28"/>
      <c r="M86" s="29"/>
      <c r="N86" s="3"/>
      <c r="O86" s="3"/>
      <c r="P86" s="3"/>
      <c r="Q86" s="3"/>
      <c r="R86" s="3"/>
      <c r="S86" s="3"/>
      <c r="T86" s="3"/>
      <c r="U86" s="3"/>
      <c r="V86" s="3"/>
      <c r="W86" s="3"/>
      <c r="X86" s="3"/>
      <c r="Y86" s="3"/>
      <c r="Z86" s="3"/>
      <c r="AA86" s="3"/>
      <c r="AB86" s="3"/>
    </row>
    <row r="87" spans="1:28" ht="14" x14ac:dyDescent="0.2">
      <c r="A87" s="17" t="s">
        <v>79</v>
      </c>
      <c r="B87" s="146" t="s">
        <v>19</v>
      </c>
      <c r="C87" s="148"/>
      <c r="D87" s="19" t="s">
        <v>77</v>
      </c>
      <c r="E87" s="19" t="s">
        <v>153</v>
      </c>
      <c r="F87" s="20"/>
      <c r="G87" s="20"/>
      <c r="H87" s="18" t="s">
        <v>80</v>
      </c>
      <c r="I87" s="28"/>
      <c r="J87" s="28"/>
      <c r="K87" s="28"/>
      <c r="L87" s="28"/>
      <c r="M87" s="29"/>
      <c r="N87" s="3"/>
      <c r="O87" s="3"/>
      <c r="P87" s="3"/>
      <c r="Q87" s="3"/>
      <c r="R87" s="3"/>
      <c r="S87" s="3"/>
      <c r="T87" s="3"/>
      <c r="U87" s="3"/>
      <c r="V87" s="3"/>
      <c r="W87" s="3"/>
      <c r="X87" s="3"/>
      <c r="Y87" s="3"/>
      <c r="Z87" s="3"/>
      <c r="AA87" s="3"/>
      <c r="AB87" s="3"/>
    </row>
    <row r="88" spans="1:28" ht="14" x14ac:dyDescent="0.2">
      <c r="A88" s="17" t="s">
        <v>81</v>
      </c>
      <c r="B88" s="146" t="s">
        <v>70</v>
      </c>
      <c r="C88" s="148"/>
      <c r="D88" s="19" t="s">
        <v>77</v>
      </c>
      <c r="E88" s="19" t="s">
        <v>155</v>
      </c>
      <c r="F88" s="20"/>
      <c r="G88" s="20"/>
      <c r="H88" s="18" t="s">
        <v>82</v>
      </c>
      <c r="I88" s="28"/>
      <c r="J88" s="28"/>
      <c r="K88" s="28"/>
      <c r="L88" s="28"/>
      <c r="M88" s="29"/>
      <c r="N88" s="3"/>
      <c r="O88" s="3"/>
      <c r="P88" s="3"/>
      <c r="Q88" s="3"/>
      <c r="R88" s="3"/>
      <c r="S88" s="3"/>
      <c r="T88" s="3"/>
      <c r="U88" s="3"/>
      <c r="V88" s="3"/>
      <c r="W88" s="3"/>
      <c r="X88" s="3"/>
      <c r="Y88" s="3"/>
      <c r="Z88" s="3"/>
      <c r="AA88" s="3"/>
      <c r="AB88" s="3"/>
    </row>
    <row r="89" spans="1:28" ht="14" x14ac:dyDescent="0.2">
      <c r="A89" s="17" t="s">
        <v>83</v>
      </c>
      <c r="B89" s="146" t="s">
        <v>70</v>
      </c>
      <c r="C89" s="148"/>
      <c r="D89" s="19" t="s">
        <v>77</v>
      </c>
      <c r="E89" s="19" t="s">
        <v>155</v>
      </c>
      <c r="F89" s="20"/>
      <c r="G89" s="20"/>
      <c r="H89" s="18" t="s">
        <v>84</v>
      </c>
      <c r="I89" s="28"/>
      <c r="J89" s="28"/>
      <c r="K89" s="28"/>
      <c r="L89" s="28"/>
      <c r="M89" s="29"/>
      <c r="N89" s="3"/>
      <c r="O89" s="3"/>
      <c r="P89" s="3"/>
      <c r="Q89" s="3"/>
      <c r="R89" s="3"/>
      <c r="S89" s="3"/>
      <c r="T89" s="3"/>
      <c r="U89" s="3"/>
      <c r="V89" s="3"/>
      <c r="W89" s="3"/>
      <c r="X89" s="3"/>
      <c r="Y89" s="3"/>
      <c r="Z89" s="3"/>
      <c r="AA89" s="3"/>
      <c r="AB89" s="3"/>
    </row>
    <row r="90" spans="1:28" ht="14" x14ac:dyDescent="0.2">
      <c r="A90" s="17" t="s">
        <v>85</v>
      </c>
      <c r="B90" s="146" t="s">
        <v>18</v>
      </c>
      <c r="C90" s="148"/>
      <c r="D90" s="19" t="s">
        <v>68</v>
      </c>
      <c r="E90" s="19" t="s">
        <v>155</v>
      </c>
      <c r="F90" s="20"/>
      <c r="G90" s="22"/>
      <c r="H90" s="18" t="s">
        <v>86</v>
      </c>
      <c r="I90" s="28"/>
      <c r="J90" s="28"/>
      <c r="K90" s="28"/>
      <c r="L90" s="28"/>
      <c r="M90" s="29"/>
      <c r="N90" s="3"/>
      <c r="O90" s="3"/>
      <c r="P90" s="3"/>
      <c r="Q90" s="3"/>
      <c r="R90" s="3"/>
      <c r="S90" s="3"/>
      <c r="T90" s="3"/>
      <c r="U90" s="3"/>
      <c r="V90" s="3"/>
      <c r="W90" s="3"/>
      <c r="X90" s="3"/>
      <c r="Y90" s="3"/>
      <c r="Z90" s="3"/>
      <c r="AA90" s="3"/>
      <c r="AB90" s="3"/>
    </row>
    <row r="91" spans="1:28" ht="14" x14ac:dyDescent="0.2">
      <c r="A91" s="17" t="s">
        <v>87</v>
      </c>
      <c r="B91" s="146" t="s">
        <v>149</v>
      </c>
      <c r="C91" s="148"/>
      <c r="D91" s="19" t="s">
        <v>77</v>
      </c>
      <c r="E91" s="19" t="s">
        <v>153</v>
      </c>
      <c r="F91" s="20"/>
      <c r="G91" s="20">
        <v>14541.4</v>
      </c>
      <c r="H91" s="18" t="s">
        <v>89</v>
      </c>
      <c r="I91" s="28"/>
      <c r="J91" s="28"/>
      <c r="K91" s="28"/>
      <c r="L91" s="28"/>
      <c r="M91" s="29"/>
      <c r="N91" s="3"/>
      <c r="O91" s="3"/>
      <c r="P91" s="3"/>
      <c r="Q91" s="3"/>
      <c r="R91" s="3"/>
      <c r="S91" s="3"/>
      <c r="T91" s="3"/>
      <c r="U91" s="3"/>
      <c r="V91" s="3"/>
      <c r="W91" s="3"/>
      <c r="X91" s="3"/>
      <c r="Y91" s="3"/>
      <c r="Z91" s="3"/>
      <c r="AA91" s="3"/>
      <c r="AB91" s="3"/>
    </row>
    <row r="92" spans="1:28" ht="14" x14ac:dyDescent="0.2">
      <c r="A92" s="17" t="s">
        <v>90</v>
      </c>
      <c r="B92" s="146"/>
      <c r="C92" s="148"/>
      <c r="D92" s="19" t="s">
        <v>77</v>
      </c>
      <c r="E92" s="39" t="s">
        <v>155</v>
      </c>
      <c r="F92" s="20"/>
      <c r="G92" s="20"/>
      <c r="H92" s="18" t="s">
        <v>91</v>
      </c>
      <c r="I92" s="28"/>
      <c r="J92" s="28"/>
      <c r="K92" s="28"/>
      <c r="L92" s="28"/>
      <c r="M92" s="29"/>
      <c r="N92" s="3"/>
      <c r="O92" s="3"/>
      <c r="P92" s="3"/>
      <c r="Q92" s="3"/>
      <c r="R92" s="3"/>
      <c r="S92" s="3"/>
      <c r="T92" s="3"/>
      <c r="U92" s="3"/>
      <c r="V92" s="3"/>
      <c r="W92" s="3"/>
      <c r="X92" s="3"/>
      <c r="Y92" s="3"/>
      <c r="Z92" s="3"/>
      <c r="AA92" s="3"/>
      <c r="AB92" s="3"/>
    </row>
    <row r="93" spans="1:28" ht="14" x14ac:dyDescent="0.2">
      <c r="A93" s="17" t="s">
        <v>156</v>
      </c>
      <c r="B93" s="146" t="s">
        <v>93</v>
      </c>
      <c r="C93" s="148"/>
      <c r="D93" s="19" t="s">
        <v>68</v>
      </c>
      <c r="E93" s="39" t="s">
        <v>153</v>
      </c>
      <c r="F93" s="20"/>
      <c r="G93" s="22"/>
      <c r="H93" s="18" t="s">
        <v>150</v>
      </c>
      <c r="I93" s="28"/>
      <c r="J93" s="28"/>
      <c r="K93" s="28"/>
      <c r="L93" s="28"/>
      <c r="M93" s="29"/>
      <c r="N93" s="3"/>
      <c r="O93" s="3"/>
      <c r="P93" s="3"/>
      <c r="Q93" s="3"/>
      <c r="R93" s="3"/>
      <c r="S93" s="3"/>
      <c r="T93" s="3"/>
      <c r="U93" s="3"/>
      <c r="V93" s="3"/>
      <c r="W93" s="3"/>
      <c r="X93" s="3"/>
      <c r="Y93" s="3"/>
      <c r="Z93" s="3"/>
      <c r="AA93" s="3"/>
      <c r="AB93" s="3"/>
    </row>
    <row r="94" spans="1:28" ht="14" x14ac:dyDescent="0.2">
      <c r="A94" s="17" t="s">
        <v>156</v>
      </c>
      <c r="B94" s="146" t="s">
        <v>95</v>
      </c>
      <c r="C94" s="148"/>
      <c r="D94" s="19" t="s">
        <v>68</v>
      </c>
      <c r="E94" s="39" t="s">
        <v>153</v>
      </c>
      <c r="F94" s="20"/>
      <c r="G94" s="22"/>
      <c r="H94" s="18" t="s">
        <v>150</v>
      </c>
      <c r="I94" s="28"/>
      <c r="J94" s="28"/>
      <c r="K94" s="28"/>
      <c r="L94" s="28"/>
      <c r="M94" s="29"/>
      <c r="N94" s="3"/>
      <c r="O94" s="3"/>
      <c r="P94" s="3"/>
      <c r="Q94" s="3"/>
      <c r="R94" s="3"/>
      <c r="S94" s="3"/>
      <c r="T94" s="3"/>
      <c r="U94" s="3"/>
      <c r="V94" s="3"/>
      <c r="W94" s="3"/>
      <c r="X94" s="3"/>
      <c r="Y94" s="3"/>
      <c r="Z94" s="3"/>
      <c r="AA94" s="3"/>
      <c r="AB94" s="3"/>
    </row>
    <row r="95" spans="1:28" ht="14" x14ac:dyDescent="0.2">
      <c r="A95" s="17" t="s">
        <v>156</v>
      </c>
      <c r="B95" s="146" t="s">
        <v>96</v>
      </c>
      <c r="C95" s="148"/>
      <c r="D95" s="19" t="s">
        <v>68</v>
      </c>
      <c r="E95" s="39" t="s">
        <v>153</v>
      </c>
      <c r="F95" s="20"/>
      <c r="G95" s="22"/>
      <c r="H95" s="18" t="s">
        <v>94</v>
      </c>
      <c r="I95" s="28"/>
      <c r="J95" s="28"/>
      <c r="K95" s="28"/>
      <c r="L95" s="28"/>
      <c r="M95" s="29"/>
      <c r="N95" s="3"/>
      <c r="O95" s="3"/>
      <c r="P95" s="3"/>
      <c r="Q95" s="3"/>
      <c r="R95" s="3"/>
      <c r="S95" s="3"/>
      <c r="T95" s="3"/>
      <c r="U95" s="3"/>
      <c r="V95" s="3"/>
      <c r="W95" s="3"/>
      <c r="X95" s="3"/>
      <c r="Y95" s="3"/>
      <c r="Z95" s="3"/>
      <c r="AA95" s="3"/>
      <c r="AB95" s="3"/>
    </row>
    <row r="96" spans="1:28" ht="14" x14ac:dyDescent="0.2">
      <c r="A96" s="17" t="s">
        <v>156</v>
      </c>
      <c r="B96" s="146" t="s">
        <v>97</v>
      </c>
      <c r="C96" s="148"/>
      <c r="D96" s="19" t="s">
        <v>68</v>
      </c>
      <c r="E96" s="39" t="s">
        <v>153</v>
      </c>
      <c r="F96" s="20"/>
      <c r="G96" s="20"/>
      <c r="H96" s="18" t="s">
        <v>99</v>
      </c>
      <c r="I96" s="28"/>
      <c r="J96" s="28"/>
      <c r="K96" s="28"/>
      <c r="L96" s="28"/>
      <c r="M96" s="29"/>
      <c r="N96" s="3"/>
      <c r="O96" s="3"/>
      <c r="P96" s="3"/>
      <c r="Q96" s="3"/>
      <c r="R96" s="3"/>
      <c r="S96" s="3"/>
      <c r="T96" s="3"/>
      <c r="U96" s="3"/>
      <c r="V96" s="3"/>
      <c r="W96" s="3"/>
      <c r="X96" s="3"/>
      <c r="Y96" s="3"/>
      <c r="Z96" s="3"/>
      <c r="AA96" s="3"/>
      <c r="AB96" s="3"/>
    </row>
    <row r="97" spans="1:28" ht="14" x14ac:dyDescent="0.2">
      <c r="A97" s="17" t="s">
        <v>100</v>
      </c>
      <c r="B97" s="146" t="s">
        <v>97</v>
      </c>
      <c r="C97" s="148"/>
      <c r="D97" s="19" t="s">
        <v>77</v>
      </c>
      <c r="E97" s="39" t="s">
        <v>155</v>
      </c>
      <c r="F97" s="20"/>
      <c r="G97" s="20"/>
      <c r="H97" s="18" t="s">
        <v>101</v>
      </c>
      <c r="I97" s="28"/>
      <c r="J97" s="28"/>
      <c r="K97" s="28"/>
      <c r="L97" s="28"/>
      <c r="M97" s="29"/>
      <c r="N97" s="3"/>
      <c r="O97" s="3"/>
      <c r="P97" s="3"/>
      <c r="Q97" s="3"/>
      <c r="R97" s="3"/>
      <c r="S97" s="3"/>
      <c r="T97" s="3"/>
      <c r="U97" s="3"/>
      <c r="V97" s="3"/>
      <c r="W97" s="3"/>
      <c r="X97" s="3"/>
      <c r="Y97" s="3"/>
      <c r="Z97" s="3"/>
      <c r="AA97" s="3"/>
      <c r="AB97" s="3"/>
    </row>
    <row r="98" spans="1:28" ht="14" x14ac:dyDescent="0.2">
      <c r="A98" s="17" t="s">
        <v>100</v>
      </c>
      <c r="B98" s="146" t="s">
        <v>96</v>
      </c>
      <c r="C98" s="148"/>
      <c r="D98" s="19" t="s">
        <v>77</v>
      </c>
      <c r="E98" s="39" t="s">
        <v>155</v>
      </c>
      <c r="F98" s="20"/>
      <c r="G98" s="20"/>
      <c r="H98" s="18" t="s">
        <v>101</v>
      </c>
      <c r="I98" s="28"/>
      <c r="J98" s="28"/>
      <c r="K98" s="28"/>
      <c r="L98" s="28"/>
      <c r="M98" s="29"/>
      <c r="N98" s="3"/>
      <c r="O98" s="3"/>
      <c r="P98" s="3"/>
      <c r="Q98" s="3"/>
      <c r="R98" s="3"/>
      <c r="S98" s="3"/>
      <c r="T98" s="3"/>
      <c r="U98" s="3"/>
      <c r="V98" s="3"/>
      <c r="W98" s="3"/>
      <c r="X98" s="3"/>
      <c r="Y98" s="3"/>
      <c r="Z98" s="3"/>
      <c r="AA98" s="3"/>
      <c r="AB98" s="3"/>
    </row>
    <row r="99" spans="1:28" ht="14" x14ac:dyDescent="0.2">
      <c r="A99" s="17" t="s">
        <v>102</v>
      </c>
      <c r="B99" s="146" t="s">
        <v>96</v>
      </c>
      <c r="C99" s="148"/>
      <c r="D99" s="19" t="s">
        <v>77</v>
      </c>
      <c r="E99" s="39" t="s">
        <v>155</v>
      </c>
      <c r="F99" s="20"/>
      <c r="G99" s="20"/>
      <c r="H99" s="18" t="s">
        <v>101</v>
      </c>
      <c r="I99" s="28"/>
      <c r="J99" s="28"/>
      <c r="K99" s="28"/>
      <c r="L99" s="28"/>
      <c r="M99" s="29"/>
      <c r="N99" s="3"/>
      <c r="O99" s="3"/>
      <c r="P99" s="3"/>
      <c r="Q99" s="3"/>
      <c r="R99" s="3"/>
      <c r="S99" s="3"/>
      <c r="T99" s="3"/>
      <c r="U99" s="3"/>
      <c r="V99" s="3"/>
      <c r="W99" s="3"/>
      <c r="X99" s="3"/>
      <c r="Y99" s="3"/>
      <c r="Z99" s="3"/>
      <c r="AA99" s="3"/>
      <c r="AB99" s="3"/>
    </row>
    <row r="100" spans="1:28" ht="14" x14ac:dyDescent="0.2">
      <c r="A100" s="18" t="s">
        <v>103</v>
      </c>
      <c r="B100" s="151"/>
      <c r="C100" s="148"/>
      <c r="D100" s="19" t="s">
        <v>77</v>
      </c>
      <c r="E100" s="39" t="s">
        <v>155</v>
      </c>
      <c r="F100" s="20"/>
      <c r="G100" s="20"/>
      <c r="H100" s="18" t="s">
        <v>104</v>
      </c>
      <c r="I100" s="28"/>
      <c r="J100" s="28"/>
      <c r="K100" s="28"/>
      <c r="L100" s="28"/>
      <c r="M100" s="29"/>
      <c r="N100" s="3"/>
      <c r="O100" s="3"/>
      <c r="P100" s="3"/>
      <c r="Q100" s="3"/>
      <c r="R100" s="3"/>
      <c r="S100" s="3"/>
      <c r="T100" s="3"/>
      <c r="U100" s="3"/>
      <c r="V100" s="3"/>
      <c r="W100" s="3"/>
      <c r="X100" s="3"/>
      <c r="Y100" s="3"/>
      <c r="Z100" s="3"/>
      <c r="AA100" s="3"/>
      <c r="AB100" s="3"/>
    </row>
    <row r="101" spans="1:28" ht="14" x14ac:dyDescent="0.2">
      <c r="A101" s="24" t="s">
        <v>110</v>
      </c>
      <c r="B101" s="24" t="s">
        <v>18</v>
      </c>
      <c r="C101" s="25"/>
      <c r="D101" s="19" t="s">
        <v>77</v>
      </c>
      <c r="E101" s="39" t="s">
        <v>155</v>
      </c>
      <c r="F101" s="27"/>
      <c r="G101" s="27"/>
      <c r="H101" s="24"/>
      <c r="I101" s="25"/>
      <c r="J101" s="25"/>
      <c r="K101" s="25"/>
      <c r="L101" s="25"/>
      <c r="M101" s="25"/>
      <c r="N101" s="3"/>
      <c r="O101" s="3"/>
      <c r="P101" s="3"/>
      <c r="Q101" s="3"/>
      <c r="R101" s="3"/>
      <c r="S101" s="3"/>
      <c r="T101" s="3"/>
      <c r="U101" s="3"/>
      <c r="V101" s="3"/>
      <c r="W101" s="3"/>
      <c r="X101" s="3"/>
      <c r="Y101" s="3"/>
      <c r="Z101" s="3"/>
      <c r="AA101" s="3"/>
      <c r="AB101" s="3"/>
    </row>
    <row r="102" spans="1:28" ht="14" x14ac:dyDescent="0.2">
      <c r="A102" s="24" t="s">
        <v>108</v>
      </c>
      <c r="B102" s="24" t="s">
        <v>185</v>
      </c>
      <c r="C102" s="25"/>
      <c r="D102" s="19" t="s">
        <v>77</v>
      </c>
      <c r="E102" s="39" t="s">
        <v>155</v>
      </c>
      <c r="F102" s="27"/>
      <c r="G102" s="27"/>
      <c r="H102" s="24"/>
      <c r="I102" s="25"/>
      <c r="J102" s="25"/>
      <c r="K102" s="25"/>
      <c r="L102" s="25"/>
      <c r="M102" s="25"/>
      <c r="N102" s="3"/>
      <c r="O102" s="3"/>
      <c r="P102" s="3"/>
      <c r="Q102" s="3"/>
      <c r="R102" s="3"/>
      <c r="S102" s="3"/>
      <c r="T102" s="3"/>
      <c r="U102" s="3"/>
      <c r="V102" s="3"/>
      <c r="W102" s="3"/>
      <c r="X102" s="3"/>
      <c r="Y102" s="3"/>
      <c r="Z102" s="3"/>
      <c r="AA102" s="3"/>
      <c r="AB102" s="3"/>
    </row>
    <row r="103" spans="1:28" ht="14" x14ac:dyDescent="0.2">
      <c r="A103" s="24" t="s">
        <v>163</v>
      </c>
      <c r="B103" s="24"/>
      <c r="C103" s="25"/>
      <c r="D103" s="19" t="s">
        <v>77</v>
      </c>
      <c r="E103" s="39" t="s">
        <v>155</v>
      </c>
      <c r="F103" s="27"/>
      <c r="H103" s="24" t="s">
        <v>164</v>
      </c>
      <c r="I103" s="25"/>
      <c r="J103" s="25"/>
      <c r="K103" s="25"/>
      <c r="L103" s="25"/>
      <c r="M103" s="25"/>
      <c r="N103" s="3"/>
      <c r="O103" s="3"/>
      <c r="P103" s="3"/>
      <c r="Q103" s="3"/>
      <c r="R103" s="3"/>
      <c r="S103" s="3"/>
      <c r="T103" s="3"/>
      <c r="U103" s="3"/>
      <c r="V103" s="3"/>
      <c r="W103" s="3"/>
      <c r="X103" s="3"/>
      <c r="Y103" s="3"/>
      <c r="Z103" s="3"/>
      <c r="AA103" s="3"/>
      <c r="AB103" s="3"/>
    </row>
    <row r="104" spans="1:28" ht="14" x14ac:dyDescent="0.2">
      <c r="A104" s="24" t="s">
        <v>179</v>
      </c>
      <c r="B104" s="24" t="s">
        <v>18</v>
      </c>
      <c r="C104" s="25"/>
      <c r="D104" s="19" t="s">
        <v>77</v>
      </c>
      <c r="E104" s="26" t="s">
        <v>155</v>
      </c>
      <c r="F104" s="27"/>
      <c r="G104" s="20"/>
      <c r="H104" s="18" t="s">
        <v>101</v>
      </c>
      <c r="I104" s="25"/>
      <c r="J104" s="25"/>
      <c r="K104" s="25"/>
      <c r="L104" s="25"/>
      <c r="M104" s="25"/>
      <c r="N104" s="3"/>
      <c r="O104" s="3"/>
      <c r="P104" s="3"/>
      <c r="Q104" s="3"/>
      <c r="R104" s="3"/>
      <c r="S104" s="3"/>
      <c r="T104" s="3"/>
      <c r="U104" s="3"/>
      <c r="V104" s="3"/>
      <c r="W104" s="3"/>
      <c r="X104" s="3"/>
      <c r="Y104" s="3"/>
      <c r="Z104" s="3"/>
      <c r="AA104" s="3"/>
      <c r="AB104" s="3"/>
    </row>
    <row r="105" spans="1:28" ht="14" x14ac:dyDescent="0.2">
      <c r="A105" s="3"/>
      <c r="B105" s="3"/>
      <c r="C105" s="3"/>
      <c r="D105" s="3"/>
      <c r="F105" s="23">
        <f>SUM(F78:F103)</f>
        <v>0</v>
      </c>
      <c r="G105" s="23">
        <f>SUM(G79:G104)</f>
        <v>14593.44</v>
      </c>
      <c r="H105" s="3"/>
      <c r="I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sheetData>
  <mergeCells count="24">
    <mergeCell ref="B97:C97"/>
    <mergeCell ref="B98:C98"/>
    <mergeCell ref="B99:C99"/>
    <mergeCell ref="B100:C100"/>
    <mergeCell ref="B92:C92"/>
    <mergeCell ref="B93:C93"/>
    <mergeCell ref="B94:C94"/>
    <mergeCell ref="B95:C95"/>
    <mergeCell ref="B96:C96"/>
    <mergeCell ref="B87:C87"/>
    <mergeCell ref="B88:C88"/>
    <mergeCell ref="B89:C89"/>
    <mergeCell ref="B90:C90"/>
    <mergeCell ref="B91:C91"/>
    <mergeCell ref="B82:C82"/>
    <mergeCell ref="B83:C83"/>
    <mergeCell ref="B84:C84"/>
    <mergeCell ref="B85:C85"/>
    <mergeCell ref="B86:C86"/>
    <mergeCell ref="B77:C77"/>
    <mergeCell ref="B78:C78"/>
    <mergeCell ref="B79:C79"/>
    <mergeCell ref="B80:C80"/>
    <mergeCell ref="B81:C8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EEDC-0977-ED43-A0A6-04B9CD4D7231}">
  <sheetPr>
    <outlinePr summaryBelow="0" summaryRight="0"/>
    <pageSetUpPr fitToPage="1"/>
  </sheetPr>
  <dimension ref="A1:AB1049"/>
  <sheetViews>
    <sheetView topLeftCell="I1"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45717</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SUM(32*8.5)*21</f>
        <v>5712</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5842.5199999999995</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130.51999999999953</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66.5</v>
      </c>
      <c r="D13" s="3">
        <v>264.08999999999997</v>
      </c>
      <c r="E13" s="3"/>
      <c r="F13" s="3">
        <v>28.83</v>
      </c>
      <c r="G13" s="3">
        <v>130.59</v>
      </c>
      <c r="H13" s="3">
        <v>0.75</v>
      </c>
      <c r="I13" s="3">
        <v>85.75</v>
      </c>
      <c r="J13" s="3">
        <v>10.75</v>
      </c>
      <c r="K13" s="3">
        <v>35.75</v>
      </c>
      <c r="L13" s="3">
        <v>1</v>
      </c>
      <c r="M13" s="3">
        <v>26.25</v>
      </c>
      <c r="N13" s="3">
        <v>24.75</v>
      </c>
      <c r="O13" s="3">
        <v>539.25</v>
      </c>
      <c r="P13" s="3">
        <v>232.5</v>
      </c>
      <c r="Q13" s="3"/>
      <c r="R13" s="3">
        <v>33</v>
      </c>
      <c r="S13" s="3">
        <v>22.75</v>
      </c>
      <c r="T13" s="34">
        <f>SUM(C13:S13)</f>
        <v>1502.51</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145.5</v>
      </c>
      <c r="D18" s="3">
        <v>98.05</v>
      </c>
      <c r="E18" s="3"/>
      <c r="F18" s="3">
        <v>107.89</v>
      </c>
      <c r="G18" s="3">
        <v>2.75</v>
      </c>
      <c r="H18" s="3">
        <v>1.25</v>
      </c>
      <c r="I18" s="3"/>
      <c r="J18" s="34">
        <f t="shared" si="0"/>
        <v>355.44</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186</v>
      </c>
      <c r="B22" s="3" t="s">
        <v>132</v>
      </c>
      <c r="C22" s="3">
        <v>142.84</v>
      </c>
      <c r="D22" s="3">
        <v>31.91</v>
      </c>
      <c r="E22" s="3">
        <v>14</v>
      </c>
      <c r="F22" s="3">
        <v>2.75</v>
      </c>
      <c r="G22" s="3"/>
      <c r="H22" s="3">
        <v>0.25</v>
      </c>
      <c r="I22" s="3"/>
      <c r="J22" s="34">
        <f t="shared" si="0"/>
        <v>191.75</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222.57</v>
      </c>
      <c r="D25" s="3">
        <v>340.81</v>
      </c>
      <c r="E25" s="3">
        <v>129.83000000000001</v>
      </c>
      <c r="F25" s="3">
        <v>139.51</v>
      </c>
      <c r="G25" s="3">
        <v>51.75</v>
      </c>
      <c r="H25" s="3">
        <v>8</v>
      </c>
      <c r="I25" s="3">
        <v>2.5</v>
      </c>
      <c r="J25" s="34">
        <f t="shared" si="0"/>
        <v>894.97</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174.25</v>
      </c>
      <c r="D28" s="3">
        <v>49</v>
      </c>
      <c r="E28" s="3">
        <v>0.5</v>
      </c>
      <c r="F28" s="3">
        <v>18.75</v>
      </c>
      <c r="G28" s="3"/>
      <c r="H28" s="3">
        <v>2</v>
      </c>
      <c r="I28" s="3"/>
      <c r="J28" s="34">
        <f t="shared" si="0"/>
        <v>244.5</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v>6.25</v>
      </c>
      <c r="E29" s="3"/>
      <c r="F29" s="3">
        <v>9.33</v>
      </c>
      <c r="G29" s="3"/>
      <c r="H29" s="3">
        <v>0.75</v>
      </c>
      <c r="I29" s="3"/>
      <c r="J29" s="34">
        <f t="shared" si="0"/>
        <v>16.329999999999998</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0.5</v>
      </c>
      <c r="E30" s="3"/>
      <c r="F30" s="3">
        <v>1.8</v>
      </c>
      <c r="G30" s="3">
        <v>3.25</v>
      </c>
      <c r="H30" s="3">
        <v>0.5</v>
      </c>
      <c r="I30" s="3"/>
      <c r="J30" s="34">
        <f t="shared" si="0"/>
        <v>6.05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0.61</v>
      </c>
      <c r="D31" s="3">
        <v>58.43</v>
      </c>
      <c r="E31" s="3"/>
      <c r="F31" s="3">
        <v>22.51</v>
      </c>
      <c r="G31" s="3"/>
      <c r="H31" s="3">
        <v>102.83</v>
      </c>
      <c r="I31" s="3"/>
      <c r="J31" s="34">
        <f t="shared" si="0"/>
        <v>184.38</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293.5</v>
      </c>
      <c r="D33" s="3">
        <v>85.25</v>
      </c>
      <c r="E33" s="3">
        <v>89.85</v>
      </c>
      <c r="F33" s="3">
        <v>18.149999999999999</v>
      </c>
      <c r="G33" s="3">
        <v>51.5</v>
      </c>
      <c r="H33" s="3">
        <v>8.5</v>
      </c>
      <c r="I33" s="3"/>
      <c r="J33" s="34">
        <f t="shared" si="0"/>
        <v>546.75</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v>0.5</v>
      </c>
      <c r="G34" s="3">
        <v>0.5</v>
      </c>
      <c r="H34" s="3"/>
      <c r="I34" s="3"/>
      <c r="J34" s="34">
        <f t="shared" si="0"/>
        <v>1</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v>27.84</v>
      </c>
      <c r="D37" s="3">
        <v>14.83</v>
      </c>
      <c r="E37" s="3"/>
      <c r="F37" s="3">
        <v>7</v>
      </c>
      <c r="G37" s="3"/>
      <c r="H37" s="3">
        <v>5.5</v>
      </c>
      <c r="I37" s="3"/>
      <c r="J37" s="34">
        <f t="shared" si="0"/>
        <v>55.17</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42</v>
      </c>
      <c r="D39" s="3">
        <v>43.41</v>
      </c>
      <c r="E39" s="3">
        <v>19</v>
      </c>
      <c r="F39" s="3">
        <v>7</v>
      </c>
      <c r="G39" s="3"/>
      <c r="H39" s="3">
        <v>11</v>
      </c>
      <c r="I39" s="3"/>
      <c r="J39" s="34">
        <f t="shared" si="0"/>
        <v>122.41</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v>7.5</v>
      </c>
      <c r="E40" s="3"/>
      <c r="F40" s="3">
        <v>36.75</v>
      </c>
      <c r="G40" s="3"/>
      <c r="H40" s="3">
        <v>27.5</v>
      </c>
      <c r="I40" s="3"/>
      <c r="J40" s="34">
        <f t="shared" si="0"/>
        <v>71.75</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v>0.5</v>
      </c>
      <c r="G42" s="3"/>
      <c r="H42" s="3"/>
      <c r="I42" s="3"/>
      <c r="J42" s="34">
        <f t="shared" si="0"/>
        <v>0.5</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271.33999999999997</v>
      </c>
      <c r="D44" s="3">
        <v>177.5</v>
      </c>
      <c r="E44" s="3">
        <v>43.75</v>
      </c>
      <c r="F44" s="3">
        <v>86.5</v>
      </c>
      <c r="G44" s="3"/>
      <c r="H44" s="3">
        <v>4.5</v>
      </c>
      <c r="I44" s="3">
        <v>0.8</v>
      </c>
      <c r="J44" s="34">
        <f t="shared" si="0"/>
        <v>584.38999999999987</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215.75</v>
      </c>
      <c r="D45" s="3">
        <v>99.73</v>
      </c>
      <c r="E45" s="3">
        <v>3.5</v>
      </c>
      <c r="F45" s="3">
        <v>97.5</v>
      </c>
      <c r="G45" s="3">
        <v>1</v>
      </c>
      <c r="H45" s="3">
        <v>78.75</v>
      </c>
      <c r="I45" s="3">
        <v>1.5</v>
      </c>
      <c r="J45" s="34">
        <f t="shared" si="0"/>
        <v>497.73</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v>22.25</v>
      </c>
      <c r="E47" s="3"/>
      <c r="F47" s="3">
        <v>2</v>
      </c>
      <c r="G47" s="3"/>
      <c r="H47" s="3">
        <v>5.85</v>
      </c>
      <c r="I47" s="3"/>
      <c r="J47" s="34">
        <f t="shared" si="0"/>
        <v>30.1</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v>2.5</v>
      </c>
      <c r="E49" s="3"/>
      <c r="F49" s="3">
        <v>36.25</v>
      </c>
      <c r="G49" s="3"/>
      <c r="H49" s="3"/>
      <c r="I49" s="3"/>
      <c r="J49" s="34">
        <f t="shared" si="0"/>
        <v>38.75</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3</v>
      </c>
      <c r="E52" s="3"/>
      <c r="F52" s="3"/>
      <c r="G52" s="3"/>
      <c r="H52" s="3"/>
      <c r="I52" s="3"/>
      <c r="J52" s="34">
        <f t="shared" si="0"/>
        <v>3</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110.16</v>
      </c>
      <c r="D53" s="3">
        <v>48.5</v>
      </c>
      <c r="E53" s="3">
        <v>0.5</v>
      </c>
      <c r="F53" s="3">
        <v>52.25</v>
      </c>
      <c r="G53" s="3"/>
      <c r="H53" s="3">
        <v>13</v>
      </c>
      <c r="I53" s="3"/>
      <c r="J53" s="34">
        <f t="shared" si="0"/>
        <v>224.41</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36.83</v>
      </c>
      <c r="D56" s="3">
        <v>17</v>
      </c>
      <c r="E56" s="3"/>
      <c r="F56" s="3">
        <v>0.17</v>
      </c>
      <c r="G56" s="3"/>
      <c r="H56" s="3"/>
      <c r="I56" s="3"/>
      <c r="J56" s="34">
        <f t="shared" si="0"/>
        <v>54</v>
      </c>
      <c r="K56" s="3"/>
      <c r="L56" s="3"/>
      <c r="M56" s="3"/>
      <c r="N56" s="3"/>
      <c r="O56" s="3"/>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4123.3799999999992</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c r="D64" s="3"/>
      <c r="E64" s="3"/>
      <c r="F64" s="3"/>
      <c r="G64" s="1">
        <f t="shared" ref="G64:G71" si="1">SUM(C64:F64)</f>
        <v>0</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102.03</v>
      </c>
      <c r="D65" s="3"/>
      <c r="E65" s="3">
        <v>30.52</v>
      </c>
      <c r="F65" s="3"/>
      <c r="G65" s="1">
        <f t="shared" si="1"/>
        <v>132.55000000000001</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1"/>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7.2</v>
      </c>
      <c r="D67" s="3"/>
      <c r="E67" s="3">
        <v>40.630000000000003</v>
      </c>
      <c r="F67" s="3"/>
      <c r="G67" s="1">
        <f t="shared" si="1"/>
        <v>47.830000000000005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12.95</v>
      </c>
      <c r="D68" s="3"/>
      <c r="E68" s="3">
        <v>11.5</v>
      </c>
      <c r="F68" s="3"/>
      <c r="G68" s="1">
        <f t="shared" si="1"/>
        <v>24.45</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3.35</v>
      </c>
      <c r="D71" s="3"/>
      <c r="E71" s="3">
        <v>8.4499999999999993</v>
      </c>
      <c r="F71" s="3"/>
      <c r="G71" s="1">
        <f t="shared" si="1"/>
        <v>11.799999999999999</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125.53</v>
      </c>
      <c r="D72" s="1">
        <f>SUM(D64:D71)</f>
        <v>0</v>
      </c>
      <c r="E72" s="1">
        <f>SUM(E64:E71)</f>
        <v>91.100000000000009</v>
      </c>
      <c r="F72" s="1">
        <f>SUM(F63:F71)</f>
        <v>0</v>
      </c>
      <c r="G72" s="1">
        <f>SUM(C72:F72)</f>
        <v>216.63</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v>259</v>
      </c>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194</v>
      </c>
      <c r="C88" s="148"/>
      <c r="D88" s="46" t="s">
        <v>77</v>
      </c>
      <c r="E88" s="26" t="s">
        <v>155</v>
      </c>
      <c r="F88" s="22"/>
      <c r="G88" s="22"/>
      <c r="H88" s="37" t="s">
        <v>195</v>
      </c>
      <c r="I88" s="28"/>
      <c r="J88" s="28"/>
      <c r="K88" s="28"/>
      <c r="L88" s="28"/>
      <c r="M88" s="29"/>
      <c r="N88" s="3"/>
      <c r="O88" s="3"/>
      <c r="P88" s="3"/>
      <c r="Q88" s="3"/>
      <c r="R88" s="3"/>
      <c r="S88" s="3"/>
      <c r="T88" s="3"/>
      <c r="U88" s="3"/>
      <c r="V88" s="3"/>
      <c r="W88" s="3"/>
      <c r="X88" s="3"/>
      <c r="Y88" s="3"/>
      <c r="Z88" s="3"/>
      <c r="AA88" s="3"/>
      <c r="AB88" s="3"/>
    </row>
    <row r="89" spans="1:28" ht="14" x14ac:dyDescent="0.2">
      <c r="A89" s="15" t="s">
        <v>196</v>
      </c>
      <c r="B89" s="37" t="s">
        <v>197</v>
      </c>
      <c r="C89" s="29"/>
      <c r="D89" s="46" t="s">
        <v>77</v>
      </c>
      <c r="E89" s="26" t="s">
        <v>155</v>
      </c>
      <c r="F89" s="22"/>
      <c r="G89" s="22"/>
      <c r="H89" s="37" t="s">
        <v>198</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152" t="s">
        <v>93</v>
      </c>
      <c r="C90" s="148"/>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199</v>
      </c>
      <c r="B91" s="152" t="s">
        <v>200</v>
      </c>
      <c r="C91" s="148"/>
      <c r="D91" s="46" t="s">
        <v>77</v>
      </c>
      <c r="E91" s="26" t="s">
        <v>155</v>
      </c>
      <c r="F91" s="22"/>
      <c r="G91" s="22"/>
      <c r="H91" s="37" t="s">
        <v>201</v>
      </c>
      <c r="I91" s="28"/>
      <c r="J91" s="28"/>
      <c r="K91" s="28"/>
      <c r="L91" s="28"/>
      <c r="M91" s="29"/>
      <c r="N91" s="3"/>
      <c r="O91" s="3"/>
      <c r="P91" s="3"/>
      <c r="Q91" s="3"/>
      <c r="R91" s="3"/>
      <c r="S91" s="3"/>
      <c r="T91" s="3"/>
      <c r="U91" s="3"/>
      <c r="V91" s="3"/>
      <c r="W91" s="3"/>
      <c r="X91" s="3"/>
      <c r="Y91" s="3"/>
      <c r="Z91" s="3"/>
      <c r="AA91" s="3"/>
      <c r="AB91" s="3"/>
    </row>
    <row r="92" spans="1:28" ht="14" x14ac:dyDescent="0.2">
      <c r="A92" s="17" t="s">
        <v>75</v>
      </c>
      <c r="B92" s="146" t="s">
        <v>76</v>
      </c>
      <c r="C92" s="148"/>
      <c r="D92" s="19" t="s">
        <v>77</v>
      </c>
      <c r="E92" s="19" t="s">
        <v>153</v>
      </c>
      <c r="F92" s="20"/>
      <c r="G92" s="20">
        <v>57.17</v>
      </c>
      <c r="H92" s="18" t="s">
        <v>78</v>
      </c>
      <c r="I92" s="28"/>
      <c r="J92" s="28"/>
      <c r="K92" s="28"/>
      <c r="L92" s="28"/>
      <c r="M92" s="29"/>
      <c r="N92" s="3"/>
      <c r="O92" s="3"/>
      <c r="P92" s="3"/>
      <c r="Q92" s="3"/>
      <c r="R92" s="3"/>
      <c r="S92" s="3"/>
      <c r="T92" s="3"/>
      <c r="U92" s="3"/>
      <c r="V92" s="3"/>
      <c r="W92" s="3"/>
      <c r="X92" s="3"/>
      <c r="Y92" s="3"/>
      <c r="Z92" s="3"/>
      <c r="AA92" s="3"/>
      <c r="AB92" s="3"/>
    </row>
    <row r="93" spans="1:28" ht="14" x14ac:dyDescent="0.2">
      <c r="A93" s="17" t="s">
        <v>108</v>
      </c>
      <c r="B93" s="146" t="s">
        <v>202</v>
      </c>
      <c r="C93" s="148"/>
      <c r="D93" s="19" t="s">
        <v>77</v>
      </c>
      <c r="E93" s="19" t="s">
        <v>203</v>
      </c>
      <c r="F93" s="20">
        <v>31976.33</v>
      </c>
      <c r="G93" s="20"/>
      <c r="H93" s="18" t="s">
        <v>204</v>
      </c>
      <c r="I93" s="28"/>
      <c r="J93" s="28"/>
      <c r="K93" s="28"/>
      <c r="L93" s="28"/>
      <c r="M93" s="29"/>
      <c r="N93" s="3"/>
      <c r="O93" s="3"/>
      <c r="P93" s="3"/>
      <c r="Q93" s="3"/>
      <c r="R93" s="3"/>
      <c r="S93" s="3"/>
      <c r="T93" s="3"/>
      <c r="U93" s="3"/>
      <c r="V93" s="3"/>
      <c r="W93" s="3"/>
      <c r="X93" s="3"/>
      <c r="Y93" s="3"/>
      <c r="Z93" s="3"/>
      <c r="AA93" s="3"/>
      <c r="AB93" s="3"/>
    </row>
    <row r="94" spans="1:28" ht="14" x14ac:dyDescent="0.2">
      <c r="A94" s="17" t="s">
        <v>205</v>
      </c>
      <c r="B94" s="146" t="s">
        <v>149</v>
      </c>
      <c r="C94" s="154"/>
      <c r="D94" s="19" t="s">
        <v>206</v>
      </c>
      <c r="E94" s="19" t="s">
        <v>153</v>
      </c>
      <c r="F94" s="20"/>
      <c r="G94" s="20">
        <v>6889.36</v>
      </c>
      <c r="H94" s="146" t="s">
        <v>207</v>
      </c>
      <c r="I94" s="155"/>
      <c r="J94" s="155"/>
      <c r="K94" s="155"/>
      <c r="L94" s="155"/>
      <c r="M94" s="29"/>
      <c r="N94" s="3"/>
      <c r="O94" s="3"/>
      <c r="P94" s="3"/>
      <c r="Q94" s="3"/>
      <c r="R94" s="3"/>
      <c r="S94" s="3"/>
      <c r="T94" s="3"/>
      <c r="U94" s="3"/>
      <c r="V94" s="3"/>
      <c r="W94" s="3"/>
      <c r="X94" s="3"/>
      <c r="Y94" s="3"/>
      <c r="Z94" s="3"/>
      <c r="AA94" s="3"/>
      <c r="AB94" s="3"/>
    </row>
    <row r="95" spans="1:28" ht="14" x14ac:dyDescent="0.2">
      <c r="A95" s="17" t="s">
        <v>208</v>
      </c>
      <c r="B95" s="146" t="s">
        <v>70</v>
      </c>
      <c r="C95" s="148"/>
      <c r="D95" s="19" t="s">
        <v>206</v>
      </c>
      <c r="E95" s="19" t="s">
        <v>209</v>
      </c>
      <c r="F95" s="20">
        <v>56146.2</v>
      </c>
      <c r="G95" s="20"/>
      <c r="H95" s="146" t="s">
        <v>213</v>
      </c>
      <c r="I95" s="151"/>
      <c r="J95" s="151"/>
      <c r="K95" s="151"/>
      <c r="L95" s="151"/>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v>28073.1</v>
      </c>
      <c r="G96" s="20"/>
      <c r="H96" s="146" t="s">
        <v>214</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v>21055.1</v>
      </c>
      <c r="G97" s="20"/>
      <c r="H97" s="146" t="s">
        <v>215</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210</v>
      </c>
      <c r="F98" s="20"/>
      <c r="G98" s="20"/>
      <c r="H98" s="146" t="s">
        <v>211</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212</v>
      </c>
      <c r="I99" s="151"/>
      <c r="J99" s="151"/>
      <c r="K99" s="151"/>
      <c r="L99" s="151"/>
      <c r="M99" s="29"/>
      <c r="N99" s="3"/>
      <c r="O99" s="3"/>
      <c r="P99" s="3"/>
      <c r="Q99" s="3"/>
      <c r="R99" s="3"/>
      <c r="S99" s="3"/>
      <c r="T99" s="3"/>
      <c r="U99" s="3"/>
      <c r="V99" s="3"/>
      <c r="W99" s="3"/>
      <c r="X99" s="3"/>
      <c r="Y99" s="3"/>
      <c r="Z99" s="3"/>
      <c r="AA99" s="3"/>
      <c r="AB99" s="3"/>
    </row>
    <row r="100" spans="1:28" ht="14" x14ac:dyDescent="0.2">
      <c r="A100" s="17" t="s">
        <v>216</v>
      </c>
      <c r="B100" s="146" t="s">
        <v>217</v>
      </c>
      <c r="C100" s="154"/>
      <c r="D100" s="19" t="s">
        <v>206</v>
      </c>
      <c r="E100" s="19" t="s">
        <v>155</v>
      </c>
      <c r="F100" s="20">
        <v>683.84</v>
      </c>
      <c r="G100" s="20"/>
      <c r="H100" s="146" t="s">
        <v>218</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79</v>
      </c>
      <c r="B101" s="146" t="s">
        <v>19</v>
      </c>
      <c r="C101" s="148"/>
      <c r="D101" s="19" t="s">
        <v>77</v>
      </c>
      <c r="E101" s="19" t="s">
        <v>153</v>
      </c>
      <c r="F101" s="20"/>
      <c r="G101" s="20"/>
      <c r="H101" s="18" t="s">
        <v>80</v>
      </c>
      <c r="I101" s="28"/>
      <c r="J101" s="28"/>
      <c r="K101" s="28"/>
      <c r="L101" s="28"/>
      <c r="M101" s="29"/>
      <c r="N101" s="3"/>
      <c r="O101" s="3"/>
      <c r="P101" s="3"/>
      <c r="Q101" s="3"/>
      <c r="R101" s="3"/>
      <c r="S101" s="3"/>
      <c r="T101" s="3"/>
      <c r="U101" s="3"/>
      <c r="V101" s="3"/>
      <c r="W101" s="3"/>
      <c r="X101" s="3"/>
      <c r="Y101" s="3"/>
      <c r="Z101" s="3"/>
      <c r="AA101" s="3"/>
      <c r="AB101" s="3"/>
    </row>
    <row r="102" spans="1:28" ht="14" x14ac:dyDescent="0.2">
      <c r="A102" s="17" t="s">
        <v>219</v>
      </c>
      <c r="B102" s="151" t="s">
        <v>220</v>
      </c>
      <c r="C102" s="148"/>
      <c r="D102" s="19" t="s">
        <v>77</v>
      </c>
      <c r="E102" s="39" t="s">
        <v>155</v>
      </c>
      <c r="F102" s="20">
        <v>1250</v>
      </c>
      <c r="G102" s="20"/>
      <c r="H102" s="146" t="s">
        <v>221</v>
      </c>
      <c r="I102" s="151"/>
      <c r="J102" s="151"/>
      <c r="K102" s="151"/>
      <c r="L102" s="154"/>
      <c r="M102" s="18"/>
      <c r="N102" s="3"/>
      <c r="O102" s="3"/>
      <c r="P102" s="3"/>
      <c r="Q102" s="3"/>
      <c r="R102" s="3"/>
      <c r="S102" s="3"/>
      <c r="T102" s="3"/>
      <c r="U102" s="3"/>
      <c r="V102" s="3"/>
      <c r="W102" s="3"/>
      <c r="X102" s="3"/>
      <c r="Y102" s="3"/>
      <c r="Z102" s="3"/>
      <c r="AA102" s="3"/>
      <c r="AB102" s="3"/>
    </row>
    <row r="103" spans="1:28" ht="14" x14ac:dyDescent="0.2">
      <c r="A103" s="24" t="s">
        <v>222</v>
      </c>
      <c r="B103" s="151" t="s">
        <v>220</v>
      </c>
      <c r="C103" s="148"/>
      <c r="D103" s="19" t="s">
        <v>77</v>
      </c>
      <c r="E103" s="39" t="s">
        <v>155</v>
      </c>
      <c r="F103" s="27">
        <v>213</v>
      </c>
      <c r="G103" s="27"/>
      <c r="H103" s="24" t="s">
        <v>223</v>
      </c>
      <c r="I103" s="25"/>
      <c r="J103" s="25"/>
      <c r="K103" s="25"/>
      <c r="L103" s="25"/>
      <c r="M103" s="25"/>
      <c r="N103" s="3"/>
      <c r="O103" s="3"/>
      <c r="P103" s="3"/>
      <c r="Q103" s="3"/>
      <c r="R103" s="3"/>
      <c r="S103" s="3"/>
      <c r="T103" s="3"/>
      <c r="U103" s="3"/>
      <c r="V103" s="3"/>
      <c r="W103" s="3"/>
      <c r="X103" s="3"/>
      <c r="Y103" s="3"/>
      <c r="Z103" s="3"/>
      <c r="AA103" s="3"/>
      <c r="AB103" s="3"/>
    </row>
    <row r="104" spans="1:28" ht="14" x14ac:dyDescent="0.2">
      <c r="A104" s="24" t="s">
        <v>224</v>
      </c>
      <c r="B104" s="151" t="s">
        <v>225</v>
      </c>
      <c r="C104" s="148"/>
      <c r="D104" s="19" t="s">
        <v>77</v>
      </c>
      <c r="E104" s="39" t="s">
        <v>155</v>
      </c>
      <c r="F104" s="27"/>
      <c r="G104" s="27"/>
      <c r="H104" s="24" t="s">
        <v>101</v>
      </c>
      <c r="I104" s="25"/>
      <c r="J104" s="25"/>
      <c r="K104" s="25"/>
      <c r="L104" s="25"/>
      <c r="M104" s="25"/>
      <c r="N104" s="3"/>
      <c r="O104" s="3"/>
      <c r="P104" s="3"/>
      <c r="Q104" s="3"/>
      <c r="R104" s="3"/>
      <c r="S104" s="3"/>
      <c r="T104" s="3"/>
      <c r="U104" s="3"/>
      <c r="V104" s="3"/>
      <c r="W104" s="3"/>
      <c r="X104" s="3"/>
      <c r="Y104" s="3"/>
      <c r="Z104" s="3"/>
      <c r="AA104" s="3"/>
      <c r="AB104" s="3"/>
    </row>
    <row r="105" spans="1:28" ht="14" x14ac:dyDescent="0.2">
      <c r="A105" s="3"/>
      <c r="B105" s="3"/>
      <c r="C105" s="3"/>
      <c r="D105" s="3"/>
      <c r="F105" s="23">
        <f>SUM(F78:F104)</f>
        <v>139656.57</v>
      </c>
      <c r="G105" s="23">
        <f>SUM(G79:G104)</f>
        <v>6946.53</v>
      </c>
      <c r="H105" s="3"/>
      <c r="I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sheetData>
  <mergeCells count="35">
    <mergeCell ref="B82:C82"/>
    <mergeCell ref="B77:C77"/>
    <mergeCell ref="B78:C78"/>
    <mergeCell ref="B79:C79"/>
    <mergeCell ref="B80:C80"/>
    <mergeCell ref="B81:C81"/>
    <mergeCell ref="B103:C103"/>
    <mergeCell ref="B104:C104"/>
    <mergeCell ref="B83:C83"/>
    <mergeCell ref="B84:C84"/>
    <mergeCell ref="B92:C92"/>
    <mergeCell ref="B101:C101"/>
    <mergeCell ref="B85:C85"/>
    <mergeCell ref="B86:C86"/>
    <mergeCell ref="B87:C87"/>
    <mergeCell ref="B88:C88"/>
    <mergeCell ref="B91:C91"/>
    <mergeCell ref="B100:C100"/>
    <mergeCell ref="B98:C98"/>
    <mergeCell ref="B102:C102"/>
    <mergeCell ref="H102:L102"/>
    <mergeCell ref="B90:C90"/>
    <mergeCell ref="B93:C93"/>
    <mergeCell ref="B99:C99"/>
    <mergeCell ref="B94:C94"/>
    <mergeCell ref="H94:L94"/>
    <mergeCell ref="B95:C95"/>
    <mergeCell ref="B96:C96"/>
    <mergeCell ref="B97:C97"/>
    <mergeCell ref="H95:L95"/>
    <mergeCell ref="H96:L96"/>
    <mergeCell ref="H97:L97"/>
    <mergeCell ref="H98:L98"/>
    <mergeCell ref="H99:L99"/>
    <mergeCell ref="H100:L100"/>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13F02-2AE6-A04A-9D73-85099513DBC1}">
  <sheetPr>
    <outlinePr summaryBelow="0" summaryRight="0"/>
    <pageSetUpPr fitToPage="1"/>
  </sheetPr>
  <dimension ref="A1:AB1049"/>
  <sheetViews>
    <sheetView topLeftCell="A21"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45748</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SUM(32*8.5)*22</f>
        <v>5984</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6140.74</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156.73999999999978</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55.75</v>
      </c>
      <c r="D13" s="3">
        <v>224.12</v>
      </c>
      <c r="E13" s="3"/>
      <c r="F13" s="3">
        <v>39.64</v>
      </c>
      <c r="G13" s="3">
        <v>124.02</v>
      </c>
      <c r="H13" s="3">
        <v>28.33</v>
      </c>
      <c r="I13" s="3">
        <v>77.08</v>
      </c>
      <c r="J13" s="3">
        <v>8.75</v>
      </c>
      <c r="K13" s="3">
        <v>27.5</v>
      </c>
      <c r="L13" s="3"/>
      <c r="M13" s="3">
        <v>24.58</v>
      </c>
      <c r="N13" s="3">
        <v>24.5</v>
      </c>
      <c r="O13" s="3">
        <v>522</v>
      </c>
      <c r="P13" s="3">
        <v>347.25</v>
      </c>
      <c r="Q13" s="3">
        <v>472.5</v>
      </c>
      <c r="R13" s="3"/>
      <c r="S13" s="3">
        <v>22</v>
      </c>
      <c r="T13" s="34">
        <f>SUM(C13:S13)</f>
        <v>1998.02</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273.60000000000002</v>
      </c>
      <c r="D18" s="3">
        <v>132.01</v>
      </c>
      <c r="E18" s="3">
        <v>0.77</v>
      </c>
      <c r="F18" s="3">
        <v>114.76</v>
      </c>
      <c r="G18" s="3">
        <v>15.25</v>
      </c>
      <c r="H18" s="3">
        <v>0.5</v>
      </c>
      <c r="I18" s="3"/>
      <c r="J18" s="34">
        <f t="shared" si="0"/>
        <v>536.89</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c r="E20" s="3"/>
      <c r="F20" s="3">
        <v>0.25</v>
      </c>
      <c r="G20" s="3"/>
      <c r="H20" s="3"/>
      <c r="I20" s="3"/>
      <c r="J20" s="34">
        <f t="shared" si="0"/>
        <v>0.25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186</v>
      </c>
      <c r="B22" s="3" t="s">
        <v>132</v>
      </c>
      <c r="C22" s="3">
        <v>12</v>
      </c>
      <c r="D22" s="3">
        <v>14.08</v>
      </c>
      <c r="E22" s="3"/>
      <c r="F22" s="3">
        <v>4.75</v>
      </c>
      <c r="G22" s="3"/>
      <c r="H22" s="3"/>
      <c r="I22" s="3"/>
      <c r="J22" s="34">
        <f t="shared" si="0"/>
        <v>30.83</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330.32</v>
      </c>
      <c r="D25" s="3">
        <v>330.68</v>
      </c>
      <c r="E25" s="3">
        <v>40.770000000000003</v>
      </c>
      <c r="F25" s="3">
        <v>135.25</v>
      </c>
      <c r="G25" s="3">
        <v>8.25</v>
      </c>
      <c r="H25" s="3">
        <v>4</v>
      </c>
      <c r="I25" s="3">
        <v>10.25</v>
      </c>
      <c r="J25" s="34">
        <f t="shared" si="0"/>
        <v>859.52</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c r="E26" s="3"/>
      <c r="F26" s="3"/>
      <c r="G26" s="3"/>
      <c r="H26" s="3"/>
      <c r="I26" s="3"/>
      <c r="J26" s="34">
        <f t="shared" si="0"/>
        <v>0</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111.67</v>
      </c>
      <c r="D28" s="3">
        <v>50.25</v>
      </c>
      <c r="E28" s="3"/>
      <c r="F28" s="3">
        <v>2</v>
      </c>
      <c r="G28" s="3"/>
      <c r="H28" s="3"/>
      <c r="I28" s="3"/>
      <c r="J28" s="34">
        <f t="shared" si="0"/>
        <v>163.92000000000002</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v>2.75</v>
      </c>
      <c r="E29" s="3"/>
      <c r="F29" s="3">
        <v>19.75</v>
      </c>
      <c r="G29" s="3"/>
      <c r="H29" s="3">
        <v>0.5</v>
      </c>
      <c r="I29" s="3"/>
      <c r="J29" s="34">
        <f t="shared" si="0"/>
        <v>23</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17.5</v>
      </c>
      <c r="E30" s="3"/>
      <c r="F30" s="3">
        <v>9.25</v>
      </c>
      <c r="G30" s="3">
        <v>1.5</v>
      </c>
      <c r="H30" s="3"/>
      <c r="I30" s="3"/>
      <c r="J30" s="34">
        <f t="shared" si="0"/>
        <v>28.25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0.32</v>
      </c>
      <c r="D31" s="3">
        <v>27</v>
      </c>
      <c r="E31" s="3"/>
      <c r="F31" s="3">
        <v>20.5</v>
      </c>
      <c r="G31" s="3"/>
      <c r="H31" s="3">
        <v>46.5</v>
      </c>
      <c r="I31" s="3"/>
      <c r="J31" s="34">
        <f t="shared" si="0"/>
        <v>94.32</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282</v>
      </c>
      <c r="D33" s="3">
        <v>128.75</v>
      </c>
      <c r="E33" s="3">
        <v>159.75</v>
      </c>
      <c r="F33" s="3">
        <v>21.25</v>
      </c>
      <c r="G33" s="3">
        <v>42.16</v>
      </c>
      <c r="H33" s="3"/>
      <c r="I33" s="3"/>
      <c r="J33" s="34">
        <f t="shared" si="0"/>
        <v>633.91</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v>0.42</v>
      </c>
      <c r="D37" s="3">
        <v>12.5</v>
      </c>
      <c r="E37" s="3">
        <v>2</v>
      </c>
      <c r="F37" s="3">
        <v>0.5</v>
      </c>
      <c r="G37" s="3"/>
      <c r="H37" s="3"/>
      <c r="I37" s="3"/>
      <c r="J37" s="34">
        <f t="shared" si="0"/>
        <v>15.42</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46</v>
      </c>
      <c r="D39" s="3">
        <v>14.75</v>
      </c>
      <c r="E39" s="3">
        <v>8.25</v>
      </c>
      <c r="F39" s="3">
        <v>23</v>
      </c>
      <c r="G39" s="3"/>
      <c r="H39" s="3">
        <v>39.5</v>
      </c>
      <c r="I39" s="3"/>
      <c r="J39" s="34">
        <f t="shared" si="0"/>
        <v>131.5</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v>4.5</v>
      </c>
      <c r="E40" s="3"/>
      <c r="F40" s="3">
        <v>19</v>
      </c>
      <c r="G40" s="3"/>
      <c r="H40" s="3">
        <v>3</v>
      </c>
      <c r="I40" s="3"/>
      <c r="J40" s="34">
        <f t="shared" si="0"/>
        <v>26.5</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c r="E42" s="3"/>
      <c r="F42" s="3">
        <v>0.25</v>
      </c>
      <c r="G42" s="3"/>
      <c r="H42" s="3"/>
      <c r="I42" s="3"/>
      <c r="J42" s="34">
        <f t="shared" si="0"/>
        <v>0.25</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274.95999999999998</v>
      </c>
      <c r="D44" s="3">
        <v>155.66999999999999</v>
      </c>
      <c r="E44" s="3">
        <v>30</v>
      </c>
      <c r="F44" s="3">
        <v>135.75</v>
      </c>
      <c r="G44" s="3"/>
      <c r="H44" s="3">
        <v>36.25</v>
      </c>
      <c r="I44" s="3">
        <v>5.4</v>
      </c>
      <c r="J44" s="34">
        <f t="shared" si="0"/>
        <v>638.03</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201.08</v>
      </c>
      <c r="D45" s="3">
        <v>64.34</v>
      </c>
      <c r="E45" s="3">
        <v>5</v>
      </c>
      <c r="F45" s="3">
        <v>93.5</v>
      </c>
      <c r="G45" s="3"/>
      <c r="H45" s="3">
        <v>22.25</v>
      </c>
      <c r="I45" s="3"/>
      <c r="J45" s="34">
        <f t="shared" si="0"/>
        <v>386.17</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v>1</v>
      </c>
      <c r="E47" s="3"/>
      <c r="F47" s="3">
        <v>0.5</v>
      </c>
      <c r="G47" s="3"/>
      <c r="H47" s="3"/>
      <c r="I47" s="3"/>
      <c r="J47" s="34">
        <f t="shared" si="0"/>
        <v>1.5</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v>1.5</v>
      </c>
      <c r="E49" s="3"/>
      <c r="F49" s="3">
        <v>29</v>
      </c>
      <c r="G49" s="3"/>
      <c r="H49" s="3"/>
      <c r="I49" s="3"/>
      <c r="J49" s="34">
        <f t="shared" si="0"/>
        <v>30.5</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v>0.25</v>
      </c>
      <c r="E52" s="3"/>
      <c r="F52" s="3">
        <v>0.5</v>
      </c>
      <c r="G52" s="3"/>
      <c r="H52" s="3"/>
      <c r="I52" s="3"/>
      <c r="J52" s="34">
        <f t="shared" si="0"/>
        <v>0.75</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78.92</v>
      </c>
      <c r="D53" s="3">
        <v>56</v>
      </c>
      <c r="E53" s="3">
        <v>1.5</v>
      </c>
      <c r="F53" s="3">
        <v>102.5</v>
      </c>
      <c r="G53" s="3"/>
      <c r="H53" s="3">
        <v>3.5</v>
      </c>
      <c r="I53" s="3"/>
      <c r="J53" s="34">
        <f t="shared" si="0"/>
        <v>242.42000000000002</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96.74</v>
      </c>
      <c r="D56" s="3">
        <v>15.25</v>
      </c>
      <c r="E56" s="3"/>
      <c r="F56" s="3">
        <v>5.5</v>
      </c>
      <c r="G56" s="3"/>
      <c r="H56" s="3"/>
      <c r="I56" s="3"/>
      <c r="J56" s="34">
        <f t="shared" si="0"/>
        <v>117.49</v>
      </c>
      <c r="K56" s="3"/>
      <c r="L56" s="3"/>
      <c r="M56" s="3"/>
      <c r="N56" s="3"/>
      <c r="O56" s="3"/>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3961.42</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0.25</v>
      </c>
      <c r="D64" s="3"/>
      <c r="E64" s="3">
        <v>1.5</v>
      </c>
      <c r="F64" s="3"/>
      <c r="G64" s="1">
        <f t="shared" ref="G64:G71" si="1">SUM(C64:F64)</f>
        <v>1.75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99.9</v>
      </c>
      <c r="D65" s="3"/>
      <c r="E65" s="3">
        <v>28.97</v>
      </c>
      <c r="F65" s="3"/>
      <c r="G65" s="1">
        <f t="shared" si="1"/>
        <v>128.87</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1"/>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8.18</v>
      </c>
      <c r="D67" s="3"/>
      <c r="E67" s="3">
        <v>23.18</v>
      </c>
      <c r="F67" s="3"/>
      <c r="G67" s="1">
        <f t="shared" si="1"/>
        <v>31.36</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15.27</v>
      </c>
      <c r="D68" s="3"/>
      <c r="E68" s="3">
        <v>1.8</v>
      </c>
      <c r="F68" s="3"/>
      <c r="G68" s="1">
        <f t="shared" si="1"/>
        <v>17.07</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2.25</v>
      </c>
      <c r="D71" s="3"/>
      <c r="E71" s="3"/>
      <c r="F71" s="3"/>
      <c r="G71" s="1">
        <f t="shared" si="1"/>
        <v>2.25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125.85000000000001</v>
      </c>
      <c r="D72" s="1">
        <f>SUM(D64:D71)</f>
        <v>0</v>
      </c>
      <c r="E72" s="1">
        <f>SUM(E64:E71)</f>
        <v>55.449999999999996</v>
      </c>
      <c r="F72" s="1">
        <f>SUM(F63:F71)</f>
        <v>0</v>
      </c>
      <c r="G72" s="1">
        <f>SUM(C72:F72)</f>
        <v>181.3</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194</v>
      </c>
      <c r="C88" s="148"/>
      <c r="D88" s="46" t="s">
        <v>77</v>
      </c>
      <c r="E88" s="26" t="s">
        <v>155</v>
      </c>
      <c r="F88" s="22"/>
      <c r="G88" s="22"/>
      <c r="H88" s="37" t="s">
        <v>195</v>
      </c>
      <c r="I88" s="28"/>
      <c r="J88" s="28"/>
      <c r="K88" s="28"/>
      <c r="L88" s="28"/>
      <c r="M88" s="29"/>
      <c r="N88" s="3"/>
      <c r="O88" s="3"/>
      <c r="P88" s="3"/>
      <c r="Q88" s="3"/>
      <c r="R88" s="3"/>
      <c r="S88" s="3"/>
      <c r="T88" s="3"/>
      <c r="U88" s="3"/>
      <c r="V88" s="3"/>
      <c r="W88" s="3"/>
      <c r="X88" s="3"/>
      <c r="Y88" s="3"/>
      <c r="Z88" s="3"/>
      <c r="AA88" s="3"/>
      <c r="AB88" s="3"/>
    </row>
    <row r="89" spans="1:28" ht="14" x14ac:dyDescent="0.2">
      <c r="A89" s="15" t="s">
        <v>196</v>
      </c>
      <c r="B89" s="37" t="s">
        <v>197</v>
      </c>
      <c r="C89" s="29"/>
      <c r="D89" s="46" t="s">
        <v>77</v>
      </c>
      <c r="E89" s="26" t="s">
        <v>155</v>
      </c>
      <c r="F89" s="22"/>
      <c r="G89" s="22"/>
      <c r="H89" s="37" t="s">
        <v>198</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152" t="s">
        <v>93</v>
      </c>
      <c r="C90" s="148"/>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199</v>
      </c>
      <c r="B91" s="152" t="s">
        <v>200</v>
      </c>
      <c r="C91" s="148"/>
      <c r="D91" s="46" t="s">
        <v>77</v>
      </c>
      <c r="E91" s="26" t="s">
        <v>155</v>
      </c>
      <c r="F91" s="22"/>
      <c r="G91" s="22"/>
      <c r="H91" s="37" t="s">
        <v>201</v>
      </c>
      <c r="I91" s="28"/>
      <c r="J91" s="28"/>
      <c r="K91" s="28"/>
      <c r="L91" s="28"/>
      <c r="M91" s="29"/>
      <c r="N91" s="3"/>
      <c r="O91" s="3"/>
      <c r="P91" s="3"/>
      <c r="Q91" s="3"/>
      <c r="R91" s="3"/>
      <c r="S91" s="3"/>
      <c r="T91" s="3"/>
      <c r="U91" s="3"/>
      <c r="V91" s="3"/>
      <c r="W91" s="3"/>
      <c r="X91" s="3"/>
      <c r="Y91" s="3"/>
      <c r="Z91" s="3"/>
      <c r="AA91" s="3"/>
      <c r="AB91" s="3"/>
    </row>
    <row r="92" spans="1:28" ht="14" x14ac:dyDescent="0.2">
      <c r="A92" s="17" t="s">
        <v>75</v>
      </c>
      <c r="B92" s="146" t="s">
        <v>76</v>
      </c>
      <c r="C92" s="148"/>
      <c r="D92" s="19" t="s">
        <v>77</v>
      </c>
      <c r="E92" s="19" t="s">
        <v>153</v>
      </c>
      <c r="F92" s="20"/>
      <c r="G92" s="20">
        <v>54.48</v>
      </c>
      <c r="H92" s="18" t="s">
        <v>78</v>
      </c>
      <c r="I92" s="28"/>
      <c r="J92" s="28"/>
      <c r="K92" s="28"/>
      <c r="L92" s="28"/>
      <c r="M92" s="29"/>
      <c r="N92" s="3"/>
      <c r="O92" s="3"/>
      <c r="P92" s="3"/>
      <c r="Q92" s="3"/>
      <c r="R92" s="3"/>
      <c r="S92" s="3"/>
      <c r="T92" s="3"/>
      <c r="U92" s="3"/>
      <c r="V92" s="3"/>
      <c r="W92" s="3"/>
      <c r="X92" s="3"/>
      <c r="Y92" s="3"/>
      <c r="Z92" s="3"/>
      <c r="AA92" s="3"/>
      <c r="AB92" s="3"/>
    </row>
    <row r="93" spans="1:28" ht="14" x14ac:dyDescent="0.2">
      <c r="A93" s="17" t="s">
        <v>108</v>
      </c>
      <c r="B93" s="146" t="s">
        <v>202</v>
      </c>
      <c r="C93" s="148"/>
      <c r="D93" s="19" t="s">
        <v>77</v>
      </c>
      <c r="E93" s="19" t="s">
        <v>203</v>
      </c>
      <c r="F93" s="20"/>
      <c r="G93" s="20"/>
      <c r="H93" s="18" t="s">
        <v>204</v>
      </c>
      <c r="I93" s="28"/>
      <c r="J93" s="28"/>
      <c r="K93" s="28"/>
      <c r="L93" s="28"/>
      <c r="M93" s="29"/>
      <c r="N93" s="3"/>
      <c r="O93" s="3"/>
      <c r="P93" s="3"/>
      <c r="Q93" s="3"/>
      <c r="R93" s="3"/>
      <c r="S93" s="3"/>
      <c r="T93" s="3"/>
      <c r="U93" s="3"/>
      <c r="V93" s="3"/>
      <c r="W93" s="3"/>
      <c r="X93" s="3"/>
      <c r="Y93" s="3"/>
      <c r="Z93" s="3"/>
      <c r="AA93" s="3"/>
      <c r="AB93" s="3"/>
    </row>
    <row r="94" spans="1:28" ht="14" x14ac:dyDescent="0.2">
      <c r="A94" s="17" t="s">
        <v>205</v>
      </c>
      <c r="B94" s="146" t="s">
        <v>149</v>
      </c>
      <c r="C94" s="154"/>
      <c r="D94" s="19" t="s">
        <v>206</v>
      </c>
      <c r="E94" s="19" t="s">
        <v>153</v>
      </c>
      <c r="F94" s="20"/>
      <c r="G94" s="20">
        <v>4589.3</v>
      </c>
      <c r="H94" s="146" t="s">
        <v>207</v>
      </c>
      <c r="I94" s="155"/>
      <c r="J94" s="155"/>
      <c r="K94" s="155"/>
      <c r="L94" s="155"/>
      <c r="M94" s="29"/>
      <c r="N94" s="3"/>
      <c r="O94" s="3"/>
      <c r="P94" s="3"/>
      <c r="Q94" s="3"/>
      <c r="R94" s="3"/>
      <c r="S94" s="3"/>
      <c r="T94" s="3"/>
      <c r="U94" s="3"/>
      <c r="V94" s="3"/>
      <c r="W94" s="3"/>
      <c r="X94" s="3"/>
      <c r="Y94" s="3"/>
      <c r="Z94" s="3"/>
      <c r="AA94" s="3"/>
      <c r="AB94" s="3"/>
    </row>
    <row r="95" spans="1:28" ht="14" x14ac:dyDescent="0.2">
      <c r="A95" s="17" t="s">
        <v>208</v>
      </c>
      <c r="B95" s="146" t="s">
        <v>70</v>
      </c>
      <c r="C95" s="148"/>
      <c r="D95" s="19" t="s">
        <v>206</v>
      </c>
      <c r="E95" s="19" t="s">
        <v>209</v>
      </c>
      <c r="F95" s="20"/>
      <c r="G95" s="20"/>
      <c r="H95" s="146" t="s">
        <v>213</v>
      </c>
      <c r="I95" s="151"/>
      <c r="J95" s="151"/>
      <c r="K95" s="151"/>
      <c r="L95" s="151"/>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214</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215</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210</v>
      </c>
      <c r="F98" s="20"/>
      <c r="G98" s="20"/>
      <c r="H98" s="146" t="s">
        <v>211</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212</v>
      </c>
      <c r="I99" s="151"/>
      <c r="J99" s="151"/>
      <c r="K99" s="151"/>
      <c r="L99" s="151"/>
      <c r="M99" s="29"/>
      <c r="N99" s="3"/>
      <c r="O99" s="3"/>
      <c r="P99" s="3"/>
      <c r="Q99" s="3"/>
      <c r="R99" s="3"/>
      <c r="S99" s="3"/>
      <c r="T99" s="3"/>
      <c r="U99" s="3"/>
      <c r="V99" s="3"/>
      <c r="W99" s="3"/>
      <c r="X99" s="3"/>
      <c r="Y99" s="3"/>
      <c r="Z99" s="3"/>
      <c r="AA99" s="3"/>
      <c r="AB99" s="3"/>
    </row>
    <row r="100" spans="1:28" ht="14" x14ac:dyDescent="0.2">
      <c r="A100" s="17" t="s">
        <v>216</v>
      </c>
      <c r="B100" s="146" t="s">
        <v>217</v>
      </c>
      <c r="C100" s="154"/>
      <c r="D100" s="19" t="s">
        <v>206</v>
      </c>
      <c r="E100" s="19" t="s">
        <v>155</v>
      </c>
      <c r="F100" s="20"/>
      <c r="G100" s="20"/>
      <c r="H100" s="146" t="s">
        <v>218</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79</v>
      </c>
      <c r="B101" s="146" t="s">
        <v>19</v>
      </c>
      <c r="C101" s="148"/>
      <c r="D101" s="19" t="s">
        <v>77</v>
      </c>
      <c r="E101" s="19" t="s">
        <v>153</v>
      </c>
      <c r="F101" s="20"/>
      <c r="G101" s="20"/>
      <c r="H101" s="18" t="s">
        <v>80</v>
      </c>
      <c r="I101" s="28"/>
      <c r="J101" s="28"/>
      <c r="K101" s="28"/>
      <c r="L101" s="28"/>
      <c r="M101" s="29"/>
      <c r="N101" s="3"/>
      <c r="O101" s="3"/>
      <c r="P101" s="3"/>
      <c r="Q101" s="3"/>
      <c r="R101" s="3"/>
      <c r="S101" s="3"/>
      <c r="T101" s="3"/>
      <c r="U101" s="3"/>
      <c r="V101" s="3"/>
      <c r="W101" s="3"/>
      <c r="X101" s="3"/>
      <c r="Y101" s="3"/>
      <c r="Z101" s="3"/>
      <c r="AA101" s="3"/>
      <c r="AB101" s="3"/>
    </row>
    <row r="102" spans="1:28" ht="14" x14ac:dyDescent="0.2">
      <c r="A102" s="17" t="s">
        <v>219</v>
      </c>
      <c r="B102" s="151" t="s">
        <v>220</v>
      </c>
      <c r="C102" s="148"/>
      <c r="D102" s="19" t="s">
        <v>77</v>
      </c>
      <c r="E102" s="39" t="s">
        <v>155</v>
      </c>
      <c r="F102" s="20"/>
      <c r="G102" s="20"/>
      <c r="H102" s="146" t="s">
        <v>221</v>
      </c>
      <c r="I102" s="151"/>
      <c r="J102" s="151"/>
      <c r="K102" s="151"/>
      <c r="L102" s="154"/>
      <c r="M102" s="18"/>
      <c r="N102" s="3"/>
      <c r="O102" s="3"/>
      <c r="P102" s="3"/>
      <c r="Q102" s="3"/>
      <c r="R102" s="3"/>
      <c r="S102" s="3"/>
      <c r="T102" s="3"/>
      <c r="U102" s="3"/>
      <c r="V102" s="3"/>
      <c r="W102" s="3"/>
      <c r="X102" s="3"/>
      <c r="Y102" s="3"/>
      <c r="Z102" s="3"/>
      <c r="AA102" s="3"/>
      <c r="AB102" s="3"/>
    </row>
    <row r="103" spans="1:28" ht="14" x14ac:dyDescent="0.2">
      <c r="A103" s="24" t="s">
        <v>222</v>
      </c>
      <c r="B103" s="151" t="s">
        <v>220</v>
      </c>
      <c r="C103" s="148"/>
      <c r="D103" s="19" t="s">
        <v>77</v>
      </c>
      <c r="E103" s="39" t="s">
        <v>155</v>
      </c>
      <c r="F103" s="27"/>
      <c r="G103" s="27"/>
      <c r="H103" s="24" t="s">
        <v>223</v>
      </c>
      <c r="I103" s="25"/>
      <c r="J103" s="25"/>
      <c r="K103" s="25"/>
      <c r="L103" s="25"/>
      <c r="M103" s="25"/>
      <c r="N103" s="3"/>
      <c r="O103" s="3"/>
      <c r="P103" s="3"/>
      <c r="Q103" s="3"/>
      <c r="R103" s="3"/>
      <c r="S103" s="3"/>
      <c r="T103" s="3"/>
      <c r="U103" s="3"/>
      <c r="V103" s="3"/>
      <c r="W103" s="3"/>
      <c r="X103" s="3"/>
      <c r="Y103" s="3"/>
      <c r="Z103" s="3"/>
      <c r="AA103" s="3"/>
      <c r="AB103" s="3"/>
    </row>
    <row r="104" spans="1:28" ht="14" x14ac:dyDescent="0.2">
      <c r="A104" s="24" t="s">
        <v>224</v>
      </c>
      <c r="B104" s="151" t="s">
        <v>225</v>
      </c>
      <c r="C104" s="148"/>
      <c r="D104" s="19" t="s">
        <v>77</v>
      </c>
      <c r="E104" s="39" t="s">
        <v>155</v>
      </c>
      <c r="F104" s="27"/>
      <c r="G104" s="27"/>
      <c r="H104" s="24" t="s">
        <v>101</v>
      </c>
      <c r="I104" s="25"/>
      <c r="J104" s="25"/>
      <c r="K104" s="25"/>
      <c r="L104" s="25"/>
      <c r="M104" s="25"/>
      <c r="N104" s="3"/>
      <c r="O104" s="3"/>
      <c r="P104" s="3"/>
      <c r="Q104" s="3"/>
      <c r="R104" s="3"/>
      <c r="S104" s="3"/>
      <c r="T104" s="3"/>
      <c r="U104" s="3"/>
      <c r="V104" s="3"/>
      <c r="W104" s="3"/>
      <c r="X104" s="3"/>
      <c r="Y104" s="3"/>
      <c r="Z104" s="3"/>
      <c r="AA104" s="3"/>
      <c r="AB104" s="3"/>
    </row>
    <row r="105" spans="1:28" ht="14" x14ac:dyDescent="0.2">
      <c r="A105" s="3"/>
      <c r="B105" s="3"/>
      <c r="C105" s="3"/>
      <c r="D105" s="3"/>
      <c r="F105" s="23">
        <f>SUM(F78:F104)</f>
        <v>0</v>
      </c>
      <c r="G105" s="23">
        <f>SUM(G79:G104)</f>
        <v>4643.78</v>
      </c>
      <c r="H105" s="3"/>
      <c r="I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sheetData>
  <mergeCells count="35">
    <mergeCell ref="B101:C101"/>
    <mergeCell ref="B102:C102"/>
    <mergeCell ref="H102:L102"/>
    <mergeCell ref="B103:C103"/>
    <mergeCell ref="B104:C104"/>
    <mergeCell ref="B98:C98"/>
    <mergeCell ref="H98:L98"/>
    <mergeCell ref="B99:C99"/>
    <mergeCell ref="H99:L99"/>
    <mergeCell ref="B100:C100"/>
    <mergeCell ref="H100:L100"/>
    <mergeCell ref="B95:C95"/>
    <mergeCell ref="H95:L95"/>
    <mergeCell ref="B96:C96"/>
    <mergeCell ref="H96:L96"/>
    <mergeCell ref="B97:C97"/>
    <mergeCell ref="H97:L97"/>
    <mergeCell ref="H94:L94"/>
    <mergeCell ref="B83:C83"/>
    <mergeCell ref="B84:C84"/>
    <mergeCell ref="B85:C85"/>
    <mergeCell ref="B86:C86"/>
    <mergeCell ref="B87:C87"/>
    <mergeCell ref="B88:C88"/>
    <mergeCell ref="B90:C90"/>
    <mergeCell ref="B91:C91"/>
    <mergeCell ref="B92:C92"/>
    <mergeCell ref="B93:C93"/>
    <mergeCell ref="B94:C94"/>
    <mergeCell ref="B82:C82"/>
    <mergeCell ref="B77:C77"/>
    <mergeCell ref="B78:C78"/>
    <mergeCell ref="B79:C79"/>
    <mergeCell ref="B80:C80"/>
    <mergeCell ref="B81:C8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29BA-BDA0-3542-A5AE-293A6EB4389B}">
  <sheetPr>
    <outlinePr summaryBelow="0" summaryRight="0"/>
    <pageSetUpPr fitToPage="1"/>
  </sheetPr>
  <dimension ref="A1:AB1049"/>
  <sheetViews>
    <sheetView topLeftCell="A27"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45778</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SUM(32*8.5)*22</f>
        <v>5984</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6116.7099999999991</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132.70999999999913</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46.08</v>
      </c>
      <c r="D13" s="3">
        <v>180.69</v>
      </c>
      <c r="E13" s="3"/>
      <c r="F13" s="3">
        <v>21.08</v>
      </c>
      <c r="G13" s="3">
        <v>2.12</v>
      </c>
      <c r="H13" s="3">
        <v>7</v>
      </c>
      <c r="I13" s="3">
        <v>45.08</v>
      </c>
      <c r="J13" s="3">
        <v>14.75</v>
      </c>
      <c r="K13" s="3">
        <v>27.75</v>
      </c>
      <c r="L13" s="3">
        <v>9</v>
      </c>
      <c r="M13" s="3">
        <v>16.579999999999998</v>
      </c>
      <c r="N13" s="3">
        <v>21.92</v>
      </c>
      <c r="O13" s="3">
        <v>456.4</v>
      </c>
      <c r="P13" s="3">
        <v>729</v>
      </c>
      <c r="Q13" s="3">
        <v>489.75</v>
      </c>
      <c r="R13" s="3"/>
      <c r="S13" s="3">
        <v>1</v>
      </c>
      <c r="T13" s="34">
        <f>SUM(C13:S13)</f>
        <v>2068.1999999999998</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107.84</v>
      </c>
      <c r="D18" s="3">
        <v>154.88999999999999</v>
      </c>
      <c r="E18" s="3">
        <v>2.88</v>
      </c>
      <c r="F18" s="3">
        <v>100.66</v>
      </c>
      <c r="G18" s="3">
        <v>56.26</v>
      </c>
      <c r="H18" s="3">
        <v>1</v>
      </c>
      <c r="I18" s="3">
        <v>41.05</v>
      </c>
      <c r="J18" s="34">
        <f t="shared" si="0"/>
        <v>464.58</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5.75</v>
      </c>
      <c r="D20" s="3">
        <v>1.5</v>
      </c>
      <c r="E20" s="3">
        <v>0.25</v>
      </c>
      <c r="F20" s="3"/>
      <c r="G20" s="3"/>
      <c r="H20" s="3"/>
      <c r="I20" s="3"/>
      <c r="J20" s="34">
        <f t="shared" si="0"/>
        <v>7.5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186</v>
      </c>
      <c r="B22" s="3" t="s">
        <v>132</v>
      </c>
      <c r="C22" s="3">
        <v>15.34</v>
      </c>
      <c r="D22" s="3">
        <v>6.25</v>
      </c>
      <c r="E22" s="3"/>
      <c r="F22" s="3">
        <v>6.85</v>
      </c>
      <c r="G22" s="3">
        <v>2</v>
      </c>
      <c r="H22" s="3">
        <v>0.75</v>
      </c>
      <c r="I22" s="3"/>
      <c r="J22" s="34">
        <f t="shared" si="0"/>
        <v>31.189999999999998</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213.72</v>
      </c>
      <c r="D25" s="3">
        <v>294.06</v>
      </c>
      <c r="E25" s="3">
        <v>34.42</v>
      </c>
      <c r="F25" s="3">
        <v>129.25</v>
      </c>
      <c r="G25" s="3">
        <v>8.5</v>
      </c>
      <c r="H25" s="3">
        <v>18.75</v>
      </c>
      <c r="I25" s="3">
        <v>6.75</v>
      </c>
      <c r="J25" s="34">
        <f t="shared" si="0"/>
        <v>705.44999999999993</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v>46.17</v>
      </c>
      <c r="E26" s="3"/>
      <c r="F26" s="3">
        <v>20.34</v>
      </c>
      <c r="G26" s="3"/>
      <c r="H26" s="3">
        <v>25</v>
      </c>
      <c r="I26" s="3"/>
      <c r="J26" s="34">
        <f t="shared" si="0"/>
        <v>91.51</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50.17</v>
      </c>
      <c r="D28" s="3">
        <v>35.75</v>
      </c>
      <c r="E28" s="3"/>
      <c r="F28" s="3">
        <v>35.5</v>
      </c>
      <c r="G28" s="3"/>
      <c r="H28" s="3">
        <v>1.5</v>
      </c>
      <c r="I28" s="3"/>
      <c r="J28" s="34">
        <f t="shared" si="0"/>
        <v>122.92</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v>1.25</v>
      </c>
      <c r="E29" s="3"/>
      <c r="F29" s="3"/>
      <c r="G29" s="3"/>
      <c r="H29" s="3">
        <v>1.25</v>
      </c>
      <c r="I29" s="3"/>
      <c r="J29" s="34">
        <f t="shared" si="0"/>
        <v>2.5</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1.5</v>
      </c>
      <c r="E30" s="3"/>
      <c r="F30" s="3"/>
      <c r="G30" s="3"/>
      <c r="H30" s="3"/>
      <c r="I30" s="3"/>
      <c r="J30" s="34">
        <f t="shared" si="0"/>
        <v>1.5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54.28</v>
      </c>
      <c r="D31" s="3">
        <v>29.2</v>
      </c>
      <c r="E31" s="3"/>
      <c r="F31" s="3">
        <v>1.25</v>
      </c>
      <c r="G31" s="3"/>
      <c r="H31" s="3">
        <v>7.25</v>
      </c>
      <c r="I31" s="3">
        <v>1</v>
      </c>
      <c r="J31" s="34">
        <f t="shared" si="0"/>
        <v>92.98</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254</v>
      </c>
      <c r="D33" s="3">
        <v>168.68</v>
      </c>
      <c r="E33" s="3">
        <v>206.66</v>
      </c>
      <c r="F33" s="3">
        <v>6.75</v>
      </c>
      <c r="G33" s="3">
        <v>39.25</v>
      </c>
      <c r="H33" s="3"/>
      <c r="I33" s="3"/>
      <c r="J33" s="34">
        <f t="shared" si="0"/>
        <v>675.34</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c r="E34" s="3"/>
      <c r="F34" s="3"/>
      <c r="G34" s="3"/>
      <c r="H34" s="3"/>
      <c r="I34" s="3"/>
      <c r="J34" s="34">
        <f t="shared" si="0"/>
        <v>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v>0.5</v>
      </c>
      <c r="E35" s="3"/>
      <c r="F35" s="3"/>
      <c r="G35" s="3">
        <v>2.5</v>
      </c>
      <c r="H35" s="3"/>
      <c r="I35" s="3"/>
      <c r="J35" s="34">
        <f t="shared" si="0"/>
        <v>3</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v>1.25</v>
      </c>
      <c r="D37" s="3">
        <v>1.75</v>
      </c>
      <c r="E37" s="3"/>
      <c r="F37" s="3"/>
      <c r="G37" s="3"/>
      <c r="H37" s="3"/>
      <c r="I37" s="3"/>
      <c r="J37" s="34">
        <f t="shared" si="0"/>
        <v>3</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19.37</v>
      </c>
      <c r="D39" s="3">
        <v>80</v>
      </c>
      <c r="E39" s="3">
        <v>16</v>
      </c>
      <c r="F39" s="3">
        <v>19.5</v>
      </c>
      <c r="G39" s="3"/>
      <c r="H39" s="3">
        <v>7.75</v>
      </c>
      <c r="I39" s="3">
        <v>15.75</v>
      </c>
      <c r="J39" s="34">
        <f t="shared" si="0"/>
        <v>158.37</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v>1.5</v>
      </c>
      <c r="E40" s="3"/>
      <c r="F40" s="3">
        <v>9.75</v>
      </c>
      <c r="G40" s="3"/>
      <c r="H40" s="3">
        <v>4</v>
      </c>
      <c r="I40" s="3"/>
      <c r="J40" s="34">
        <f t="shared" si="0"/>
        <v>15.25</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0.75</v>
      </c>
      <c r="E42" s="3"/>
      <c r="F42" s="3">
        <v>0.25</v>
      </c>
      <c r="G42" s="3"/>
      <c r="H42" s="3"/>
      <c r="I42" s="3"/>
      <c r="J42" s="34">
        <f t="shared" si="0"/>
        <v>1</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266.36</v>
      </c>
      <c r="D44" s="3">
        <v>131.26</v>
      </c>
      <c r="E44" s="3">
        <v>56.5</v>
      </c>
      <c r="F44" s="3">
        <v>97.75</v>
      </c>
      <c r="G44" s="3"/>
      <c r="H44" s="3">
        <v>45.75</v>
      </c>
      <c r="I44" s="3">
        <v>3.75</v>
      </c>
      <c r="J44" s="34">
        <f t="shared" si="0"/>
        <v>601.37</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266.75</v>
      </c>
      <c r="D45" s="3">
        <v>52.92</v>
      </c>
      <c r="E45" s="3"/>
      <c r="F45" s="3">
        <v>75.84</v>
      </c>
      <c r="G45" s="3"/>
      <c r="H45" s="3">
        <v>57.25</v>
      </c>
      <c r="I45" s="3">
        <v>2.25</v>
      </c>
      <c r="J45" s="34">
        <f t="shared" si="0"/>
        <v>455.01</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v>3</v>
      </c>
      <c r="E47" s="3"/>
      <c r="F47" s="3">
        <v>1</v>
      </c>
      <c r="G47" s="3"/>
      <c r="H47" s="3"/>
      <c r="I47" s="3"/>
      <c r="J47" s="34">
        <f t="shared" si="0"/>
        <v>4</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v>9</v>
      </c>
      <c r="G49" s="3"/>
      <c r="H49" s="3"/>
      <c r="I49" s="3"/>
      <c r="J49" s="34">
        <f t="shared" si="0"/>
        <v>9</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75.58</v>
      </c>
      <c r="D53" s="3">
        <v>77.33</v>
      </c>
      <c r="E53" s="3"/>
      <c r="F53" s="3">
        <v>71.08</v>
      </c>
      <c r="G53" s="3"/>
      <c r="H53" s="3">
        <v>1</v>
      </c>
      <c r="I53" s="3"/>
      <c r="J53" s="34">
        <f t="shared" si="0"/>
        <v>224.99</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70</v>
      </c>
      <c r="D56" s="3">
        <v>15.25</v>
      </c>
      <c r="E56" s="3"/>
      <c r="F56" s="3">
        <v>1.5</v>
      </c>
      <c r="G56" s="3"/>
      <c r="H56" s="3"/>
      <c r="I56" s="3"/>
      <c r="J56" s="34">
        <f t="shared" si="0"/>
        <v>86.75</v>
      </c>
      <c r="K56" s="3"/>
      <c r="L56" s="3"/>
      <c r="M56" s="3"/>
      <c r="N56" s="3"/>
      <c r="O56" s="3"/>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3757.2099999999991</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0.5</v>
      </c>
      <c r="D64" s="3"/>
      <c r="E64" s="3">
        <v>1.5</v>
      </c>
      <c r="F64" s="3"/>
      <c r="G64" s="1">
        <f t="shared" ref="G64:G71" si="1">SUM(C64:F64)</f>
        <v>2</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136.68</v>
      </c>
      <c r="D65" s="3"/>
      <c r="E65" s="3">
        <v>11</v>
      </c>
      <c r="F65" s="3">
        <v>23.51</v>
      </c>
      <c r="G65" s="1">
        <f t="shared" si="1"/>
        <v>171.19</v>
      </c>
      <c r="H65" s="3"/>
      <c r="I65" s="3"/>
      <c r="J65" s="3"/>
      <c r="K65" s="3"/>
      <c r="L65" s="3"/>
      <c r="M65" s="3"/>
      <c r="N65" s="3"/>
      <c r="O65" s="3"/>
      <c r="P65" s="3"/>
      <c r="Q65" s="3"/>
      <c r="R65" s="3"/>
      <c r="S65" s="3"/>
      <c r="T65" s="3"/>
      <c r="U65" s="3"/>
      <c r="V65" s="3"/>
      <c r="W65" s="3"/>
      <c r="X65" s="3"/>
      <c r="Y65" s="3"/>
      <c r="Z65" s="3"/>
      <c r="AA65" s="3"/>
      <c r="AB65" s="3"/>
    </row>
    <row r="66" spans="1:28" ht="14" x14ac:dyDescent="0.2">
      <c r="A66" s="3" t="s">
        <v>279</v>
      </c>
      <c r="B66" s="3"/>
      <c r="C66" s="3"/>
      <c r="D66" s="3"/>
      <c r="E66" s="3"/>
      <c r="F66" s="3"/>
      <c r="G66" s="1">
        <f t="shared" si="1"/>
        <v>0</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32.18</v>
      </c>
      <c r="D67" s="3"/>
      <c r="E67" s="3">
        <v>15.83</v>
      </c>
      <c r="F67" s="3"/>
      <c r="G67" s="1">
        <f t="shared" si="1"/>
        <v>48.01</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9.25</v>
      </c>
      <c r="D68" s="3"/>
      <c r="E68" s="3">
        <v>1.5</v>
      </c>
      <c r="F68" s="3">
        <v>51.43</v>
      </c>
      <c r="G68" s="1">
        <f t="shared" si="1"/>
        <v>62.18</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2.25</v>
      </c>
      <c r="D71" s="3"/>
      <c r="E71" s="3"/>
      <c r="F71" s="3">
        <v>5.67</v>
      </c>
      <c r="G71" s="1">
        <f t="shared" si="1"/>
        <v>7.92</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SUM(C64:C71)</f>
        <v>180.86</v>
      </c>
      <c r="D72" s="1">
        <f>SUM(D64:D71)</f>
        <v>0</v>
      </c>
      <c r="E72" s="1">
        <f>SUM(E64:E71)</f>
        <v>29.83</v>
      </c>
      <c r="F72" s="1">
        <f>SUM(F63:F71)</f>
        <v>80.61</v>
      </c>
      <c r="G72" s="1">
        <f>SUM(C72:F72)</f>
        <v>291.3</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194</v>
      </c>
      <c r="C88" s="148"/>
      <c r="D88" s="46" t="s">
        <v>77</v>
      </c>
      <c r="E88" s="26" t="s">
        <v>155</v>
      </c>
      <c r="F88" s="22"/>
      <c r="G88" s="22"/>
      <c r="H88" s="37" t="s">
        <v>195</v>
      </c>
      <c r="I88" s="28"/>
      <c r="J88" s="28"/>
      <c r="K88" s="28"/>
      <c r="L88" s="28"/>
      <c r="M88" s="29"/>
      <c r="N88" s="3"/>
      <c r="O88" s="3"/>
      <c r="P88" s="3"/>
      <c r="Q88" s="3"/>
      <c r="R88" s="3"/>
      <c r="S88" s="3"/>
      <c r="T88" s="3"/>
      <c r="U88" s="3"/>
      <c r="V88" s="3"/>
      <c r="W88" s="3"/>
      <c r="X88" s="3"/>
      <c r="Y88" s="3"/>
      <c r="Z88" s="3"/>
      <c r="AA88" s="3"/>
      <c r="AB88" s="3"/>
    </row>
    <row r="89" spans="1:28" ht="14" x14ac:dyDescent="0.2">
      <c r="A89" s="15" t="s">
        <v>196</v>
      </c>
      <c r="B89" s="37" t="s">
        <v>197</v>
      </c>
      <c r="C89" s="29"/>
      <c r="D89" s="46" t="s">
        <v>77</v>
      </c>
      <c r="E89" s="26" t="s">
        <v>155</v>
      </c>
      <c r="F89" s="22"/>
      <c r="G89" s="22"/>
      <c r="H89" s="37" t="s">
        <v>198</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152" t="s">
        <v>93</v>
      </c>
      <c r="C90" s="148"/>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199</v>
      </c>
      <c r="B91" s="152" t="s">
        <v>200</v>
      </c>
      <c r="C91" s="148"/>
      <c r="D91" s="46" t="s">
        <v>77</v>
      </c>
      <c r="E91" s="26" t="s">
        <v>155</v>
      </c>
      <c r="F91" s="22"/>
      <c r="G91" s="22"/>
      <c r="H91" s="37" t="s">
        <v>201</v>
      </c>
      <c r="I91" s="28"/>
      <c r="J91" s="28"/>
      <c r="K91" s="28"/>
      <c r="L91" s="28"/>
      <c r="M91" s="29"/>
      <c r="N91" s="3"/>
      <c r="O91" s="3"/>
      <c r="P91" s="3"/>
      <c r="Q91" s="3"/>
      <c r="R91" s="3"/>
      <c r="S91" s="3"/>
      <c r="T91" s="3"/>
      <c r="U91" s="3"/>
      <c r="V91" s="3"/>
      <c r="W91" s="3"/>
      <c r="X91" s="3"/>
      <c r="Y91" s="3"/>
      <c r="Z91" s="3"/>
      <c r="AA91" s="3"/>
      <c r="AB91" s="3"/>
    </row>
    <row r="92" spans="1:28" ht="14" x14ac:dyDescent="0.2">
      <c r="A92" s="17" t="s">
        <v>75</v>
      </c>
      <c r="B92" s="146" t="s">
        <v>76</v>
      </c>
      <c r="C92" s="148"/>
      <c r="D92" s="19" t="s">
        <v>77</v>
      </c>
      <c r="E92" s="19" t="s">
        <v>153</v>
      </c>
      <c r="F92" s="20"/>
      <c r="G92" s="20">
        <v>59.22</v>
      </c>
      <c r="H92" s="18" t="s">
        <v>78</v>
      </c>
      <c r="I92" s="28"/>
      <c r="J92" s="28"/>
      <c r="K92" s="28"/>
      <c r="L92" s="28"/>
      <c r="M92" s="29"/>
      <c r="N92" s="3"/>
      <c r="O92" s="3"/>
      <c r="P92" s="3"/>
      <c r="Q92" s="3"/>
      <c r="R92" s="3"/>
      <c r="S92" s="3"/>
      <c r="T92" s="3"/>
      <c r="U92" s="3"/>
      <c r="V92" s="3"/>
      <c r="W92" s="3"/>
      <c r="X92" s="3"/>
      <c r="Y92" s="3"/>
      <c r="Z92" s="3"/>
      <c r="AA92" s="3"/>
      <c r="AB92" s="3"/>
    </row>
    <row r="93" spans="1:28" ht="14" x14ac:dyDescent="0.2">
      <c r="A93" s="17" t="s">
        <v>108</v>
      </c>
      <c r="B93" s="146" t="s">
        <v>202</v>
      </c>
      <c r="C93" s="148"/>
      <c r="D93" s="19" t="s">
        <v>77</v>
      </c>
      <c r="E93" s="19" t="s">
        <v>203</v>
      </c>
      <c r="F93" s="20"/>
      <c r="G93" s="20"/>
      <c r="H93" s="18" t="s">
        <v>204</v>
      </c>
      <c r="I93" s="28"/>
      <c r="J93" s="28"/>
      <c r="K93" s="28"/>
      <c r="L93" s="28"/>
      <c r="M93" s="29"/>
      <c r="N93" s="3"/>
      <c r="O93" s="3"/>
      <c r="P93" s="3"/>
      <c r="Q93" s="3"/>
      <c r="R93" s="3"/>
      <c r="S93" s="3"/>
      <c r="T93" s="3"/>
      <c r="U93" s="3"/>
      <c r="V93" s="3"/>
      <c r="W93" s="3"/>
      <c r="X93" s="3"/>
      <c r="Y93" s="3"/>
      <c r="Z93" s="3"/>
      <c r="AA93" s="3"/>
      <c r="AB93" s="3"/>
    </row>
    <row r="94" spans="1:28" ht="14" x14ac:dyDescent="0.2">
      <c r="A94" s="17" t="s">
        <v>205</v>
      </c>
      <c r="B94" s="146" t="s">
        <v>149</v>
      </c>
      <c r="C94" s="154"/>
      <c r="D94" s="19" t="s">
        <v>206</v>
      </c>
      <c r="E94" s="19" t="s">
        <v>153</v>
      </c>
      <c r="F94" s="20"/>
      <c r="G94" s="20">
        <v>4333.3999999999996</v>
      </c>
      <c r="H94" s="146" t="s">
        <v>207</v>
      </c>
      <c r="I94" s="155"/>
      <c r="J94" s="155"/>
      <c r="K94" s="155"/>
      <c r="L94" s="155"/>
      <c r="M94" s="29"/>
      <c r="N94" s="3"/>
      <c r="O94" s="3"/>
      <c r="P94" s="3"/>
      <c r="Q94" s="3"/>
      <c r="R94" s="3"/>
      <c r="S94" s="3"/>
      <c r="T94" s="3"/>
      <c r="U94" s="3"/>
      <c r="V94" s="3"/>
      <c r="W94" s="3"/>
      <c r="X94" s="3"/>
      <c r="Y94" s="3"/>
      <c r="Z94" s="3"/>
      <c r="AA94" s="3"/>
      <c r="AB94" s="3"/>
    </row>
    <row r="95" spans="1:28" ht="14" x14ac:dyDescent="0.2">
      <c r="A95" s="17" t="s">
        <v>208</v>
      </c>
      <c r="B95" s="146" t="s">
        <v>70</v>
      </c>
      <c r="C95" s="148"/>
      <c r="D95" s="19" t="s">
        <v>206</v>
      </c>
      <c r="E95" s="19" t="s">
        <v>209</v>
      </c>
      <c r="F95" s="20"/>
      <c r="G95" s="20"/>
      <c r="H95" s="146" t="s">
        <v>213</v>
      </c>
      <c r="I95" s="151"/>
      <c r="J95" s="151"/>
      <c r="K95" s="151"/>
      <c r="L95" s="151"/>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214</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215</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210</v>
      </c>
      <c r="F98" s="20"/>
      <c r="G98" s="20"/>
      <c r="H98" s="146" t="s">
        <v>211</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212</v>
      </c>
      <c r="I99" s="151"/>
      <c r="J99" s="151"/>
      <c r="K99" s="151"/>
      <c r="L99" s="151"/>
      <c r="M99" s="29"/>
      <c r="N99" s="3"/>
      <c r="O99" s="3"/>
      <c r="P99" s="3"/>
      <c r="Q99" s="3"/>
      <c r="R99" s="3"/>
      <c r="S99" s="3"/>
      <c r="T99" s="3"/>
      <c r="U99" s="3"/>
      <c r="V99" s="3"/>
      <c r="W99" s="3"/>
      <c r="X99" s="3"/>
      <c r="Y99" s="3"/>
      <c r="Z99" s="3"/>
      <c r="AA99" s="3"/>
      <c r="AB99" s="3"/>
    </row>
    <row r="100" spans="1:28" ht="14" x14ac:dyDescent="0.2">
      <c r="A100" s="17" t="s">
        <v>216</v>
      </c>
      <c r="B100" s="146" t="s">
        <v>217</v>
      </c>
      <c r="C100" s="154"/>
      <c r="D100" s="19" t="s">
        <v>206</v>
      </c>
      <c r="E100" s="19" t="s">
        <v>155</v>
      </c>
      <c r="F100" s="20"/>
      <c r="G100" s="20"/>
      <c r="H100" s="146" t="s">
        <v>218</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79</v>
      </c>
      <c r="B101" s="146" t="s">
        <v>19</v>
      </c>
      <c r="C101" s="148"/>
      <c r="D101" s="19" t="s">
        <v>77</v>
      </c>
      <c r="E101" s="19" t="s">
        <v>153</v>
      </c>
      <c r="F101" s="20"/>
      <c r="G101" s="20"/>
      <c r="H101" s="18" t="s">
        <v>80</v>
      </c>
      <c r="I101" s="28"/>
      <c r="J101" s="28"/>
      <c r="K101" s="28"/>
      <c r="L101" s="28"/>
      <c r="M101" s="29"/>
      <c r="N101" s="3"/>
      <c r="O101" s="3"/>
      <c r="P101" s="3"/>
      <c r="Q101" s="3"/>
      <c r="R101" s="3"/>
      <c r="S101" s="3"/>
      <c r="T101" s="3"/>
      <c r="U101" s="3"/>
      <c r="V101" s="3"/>
      <c r="W101" s="3"/>
      <c r="X101" s="3"/>
      <c r="Y101" s="3"/>
      <c r="Z101" s="3"/>
      <c r="AA101" s="3"/>
      <c r="AB101" s="3"/>
    </row>
    <row r="102" spans="1:28" ht="14" x14ac:dyDescent="0.2">
      <c r="A102" s="17" t="s">
        <v>219</v>
      </c>
      <c r="B102" s="151" t="s">
        <v>220</v>
      </c>
      <c r="C102" s="148"/>
      <c r="D102" s="19" t="s">
        <v>77</v>
      </c>
      <c r="E102" s="39" t="s">
        <v>155</v>
      </c>
      <c r="F102" s="20"/>
      <c r="G102" s="20"/>
      <c r="H102" s="146" t="s">
        <v>221</v>
      </c>
      <c r="I102" s="151"/>
      <c r="J102" s="151"/>
      <c r="K102" s="151"/>
      <c r="L102" s="154"/>
      <c r="M102" s="18"/>
      <c r="N102" s="3"/>
      <c r="O102" s="3"/>
      <c r="P102" s="3"/>
      <c r="Q102" s="3"/>
      <c r="R102" s="3"/>
      <c r="S102" s="3"/>
      <c r="T102" s="3"/>
      <c r="U102" s="3"/>
      <c r="V102" s="3"/>
      <c r="W102" s="3"/>
      <c r="X102" s="3"/>
      <c r="Y102" s="3"/>
      <c r="Z102" s="3"/>
      <c r="AA102" s="3"/>
      <c r="AB102" s="3"/>
    </row>
    <row r="103" spans="1:28" ht="14" x14ac:dyDescent="0.2">
      <c r="A103" s="24" t="s">
        <v>222</v>
      </c>
      <c r="B103" s="151" t="s">
        <v>220</v>
      </c>
      <c r="C103" s="148"/>
      <c r="D103" s="19" t="s">
        <v>77</v>
      </c>
      <c r="E103" s="39" t="s">
        <v>155</v>
      </c>
      <c r="F103" s="27"/>
      <c r="G103" s="27"/>
      <c r="H103" s="24" t="s">
        <v>223</v>
      </c>
      <c r="I103" s="25"/>
      <c r="J103" s="25"/>
      <c r="K103" s="25"/>
      <c r="L103" s="25"/>
      <c r="M103" s="25"/>
      <c r="N103" s="3"/>
      <c r="O103" s="3"/>
      <c r="P103" s="3"/>
      <c r="Q103" s="3"/>
      <c r="R103" s="3"/>
      <c r="S103" s="3"/>
      <c r="T103" s="3"/>
      <c r="U103" s="3"/>
      <c r="V103" s="3"/>
      <c r="W103" s="3"/>
      <c r="X103" s="3"/>
      <c r="Y103" s="3"/>
      <c r="Z103" s="3"/>
      <c r="AA103" s="3"/>
      <c r="AB103" s="3"/>
    </row>
    <row r="104" spans="1:28" ht="14" x14ac:dyDescent="0.2">
      <c r="A104" s="24" t="s">
        <v>224</v>
      </c>
      <c r="B104" s="151" t="s">
        <v>225</v>
      </c>
      <c r="C104" s="148"/>
      <c r="D104" s="19" t="s">
        <v>77</v>
      </c>
      <c r="E104" s="39" t="s">
        <v>155</v>
      </c>
      <c r="F104" s="27"/>
      <c r="G104" s="27"/>
      <c r="H104" s="24" t="s">
        <v>101</v>
      </c>
      <c r="I104" s="25"/>
      <c r="J104" s="25"/>
      <c r="K104" s="25"/>
      <c r="L104" s="25"/>
      <c r="M104" s="25"/>
      <c r="N104" s="3"/>
      <c r="O104" s="3"/>
      <c r="P104" s="3"/>
      <c r="Q104" s="3"/>
      <c r="R104" s="3"/>
      <c r="S104" s="3"/>
      <c r="T104" s="3"/>
      <c r="U104" s="3"/>
      <c r="V104" s="3"/>
      <c r="W104" s="3"/>
      <c r="X104" s="3"/>
      <c r="Y104" s="3"/>
      <c r="Z104" s="3"/>
      <c r="AA104" s="3"/>
      <c r="AB104" s="3"/>
    </row>
    <row r="105" spans="1:28" ht="14" x14ac:dyDescent="0.2">
      <c r="A105" s="3"/>
      <c r="B105" s="3"/>
      <c r="C105" s="3"/>
      <c r="D105" s="3"/>
      <c r="F105" s="23">
        <f>SUM(F78:F104)</f>
        <v>0</v>
      </c>
      <c r="G105" s="23">
        <f>SUM(G79:G104)</f>
        <v>4392.62</v>
      </c>
      <c r="H105" s="3"/>
      <c r="I105" s="3"/>
      <c r="N105" s="3"/>
      <c r="O105" s="3"/>
      <c r="P105" s="3"/>
      <c r="Q105" s="3"/>
      <c r="R105" s="3"/>
      <c r="S105" s="3"/>
      <c r="T105" s="3"/>
      <c r="U105" s="3"/>
      <c r="V105" s="3"/>
      <c r="W105" s="3"/>
      <c r="X105" s="3"/>
      <c r="Y105" s="3"/>
      <c r="Z105" s="3"/>
      <c r="AA105" s="3"/>
      <c r="AB105" s="3"/>
    </row>
    <row r="106" spans="1:28"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sheetData>
  <mergeCells count="35">
    <mergeCell ref="B82:C82"/>
    <mergeCell ref="B77:C77"/>
    <mergeCell ref="B78:C78"/>
    <mergeCell ref="B79:C79"/>
    <mergeCell ref="B80:C80"/>
    <mergeCell ref="B81:C81"/>
    <mergeCell ref="H94:L94"/>
    <mergeCell ref="B83:C83"/>
    <mergeCell ref="B84:C84"/>
    <mergeCell ref="B85:C85"/>
    <mergeCell ref="B86:C86"/>
    <mergeCell ref="B87:C87"/>
    <mergeCell ref="B88:C88"/>
    <mergeCell ref="B90:C90"/>
    <mergeCell ref="B91:C91"/>
    <mergeCell ref="B92:C92"/>
    <mergeCell ref="B93:C93"/>
    <mergeCell ref="B94:C94"/>
    <mergeCell ref="B95:C95"/>
    <mergeCell ref="H95:L95"/>
    <mergeCell ref="B96:C96"/>
    <mergeCell ref="H96:L96"/>
    <mergeCell ref="B97:C97"/>
    <mergeCell ref="H97:L97"/>
    <mergeCell ref="B98:C98"/>
    <mergeCell ref="H98:L98"/>
    <mergeCell ref="B99:C99"/>
    <mergeCell ref="H99:L99"/>
    <mergeCell ref="B100:C100"/>
    <mergeCell ref="H100:L100"/>
    <mergeCell ref="B101:C101"/>
    <mergeCell ref="B102:C102"/>
    <mergeCell ref="H102:L102"/>
    <mergeCell ref="B103:C103"/>
    <mergeCell ref="B104:C104"/>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9A9D6-56A6-CA43-BC60-C3F5A242F459}">
  <sheetPr>
    <outlinePr summaryBelow="0" summaryRight="0"/>
    <pageSetUpPr fitToPage="1"/>
  </sheetPr>
  <dimension ref="A1:AB1051"/>
  <sheetViews>
    <sheetView topLeftCell="A22"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45809</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SUM(32*8.5)*21</f>
        <v>5712</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5955.6399999999994</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243.63999999999942</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49.5</v>
      </c>
      <c r="D13" s="3">
        <v>245.33</v>
      </c>
      <c r="E13" s="3"/>
      <c r="F13" s="3">
        <v>58.69</v>
      </c>
      <c r="G13" s="3">
        <v>7.02</v>
      </c>
      <c r="H13" s="3">
        <v>6.15</v>
      </c>
      <c r="I13" s="3">
        <v>72</v>
      </c>
      <c r="J13" s="3">
        <v>6.75</v>
      </c>
      <c r="K13" s="3">
        <v>29.75</v>
      </c>
      <c r="L13" s="3"/>
      <c r="M13" s="3">
        <v>18</v>
      </c>
      <c r="N13" s="3">
        <v>25.25</v>
      </c>
      <c r="O13" s="3">
        <v>526.83000000000004</v>
      </c>
      <c r="P13" s="3">
        <v>543.54999999999995</v>
      </c>
      <c r="Q13" s="3"/>
      <c r="R13" s="3">
        <v>12.5</v>
      </c>
      <c r="S13" s="3">
        <v>29.5</v>
      </c>
      <c r="T13" s="34">
        <f>SUM(C13:S13)</f>
        <v>1630.82</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31.73</v>
      </c>
      <c r="D18" s="3">
        <v>107.27</v>
      </c>
      <c r="E18" s="3">
        <v>0.7</v>
      </c>
      <c r="F18" s="3">
        <v>17.010000000000002</v>
      </c>
      <c r="G18" s="3">
        <v>4.25</v>
      </c>
      <c r="H18" s="3"/>
      <c r="I18" s="3">
        <v>8.4499999999999993</v>
      </c>
      <c r="J18" s="34">
        <f t="shared" si="0"/>
        <v>169.40999999999997</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v>2.25</v>
      </c>
      <c r="E20" s="3"/>
      <c r="F20" s="3"/>
      <c r="G20" s="3"/>
      <c r="H20" s="3"/>
      <c r="I20" s="3"/>
      <c r="J20" s="34">
        <f t="shared" si="0"/>
        <v>2.25</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186</v>
      </c>
      <c r="B22" s="3" t="s">
        <v>132</v>
      </c>
      <c r="C22" s="3">
        <v>19.75</v>
      </c>
      <c r="D22" s="3">
        <v>3.75</v>
      </c>
      <c r="E22" s="3">
        <v>33.75</v>
      </c>
      <c r="F22" s="3">
        <v>1.5</v>
      </c>
      <c r="G22" s="3">
        <v>16.25</v>
      </c>
      <c r="H22" s="3"/>
      <c r="I22" s="3"/>
      <c r="J22" s="34">
        <f t="shared" si="0"/>
        <v>75</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344.43</v>
      </c>
      <c r="D25" s="3">
        <v>313.55</v>
      </c>
      <c r="E25" s="3">
        <v>64.11</v>
      </c>
      <c r="F25" s="3">
        <v>106.23</v>
      </c>
      <c r="G25" s="3">
        <v>20.75</v>
      </c>
      <c r="H25" s="3">
        <v>4</v>
      </c>
      <c r="I25" s="3">
        <v>0.5</v>
      </c>
      <c r="J25" s="34">
        <f t="shared" si="0"/>
        <v>853.57</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v>24.5</v>
      </c>
      <c r="E26" s="3"/>
      <c r="F26" s="3">
        <v>43.42</v>
      </c>
      <c r="G26" s="3"/>
      <c r="H26" s="3">
        <v>80</v>
      </c>
      <c r="I26" s="3"/>
      <c r="J26" s="34">
        <f t="shared" si="0"/>
        <v>147.92000000000002</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19.59</v>
      </c>
      <c r="D28" s="3">
        <v>53.58</v>
      </c>
      <c r="E28" s="3">
        <v>13.75</v>
      </c>
      <c r="F28" s="3">
        <v>55.17</v>
      </c>
      <c r="G28" s="3"/>
      <c r="H28" s="3"/>
      <c r="I28" s="3"/>
      <c r="J28" s="34">
        <f t="shared" si="0"/>
        <v>142.09</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v>1.5</v>
      </c>
      <c r="E29" s="3"/>
      <c r="F29" s="3">
        <v>41.25</v>
      </c>
      <c r="G29" s="3"/>
      <c r="H29" s="3"/>
      <c r="I29" s="3"/>
      <c r="J29" s="34">
        <f t="shared" si="0"/>
        <v>42.75</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c r="E30" s="3"/>
      <c r="F30" s="3">
        <v>1</v>
      </c>
      <c r="G30" s="3"/>
      <c r="H30" s="3"/>
      <c r="I30" s="3"/>
      <c r="J30" s="34">
        <f t="shared" si="0"/>
        <v>1</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84.64</v>
      </c>
      <c r="D31" s="3">
        <v>47.38</v>
      </c>
      <c r="E31" s="3"/>
      <c r="F31" s="3">
        <v>4.45</v>
      </c>
      <c r="G31" s="3"/>
      <c r="H31" s="3">
        <v>6.41</v>
      </c>
      <c r="I31" s="3"/>
      <c r="J31" s="34">
        <f t="shared" si="0"/>
        <v>142.88</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182.5</v>
      </c>
      <c r="D33" s="3">
        <v>203.75</v>
      </c>
      <c r="E33" s="3">
        <v>122.6</v>
      </c>
      <c r="F33" s="3">
        <v>25.83</v>
      </c>
      <c r="G33" s="3">
        <v>66.75</v>
      </c>
      <c r="H33" s="3"/>
      <c r="I33" s="3"/>
      <c r="J33" s="34">
        <f t="shared" si="0"/>
        <v>601.43000000000006</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v>0.5</v>
      </c>
      <c r="E34" s="3"/>
      <c r="F34" s="3">
        <v>4.25</v>
      </c>
      <c r="G34" s="3"/>
      <c r="H34" s="3"/>
      <c r="I34" s="3"/>
      <c r="J34" s="34">
        <f t="shared" si="0"/>
        <v>4.75</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v>14</v>
      </c>
      <c r="G35" s="3"/>
      <c r="H35" s="3"/>
      <c r="I35" s="3"/>
      <c r="J35" s="34">
        <f t="shared" si="0"/>
        <v>14</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c r="D37" s="3">
        <v>6.25</v>
      </c>
      <c r="E37" s="3"/>
      <c r="F37" s="3">
        <v>5.25</v>
      </c>
      <c r="G37" s="3"/>
      <c r="H37" s="3"/>
      <c r="I37" s="3"/>
      <c r="J37" s="34">
        <f t="shared" si="0"/>
        <v>11.5</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16.5</v>
      </c>
      <c r="D39" s="3">
        <v>46.58</v>
      </c>
      <c r="E39" s="3">
        <v>52.5</v>
      </c>
      <c r="F39" s="3">
        <v>22.75</v>
      </c>
      <c r="G39" s="3"/>
      <c r="H39" s="3">
        <v>53.25</v>
      </c>
      <c r="I39" s="3">
        <v>8.75</v>
      </c>
      <c r="J39" s="34">
        <f t="shared" si="0"/>
        <v>200.32999999999998</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c r="E40" s="3"/>
      <c r="F40" s="3">
        <v>4.5</v>
      </c>
      <c r="G40" s="3"/>
      <c r="H40" s="3"/>
      <c r="I40" s="3"/>
      <c r="J40" s="34">
        <f t="shared" si="0"/>
        <v>4.5</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10.5</v>
      </c>
      <c r="E42" s="3"/>
      <c r="F42" s="3">
        <v>2</v>
      </c>
      <c r="G42" s="3"/>
      <c r="H42" s="3"/>
      <c r="I42" s="3"/>
      <c r="J42" s="34">
        <f t="shared" si="0"/>
        <v>12.5</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418.16</v>
      </c>
      <c r="D44" s="3">
        <v>222.79</v>
      </c>
      <c r="E44" s="3">
        <v>95.56</v>
      </c>
      <c r="F44" s="3">
        <v>55.75</v>
      </c>
      <c r="G44" s="3"/>
      <c r="H44" s="3">
        <v>4.5</v>
      </c>
      <c r="I44" s="3">
        <v>6.58</v>
      </c>
      <c r="J44" s="34">
        <f t="shared" si="0"/>
        <v>803.34</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245.41</v>
      </c>
      <c r="D45" s="3">
        <v>64.5</v>
      </c>
      <c r="E45" s="3">
        <v>0.5</v>
      </c>
      <c r="F45" s="3">
        <v>61.25</v>
      </c>
      <c r="G45" s="3">
        <v>1</v>
      </c>
      <c r="H45" s="3">
        <v>1.5</v>
      </c>
      <c r="I45" s="3">
        <v>3.25</v>
      </c>
      <c r="J45" s="34">
        <f t="shared" si="0"/>
        <v>377.40999999999997</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v>0.42</v>
      </c>
      <c r="E49" s="3"/>
      <c r="F49" s="3">
        <v>2</v>
      </c>
      <c r="G49" s="3"/>
      <c r="H49" s="3"/>
      <c r="I49" s="3"/>
      <c r="J49" s="34">
        <f t="shared" si="0"/>
        <v>2.42</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116.75</v>
      </c>
      <c r="D53" s="3">
        <v>59.25</v>
      </c>
      <c r="E53" s="3">
        <v>6.5</v>
      </c>
      <c r="F53" s="3">
        <v>64.75</v>
      </c>
      <c r="G53" s="3"/>
      <c r="H53" s="3">
        <v>0.5</v>
      </c>
      <c r="I53" s="3"/>
      <c r="J53" s="34">
        <f t="shared" si="0"/>
        <v>247.75</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160.83000000000001</v>
      </c>
      <c r="D56" s="3">
        <v>32.17</v>
      </c>
      <c r="E56" s="3"/>
      <c r="F56" s="3">
        <v>4.25</v>
      </c>
      <c r="G56" s="3"/>
      <c r="H56" s="3"/>
      <c r="I56" s="3"/>
      <c r="J56" s="34">
        <f t="shared" si="0"/>
        <v>197.25</v>
      </c>
      <c r="K56" s="3"/>
      <c r="L56" s="3"/>
      <c r="M56" s="3"/>
      <c r="N56" s="3"/>
      <c r="O56" s="3"/>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4054.05</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E63">
        <v>1.75</v>
      </c>
      <c r="F63" s="3"/>
      <c r="G63" s="1">
        <f>SUM(C63:F63)</f>
        <v>1.75</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2.67</v>
      </c>
      <c r="D64" s="3"/>
      <c r="E64" s="3"/>
      <c r="F64" s="3"/>
      <c r="G64" s="1">
        <f t="shared" ref="G64:G71" si="1">SUM(C64:F64)</f>
        <v>2.67</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129.21</v>
      </c>
      <c r="D65" s="3"/>
      <c r="E65" s="3">
        <v>10.25</v>
      </c>
      <c r="F65" s="3"/>
      <c r="G65" s="1">
        <f t="shared" si="1"/>
        <v>139.46</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36.979999999999997</v>
      </c>
      <c r="D66" s="3"/>
      <c r="E66" s="3">
        <v>3.5</v>
      </c>
      <c r="F66" s="3"/>
      <c r="G66" s="1">
        <f t="shared" si="1"/>
        <v>40.479999999999997</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41.17</v>
      </c>
      <c r="D67" s="3"/>
      <c r="E67" s="3">
        <v>5.75</v>
      </c>
      <c r="F67" s="3"/>
      <c r="G67" s="1">
        <f t="shared" si="1"/>
        <v>46.92</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28.65</v>
      </c>
      <c r="D68" s="3"/>
      <c r="E68" s="3">
        <v>2.5</v>
      </c>
      <c r="F68" s="3"/>
      <c r="G68" s="1">
        <f t="shared" si="1"/>
        <v>31.15</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8.34</v>
      </c>
      <c r="D71" s="3"/>
      <c r="E71" s="3"/>
      <c r="F71" s="3"/>
      <c r="G71" s="1">
        <f t="shared" si="1"/>
        <v>8.34</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247.01999999999998</v>
      </c>
      <c r="D72" s="1">
        <f>SUM(D63:D71)</f>
        <v>0</v>
      </c>
      <c r="E72" s="1">
        <f>SUM(E63:E71)</f>
        <v>23.75</v>
      </c>
      <c r="F72" s="1">
        <f>SUM(F63:F71)</f>
        <v>0</v>
      </c>
      <c r="G72" s="1">
        <f>SUM(C72:F72)</f>
        <v>270.77</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595.64</v>
      </c>
      <c r="H88" s="37" t="s">
        <v>286</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57.01</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205</v>
      </c>
      <c r="B95" s="146" t="s">
        <v>149</v>
      </c>
      <c r="C95" s="154"/>
      <c r="D95" s="19" t="s">
        <v>206</v>
      </c>
      <c r="E95" s="19" t="s">
        <v>153</v>
      </c>
      <c r="F95" s="20"/>
      <c r="G95" s="20">
        <v>4025.95</v>
      </c>
      <c r="H95" s="146" t="s">
        <v>207</v>
      </c>
      <c r="I95" s="155"/>
      <c r="J95" s="155"/>
      <c r="K95" s="155"/>
      <c r="L95" s="155"/>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213</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214</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215</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v>36845.599999999999</v>
      </c>
      <c r="H99" s="146" t="s">
        <v>211</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210</v>
      </c>
      <c r="F100" s="20"/>
      <c r="G100" s="20">
        <v>18422.8</v>
      </c>
      <c r="H100" s="146" t="s">
        <v>212</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216</v>
      </c>
      <c r="B101" s="146" t="s">
        <v>217</v>
      </c>
      <c r="C101" s="154"/>
      <c r="D101" s="19" t="s">
        <v>206</v>
      </c>
      <c r="E101" s="19" t="s">
        <v>155</v>
      </c>
      <c r="F101" s="20"/>
      <c r="G101" s="20"/>
      <c r="H101" s="146" t="s">
        <v>218</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79</v>
      </c>
      <c r="B102" s="146" t="s">
        <v>19</v>
      </c>
      <c r="C102" s="148"/>
      <c r="D102" s="19" t="s">
        <v>77</v>
      </c>
      <c r="E102" s="19" t="s">
        <v>153</v>
      </c>
      <c r="F102" s="20"/>
      <c r="G102" s="20"/>
      <c r="H102" s="18" t="s">
        <v>80</v>
      </c>
      <c r="I102" s="28"/>
      <c r="J102" s="28"/>
      <c r="K102" s="28"/>
      <c r="L102" s="28"/>
      <c r="M102" s="29"/>
      <c r="N102" s="3"/>
      <c r="O102" s="3"/>
      <c r="P102" s="3"/>
      <c r="Q102" s="3"/>
      <c r="R102" s="3"/>
      <c r="S102" s="3"/>
      <c r="T102" s="3"/>
      <c r="U102" s="3"/>
      <c r="V102" s="3"/>
      <c r="W102" s="3"/>
      <c r="X102" s="3"/>
      <c r="Y102" s="3"/>
      <c r="Z102" s="3"/>
      <c r="AA102" s="3"/>
      <c r="AB102" s="3"/>
    </row>
    <row r="103" spans="1:28" ht="14" x14ac:dyDescent="0.2">
      <c r="A103" s="17" t="s">
        <v>281</v>
      </c>
      <c r="B103" s="146" t="s">
        <v>282</v>
      </c>
      <c r="C103" s="154"/>
      <c r="D103" s="19" t="s">
        <v>77</v>
      </c>
      <c r="E103" s="39" t="s">
        <v>283</v>
      </c>
      <c r="F103" s="20"/>
      <c r="G103" s="20">
        <v>15675</v>
      </c>
      <c r="H103" s="18" t="s">
        <v>284</v>
      </c>
      <c r="I103" s="28"/>
      <c r="J103" s="28"/>
      <c r="K103" s="28"/>
      <c r="L103" s="28"/>
      <c r="M103" s="28"/>
      <c r="N103" s="3"/>
      <c r="O103" s="3"/>
      <c r="P103" s="3"/>
      <c r="Q103" s="3"/>
      <c r="R103" s="3"/>
      <c r="S103" s="3"/>
      <c r="T103" s="3"/>
      <c r="U103" s="3"/>
      <c r="V103" s="3"/>
      <c r="W103" s="3"/>
      <c r="X103" s="3"/>
      <c r="Y103" s="3"/>
      <c r="Z103" s="3"/>
      <c r="AA103" s="3"/>
      <c r="AB103" s="3"/>
    </row>
    <row r="104" spans="1:28" ht="14" x14ac:dyDescent="0.2">
      <c r="A104" s="17" t="s">
        <v>219</v>
      </c>
      <c r="B104" s="151" t="s">
        <v>220</v>
      </c>
      <c r="C104" s="148"/>
      <c r="D104" s="19" t="s">
        <v>77</v>
      </c>
      <c r="E104" s="39" t="s">
        <v>155</v>
      </c>
      <c r="F104" s="20"/>
      <c r="G104" s="20"/>
      <c r="H104" s="146" t="s">
        <v>221</v>
      </c>
      <c r="I104" s="151"/>
      <c r="J104" s="151"/>
      <c r="K104" s="151"/>
      <c r="L104" s="154"/>
      <c r="M104" s="18"/>
      <c r="N104" s="3"/>
      <c r="O104" s="3"/>
      <c r="P104" s="3"/>
      <c r="Q104" s="3"/>
      <c r="R104" s="3"/>
      <c r="S104" s="3"/>
      <c r="T104" s="3"/>
      <c r="U104" s="3"/>
      <c r="V104" s="3"/>
      <c r="W104" s="3"/>
      <c r="X104" s="3"/>
      <c r="Y104" s="3"/>
      <c r="Z104" s="3"/>
      <c r="AA104" s="3"/>
      <c r="AB104" s="3"/>
    </row>
    <row r="105" spans="1:28" ht="14" x14ac:dyDescent="0.2">
      <c r="A105" s="24" t="s">
        <v>222</v>
      </c>
      <c r="B105" s="151" t="s">
        <v>220</v>
      </c>
      <c r="C105" s="148"/>
      <c r="D105" s="19" t="s">
        <v>77</v>
      </c>
      <c r="E105" s="39" t="s">
        <v>155</v>
      </c>
      <c r="F105" s="27"/>
      <c r="G105" s="27"/>
      <c r="H105" s="24" t="s">
        <v>223</v>
      </c>
      <c r="I105" s="25"/>
      <c r="J105" s="25"/>
      <c r="K105" s="25"/>
      <c r="L105" s="25"/>
      <c r="M105" s="25"/>
      <c r="N105" s="3"/>
      <c r="O105" s="3"/>
      <c r="P105" s="3"/>
      <c r="Q105" s="3"/>
      <c r="R105" s="3"/>
      <c r="S105" s="3"/>
      <c r="T105" s="3"/>
      <c r="U105" s="3"/>
      <c r="V105" s="3"/>
      <c r="W105" s="3"/>
      <c r="X105" s="3"/>
      <c r="Y105" s="3"/>
      <c r="Z105" s="3"/>
      <c r="AA105" s="3"/>
      <c r="AB105" s="3"/>
    </row>
    <row r="106" spans="1:28" ht="14" x14ac:dyDescent="0.2">
      <c r="A106" s="24" t="s">
        <v>224</v>
      </c>
      <c r="B106" s="151" t="s">
        <v>225</v>
      </c>
      <c r="C106" s="148"/>
      <c r="D106" s="19" t="s">
        <v>77</v>
      </c>
      <c r="E106" s="39" t="s">
        <v>155</v>
      </c>
      <c r="F106" s="27"/>
      <c r="G106" s="27"/>
      <c r="H106" s="24" t="s">
        <v>101</v>
      </c>
      <c r="I106" s="25"/>
      <c r="J106" s="25"/>
      <c r="K106" s="25"/>
      <c r="L106" s="25"/>
      <c r="M106" s="25"/>
      <c r="N106" s="3"/>
      <c r="O106" s="3"/>
      <c r="P106" s="3"/>
      <c r="Q106" s="3"/>
      <c r="R106" s="3"/>
      <c r="S106" s="3"/>
      <c r="T106" s="3"/>
      <c r="U106" s="3"/>
      <c r="V106" s="3"/>
      <c r="W106" s="3"/>
      <c r="X106" s="3"/>
      <c r="Y106" s="3"/>
      <c r="Z106" s="3"/>
      <c r="AA106" s="3"/>
      <c r="AB106" s="3"/>
    </row>
    <row r="107" spans="1:28" ht="14" x14ac:dyDescent="0.2">
      <c r="A107" s="3"/>
      <c r="B107" s="3"/>
      <c r="C107" s="3"/>
      <c r="D107" s="3"/>
      <c r="F107" s="23">
        <f>SUM(F78:F106)</f>
        <v>0</v>
      </c>
      <c r="G107" s="23">
        <f>SUM(G79:G106)</f>
        <v>75622</v>
      </c>
      <c r="H107" s="3"/>
      <c r="I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sheetData>
  <mergeCells count="37">
    <mergeCell ref="B102:C102"/>
    <mergeCell ref="B104:C104"/>
    <mergeCell ref="H104:L104"/>
    <mergeCell ref="B105:C105"/>
    <mergeCell ref="B106:C106"/>
    <mergeCell ref="B103:C103"/>
    <mergeCell ref="B99:C99"/>
    <mergeCell ref="H99:L99"/>
    <mergeCell ref="B100:C100"/>
    <mergeCell ref="H100:L100"/>
    <mergeCell ref="B101:C101"/>
    <mergeCell ref="H101:L101"/>
    <mergeCell ref="B96:C96"/>
    <mergeCell ref="H96:L96"/>
    <mergeCell ref="B97:C97"/>
    <mergeCell ref="H97:L97"/>
    <mergeCell ref="B98:C98"/>
    <mergeCell ref="H98:L98"/>
    <mergeCell ref="H95:L95"/>
    <mergeCell ref="B83:C83"/>
    <mergeCell ref="B84:C84"/>
    <mergeCell ref="B85:C85"/>
    <mergeCell ref="B86:C86"/>
    <mergeCell ref="B87:C87"/>
    <mergeCell ref="B89:C89"/>
    <mergeCell ref="B88:C88"/>
    <mergeCell ref="B91:C91"/>
    <mergeCell ref="B92:C92"/>
    <mergeCell ref="B93:C93"/>
    <mergeCell ref="B94:C94"/>
    <mergeCell ref="B95:C95"/>
    <mergeCell ref="B82:C82"/>
    <mergeCell ref="B77:C77"/>
    <mergeCell ref="B78:C78"/>
    <mergeCell ref="B79:C79"/>
    <mergeCell ref="B80:C80"/>
    <mergeCell ref="B81:C81"/>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67B7F-51C4-F84B-A2D0-15641543C2D7}">
  <sheetPr>
    <outlinePr summaryBelow="0" summaryRight="0"/>
    <pageSetUpPr fitToPage="1"/>
  </sheetPr>
  <dimension ref="A1:AB1051"/>
  <sheetViews>
    <sheetView topLeftCell="A25"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45839</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SUM(32*8.5)*23</f>
        <v>6256</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6270.4500000000007</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14.450000000000728</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35.5</v>
      </c>
      <c r="D13" s="3">
        <v>252.58</v>
      </c>
      <c r="E13" s="3"/>
      <c r="F13" s="3">
        <v>28.46</v>
      </c>
      <c r="G13" s="3">
        <v>7.03</v>
      </c>
      <c r="H13" s="3">
        <v>4.5</v>
      </c>
      <c r="I13" s="3">
        <v>21.25</v>
      </c>
      <c r="J13" s="3">
        <v>4.75</v>
      </c>
      <c r="K13" s="3">
        <v>57</v>
      </c>
      <c r="L13" s="3"/>
      <c r="M13" s="3">
        <v>20.25</v>
      </c>
      <c r="N13" s="3">
        <v>23.83</v>
      </c>
      <c r="O13" s="3">
        <v>556</v>
      </c>
      <c r="P13" s="3">
        <v>756.25</v>
      </c>
      <c r="Q13" s="3"/>
      <c r="R13" s="3">
        <v>8.5</v>
      </c>
      <c r="S13" s="3">
        <v>95.5</v>
      </c>
      <c r="T13" s="34">
        <f>SUM(C13:S13)</f>
        <v>1871.4</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0.37</v>
      </c>
      <c r="D18" s="3">
        <v>47.07</v>
      </c>
      <c r="E18" s="3"/>
      <c r="F18" s="3">
        <v>31.92</v>
      </c>
      <c r="G18" s="3"/>
      <c r="H18" s="3"/>
      <c r="I18" s="3"/>
      <c r="J18" s="34">
        <f t="shared" si="0"/>
        <v>79.36</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v>3.33</v>
      </c>
      <c r="E19" s="3"/>
      <c r="F19" s="3">
        <v>10.58</v>
      </c>
      <c r="G19" s="3"/>
      <c r="H19" s="3"/>
      <c r="I19" s="3"/>
      <c r="J19" s="34">
        <f t="shared" si="0"/>
        <v>13.91</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186</v>
      </c>
      <c r="B22" s="3" t="s">
        <v>132</v>
      </c>
      <c r="C22" s="3">
        <v>33.590000000000003</v>
      </c>
      <c r="D22" s="3">
        <v>16.25</v>
      </c>
      <c r="E22" s="3">
        <v>59.25</v>
      </c>
      <c r="F22" s="3">
        <v>0.5</v>
      </c>
      <c r="G22" s="3">
        <v>31</v>
      </c>
      <c r="H22" s="3"/>
      <c r="I22" s="3"/>
      <c r="J22" s="34">
        <f t="shared" si="0"/>
        <v>140.59</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325.45</v>
      </c>
      <c r="D25" s="3">
        <v>270.63</v>
      </c>
      <c r="E25" s="3">
        <v>56</v>
      </c>
      <c r="F25" s="3">
        <v>84</v>
      </c>
      <c r="G25" s="3">
        <v>0.75</v>
      </c>
      <c r="H25" s="3">
        <v>0.75</v>
      </c>
      <c r="I25" s="3">
        <v>4</v>
      </c>
      <c r="J25" s="34">
        <f t="shared" si="0"/>
        <v>741.57999999999993</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v>50.41</v>
      </c>
      <c r="E26" s="3">
        <v>4.75</v>
      </c>
      <c r="F26" s="3">
        <v>67.25</v>
      </c>
      <c r="G26" s="3"/>
      <c r="H26" s="3">
        <v>65.75</v>
      </c>
      <c r="I26" s="3"/>
      <c r="J26" s="34">
        <f t="shared" si="0"/>
        <v>188.16</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195.34</v>
      </c>
      <c r="D28" s="3">
        <v>69.25</v>
      </c>
      <c r="E28" s="3">
        <v>55.25</v>
      </c>
      <c r="F28" s="3">
        <v>67.25</v>
      </c>
      <c r="G28" s="3"/>
      <c r="H28" s="3">
        <v>11.5</v>
      </c>
      <c r="I28" s="3"/>
      <c r="J28" s="34">
        <f t="shared" si="0"/>
        <v>398.59000000000003</v>
      </c>
      <c r="K28" s="3"/>
      <c r="L28" s="3"/>
      <c r="M28" s="3"/>
      <c r="N28" s="3"/>
      <c r="O28" s="3"/>
      <c r="P28" s="3"/>
      <c r="Q28" s="3"/>
      <c r="R28" s="3"/>
      <c r="S28" s="3"/>
      <c r="T28" s="3"/>
      <c r="U28" s="3"/>
      <c r="V28" s="3"/>
      <c r="W28" s="3"/>
      <c r="X28" s="3"/>
      <c r="Y28" s="3"/>
      <c r="Z28" s="3"/>
      <c r="AA28" s="3"/>
      <c r="AB28" s="3"/>
    </row>
    <row r="29" spans="1:28" ht="14" x14ac:dyDescent="0.2">
      <c r="A29" s="3" t="s">
        <v>183</v>
      </c>
      <c r="B29" s="3"/>
      <c r="C29" s="3">
        <v>3</v>
      </c>
      <c r="D29" s="3">
        <v>8.58</v>
      </c>
      <c r="E29" s="3"/>
      <c r="F29" s="3">
        <v>16.5</v>
      </c>
      <c r="G29" s="3"/>
      <c r="H29" s="3">
        <v>2</v>
      </c>
      <c r="I29" s="3"/>
      <c r="J29" s="34">
        <f t="shared" si="0"/>
        <v>30.08</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0.5</v>
      </c>
      <c r="E30" s="3"/>
      <c r="F30" s="3"/>
      <c r="G30" s="3"/>
      <c r="H30" s="3"/>
      <c r="I30" s="3"/>
      <c r="J30" s="34">
        <f t="shared" si="0"/>
        <v>0.5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108.9</v>
      </c>
      <c r="D31" s="3">
        <v>20.5</v>
      </c>
      <c r="E31" s="3"/>
      <c r="F31" s="3"/>
      <c r="G31" s="3"/>
      <c r="H31" s="3">
        <v>33.56</v>
      </c>
      <c r="I31" s="3"/>
      <c r="J31" s="34">
        <f t="shared" si="0"/>
        <v>162.96</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35.75</v>
      </c>
      <c r="D33" s="3">
        <v>163.5</v>
      </c>
      <c r="E33" s="3">
        <v>67.25</v>
      </c>
      <c r="F33" s="3">
        <v>35</v>
      </c>
      <c r="G33" s="3">
        <v>59.5</v>
      </c>
      <c r="H33" s="3">
        <v>1</v>
      </c>
      <c r="I33" s="3">
        <v>40.5</v>
      </c>
      <c r="J33" s="34">
        <f t="shared" si="0"/>
        <v>402.5</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v>4</v>
      </c>
      <c r="E34" s="3"/>
      <c r="F34" s="3">
        <v>6</v>
      </c>
      <c r="G34" s="3"/>
      <c r="H34" s="3"/>
      <c r="I34" s="3"/>
      <c r="J34" s="34">
        <f t="shared" si="0"/>
        <v>10</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v>0.75</v>
      </c>
      <c r="G35" s="3"/>
      <c r="H35" s="3"/>
      <c r="I35" s="3"/>
      <c r="J35" s="34">
        <f t="shared" si="0"/>
        <v>0.75</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c r="D37" s="3">
        <v>2</v>
      </c>
      <c r="E37" s="3"/>
      <c r="F37" s="3"/>
      <c r="G37" s="3"/>
      <c r="H37" s="3">
        <v>0.5</v>
      </c>
      <c r="I37" s="3"/>
      <c r="J37" s="34">
        <f t="shared" si="0"/>
        <v>2.5</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45.75</v>
      </c>
      <c r="D39" s="3">
        <v>52.75</v>
      </c>
      <c r="E39" s="3">
        <v>19.5</v>
      </c>
      <c r="F39" s="3">
        <v>102</v>
      </c>
      <c r="G39" s="3"/>
      <c r="H39" s="3">
        <v>51.75</v>
      </c>
      <c r="I39" s="3"/>
      <c r="J39" s="34">
        <f t="shared" si="0"/>
        <v>271.75</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c r="E40" s="3">
        <v>1</v>
      </c>
      <c r="F40" s="3">
        <v>6.5</v>
      </c>
      <c r="G40" s="3"/>
      <c r="H40" s="3"/>
      <c r="I40" s="3"/>
      <c r="J40" s="34">
        <f t="shared" si="0"/>
        <v>7.5</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8.34</v>
      </c>
      <c r="E42" s="3"/>
      <c r="F42" s="3">
        <v>3</v>
      </c>
      <c r="G42" s="3"/>
      <c r="H42" s="3"/>
      <c r="I42" s="3"/>
      <c r="J42" s="34">
        <f t="shared" si="0"/>
        <v>11.34</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413.76</v>
      </c>
      <c r="D44" s="3">
        <v>214.54</v>
      </c>
      <c r="E44" s="3">
        <v>107</v>
      </c>
      <c r="F44" s="3">
        <v>59.16</v>
      </c>
      <c r="G44" s="3"/>
      <c r="H44" s="3">
        <v>10</v>
      </c>
      <c r="I44" s="3">
        <v>0.5</v>
      </c>
      <c r="J44" s="34">
        <f t="shared" si="0"/>
        <v>804.95999999999992</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138.88</v>
      </c>
      <c r="D45" s="3">
        <v>60.83</v>
      </c>
      <c r="E45" s="3">
        <v>1</v>
      </c>
      <c r="F45" s="3">
        <v>64</v>
      </c>
      <c r="G45" s="3"/>
      <c r="H45" s="3">
        <v>20.57</v>
      </c>
      <c r="I45" s="3">
        <v>0.5</v>
      </c>
      <c r="J45" s="34">
        <f t="shared" si="0"/>
        <v>285.77999999999997</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v>0.25</v>
      </c>
      <c r="G48" s="3"/>
      <c r="H48" s="3"/>
      <c r="I48" s="3"/>
      <c r="J48" s="34">
        <f t="shared" si="0"/>
        <v>0.25</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117.75</v>
      </c>
      <c r="D53" s="3">
        <v>73.75</v>
      </c>
      <c r="E53" s="3">
        <v>15</v>
      </c>
      <c r="F53" s="3">
        <v>65.5</v>
      </c>
      <c r="G53" s="3"/>
      <c r="H53" s="3">
        <v>0.5</v>
      </c>
      <c r="I53" s="3">
        <v>10.25</v>
      </c>
      <c r="J53" s="34">
        <f t="shared" si="0"/>
        <v>282.75</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106.17</v>
      </c>
      <c r="D56" s="3">
        <v>28.5</v>
      </c>
      <c r="E56" s="3"/>
      <c r="F56" s="3">
        <v>2.59</v>
      </c>
      <c r="G56" s="3"/>
      <c r="H56" s="3"/>
      <c r="I56" s="3">
        <v>1</v>
      </c>
      <c r="J56" s="34">
        <f t="shared" si="0"/>
        <v>138.26000000000002</v>
      </c>
      <c r="K56" s="3"/>
      <c r="L56" s="3"/>
      <c r="M56" s="3"/>
      <c r="N56" s="3"/>
      <c r="O56" s="3"/>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3974.0700000000006</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E63">
        <v>0.1</v>
      </c>
      <c r="F63" s="3"/>
      <c r="G63" s="1">
        <f>SUM(C63:F63)</f>
        <v>0.1</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2.25</v>
      </c>
      <c r="D64" s="3"/>
      <c r="E64" s="3">
        <v>0.5</v>
      </c>
      <c r="F64" s="3"/>
      <c r="G64" s="1">
        <f t="shared" ref="G64:G71" si="1">SUM(C64:F64)</f>
        <v>2.75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176.56</v>
      </c>
      <c r="D65" s="3"/>
      <c r="E65" s="3">
        <v>51.75</v>
      </c>
      <c r="F65" s="3"/>
      <c r="G65" s="1">
        <f t="shared" si="1"/>
        <v>228.31</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15.8</v>
      </c>
      <c r="D66" s="3"/>
      <c r="E66" s="3">
        <v>1</v>
      </c>
      <c r="F66" s="3"/>
      <c r="G66" s="1">
        <f t="shared" si="1"/>
        <v>16.8</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85.85</v>
      </c>
      <c r="D67" s="3"/>
      <c r="E67" s="3">
        <v>40.92</v>
      </c>
      <c r="F67" s="3"/>
      <c r="G67" s="1">
        <f t="shared" si="1"/>
        <v>126.77</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42.67</v>
      </c>
      <c r="D68" s="3"/>
      <c r="E68" s="3">
        <v>2.5</v>
      </c>
      <c r="F68" s="3"/>
      <c r="G68" s="1">
        <f t="shared" si="1"/>
        <v>45.17</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5.08</v>
      </c>
      <c r="D71" s="3"/>
      <c r="E71" s="3"/>
      <c r="F71" s="3"/>
      <c r="G71" s="1">
        <f t="shared" si="1"/>
        <v>5.08</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328.21000000000004</v>
      </c>
      <c r="D72" s="1">
        <f>SUM(D63:D71)</f>
        <v>0</v>
      </c>
      <c r="E72" s="1">
        <f>SUM(E63:E71)</f>
        <v>96.77000000000001</v>
      </c>
      <c r="F72" s="1">
        <f>SUM(F63:F71)</f>
        <v>0</v>
      </c>
      <c r="G72" s="1">
        <f>SUM(C72:F72)</f>
        <v>424.98</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769.07</v>
      </c>
      <c r="H88" s="37" t="s">
        <v>286</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60.14</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205</v>
      </c>
      <c r="B95" s="146" t="s">
        <v>149</v>
      </c>
      <c r="C95" s="154"/>
      <c r="D95" s="19" t="s">
        <v>206</v>
      </c>
      <c r="E95" s="19" t="s">
        <v>153</v>
      </c>
      <c r="F95" s="20"/>
      <c r="G95" s="20">
        <v>3979.46</v>
      </c>
      <c r="H95" s="146" t="s">
        <v>207</v>
      </c>
      <c r="I95" s="155"/>
      <c r="J95" s="155"/>
      <c r="K95" s="155"/>
      <c r="L95" s="155"/>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213</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214</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215</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211</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210</v>
      </c>
      <c r="F100" s="20"/>
      <c r="G100" s="20"/>
      <c r="H100" s="146" t="s">
        <v>212</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216</v>
      </c>
      <c r="B101" s="146" t="s">
        <v>217</v>
      </c>
      <c r="C101" s="154"/>
      <c r="D101" s="19" t="s">
        <v>206</v>
      </c>
      <c r="E101" s="19" t="s">
        <v>155</v>
      </c>
      <c r="F101" s="20"/>
      <c r="G101" s="20"/>
      <c r="H101" s="146" t="s">
        <v>218</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79</v>
      </c>
      <c r="B102" s="146" t="s">
        <v>19</v>
      </c>
      <c r="C102" s="148"/>
      <c r="D102" s="19" t="s">
        <v>77</v>
      </c>
      <c r="E102" s="19" t="s">
        <v>153</v>
      </c>
      <c r="F102" s="20"/>
      <c r="G102" s="20"/>
      <c r="H102" s="18" t="s">
        <v>80</v>
      </c>
      <c r="I102" s="28"/>
      <c r="J102" s="28"/>
      <c r="K102" s="28"/>
      <c r="L102" s="28"/>
      <c r="M102" s="29"/>
      <c r="N102" s="3"/>
      <c r="O102" s="3"/>
      <c r="P102" s="3"/>
      <c r="Q102" s="3"/>
      <c r="R102" s="3"/>
      <c r="S102" s="3"/>
      <c r="T102" s="3"/>
      <c r="U102" s="3"/>
      <c r="V102" s="3"/>
      <c r="W102" s="3"/>
      <c r="X102" s="3"/>
      <c r="Y102" s="3"/>
      <c r="Z102" s="3"/>
      <c r="AA102" s="3"/>
      <c r="AB102" s="3"/>
    </row>
    <row r="103" spans="1:28" ht="14" x14ac:dyDescent="0.2">
      <c r="A103" s="17" t="s">
        <v>281</v>
      </c>
      <c r="B103" s="146" t="s">
        <v>282</v>
      </c>
      <c r="C103" s="154"/>
      <c r="D103" s="19" t="s">
        <v>77</v>
      </c>
      <c r="E103" s="39" t="s">
        <v>283</v>
      </c>
      <c r="F103" s="20"/>
      <c r="G103" s="20"/>
      <c r="H103" s="18" t="s">
        <v>284</v>
      </c>
      <c r="I103" s="28"/>
      <c r="J103" s="28"/>
      <c r="K103" s="28"/>
      <c r="L103" s="28"/>
      <c r="M103" s="28"/>
      <c r="N103" s="3"/>
      <c r="O103" s="3"/>
      <c r="P103" s="3"/>
      <c r="Q103" s="3"/>
      <c r="R103" s="3"/>
      <c r="S103" s="3"/>
      <c r="T103" s="3"/>
      <c r="U103" s="3"/>
      <c r="V103" s="3"/>
      <c r="W103" s="3"/>
      <c r="X103" s="3"/>
      <c r="Y103" s="3"/>
      <c r="Z103" s="3"/>
      <c r="AA103" s="3"/>
      <c r="AB103" s="3"/>
    </row>
    <row r="104" spans="1:28" ht="14" x14ac:dyDescent="0.2">
      <c r="A104" s="17" t="s">
        <v>219</v>
      </c>
      <c r="B104" s="151" t="s">
        <v>220</v>
      </c>
      <c r="C104" s="148"/>
      <c r="D104" s="19" t="s">
        <v>77</v>
      </c>
      <c r="E104" s="39" t="s">
        <v>155</v>
      </c>
      <c r="F104" s="20"/>
      <c r="G104" s="20"/>
      <c r="H104" s="146" t="s">
        <v>221</v>
      </c>
      <c r="I104" s="151"/>
      <c r="J104" s="151"/>
      <c r="K104" s="151"/>
      <c r="L104" s="154"/>
      <c r="M104" s="18"/>
      <c r="N104" s="3"/>
      <c r="O104" s="3"/>
      <c r="P104" s="3"/>
      <c r="Q104" s="3"/>
      <c r="R104" s="3"/>
      <c r="S104" s="3"/>
      <c r="T104" s="3"/>
      <c r="U104" s="3"/>
      <c r="V104" s="3"/>
      <c r="W104" s="3"/>
      <c r="X104" s="3"/>
      <c r="Y104" s="3"/>
      <c r="Z104" s="3"/>
      <c r="AA104" s="3"/>
      <c r="AB104" s="3"/>
    </row>
    <row r="105" spans="1:28" ht="14" x14ac:dyDescent="0.2">
      <c r="A105" s="24" t="s">
        <v>222</v>
      </c>
      <c r="B105" s="151" t="s">
        <v>220</v>
      </c>
      <c r="C105" s="148"/>
      <c r="D105" s="19" t="s">
        <v>77</v>
      </c>
      <c r="E105" s="39" t="s">
        <v>155</v>
      </c>
      <c r="F105" s="27"/>
      <c r="G105" s="27"/>
      <c r="H105" s="24" t="s">
        <v>223</v>
      </c>
      <c r="I105" s="25"/>
      <c r="J105" s="25"/>
      <c r="K105" s="25"/>
      <c r="L105" s="25"/>
      <c r="M105" s="25"/>
      <c r="N105" s="3"/>
      <c r="O105" s="3"/>
      <c r="P105" s="3"/>
      <c r="Q105" s="3"/>
      <c r="R105" s="3"/>
      <c r="S105" s="3"/>
      <c r="T105" s="3"/>
      <c r="U105" s="3"/>
      <c r="V105" s="3"/>
      <c r="W105" s="3"/>
      <c r="X105" s="3"/>
      <c r="Y105" s="3"/>
      <c r="Z105" s="3"/>
      <c r="AA105" s="3"/>
      <c r="AB105" s="3"/>
    </row>
    <row r="106" spans="1:28" ht="14" x14ac:dyDescent="0.2">
      <c r="A106" s="24" t="s">
        <v>224</v>
      </c>
      <c r="B106" s="151" t="s">
        <v>225</v>
      </c>
      <c r="C106" s="148"/>
      <c r="D106" s="19" t="s">
        <v>77</v>
      </c>
      <c r="E106" s="39" t="s">
        <v>155</v>
      </c>
      <c r="F106" s="27"/>
      <c r="G106" s="27"/>
      <c r="H106" s="24" t="s">
        <v>101</v>
      </c>
      <c r="I106" s="25"/>
      <c r="J106" s="25"/>
      <c r="K106" s="25"/>
      <c r="L106" s="25"/>
      <c r="M106" s="25"/>
      <c r="N106" s="3"/>
      <c r="O106" s="3"/>
      <c r="P106" s="3"/>
      <c r="Q106" s="3"/>
      <c r="R106" s="3"/>
      <c r="S106" s="3"/>
      <c r="T106" s="3"/>
      <c r="U106" s="3"/>
      <c r="V106" s="3"/>
      <c r="W106" s="3"/>
      <c r="X106" s="3"/>
      <c r="Y106" s="3"/>
      <c r="Z106" s="3"/>
      <c r="AA106" s="3"/>
      <c r="AB106" s="3"/>
    </row>
    <row r="107" spans="1:28" ht="14" x14ac:dyDescent="0.2">
      <c r="A107" s="3"/>
      <c r="B107" s="3"/>
      <c r="C107" s="3"/>
      <c r="D107" s="3"/>
      <c r="F107" s="23">
        <f>SUM(F78:F106)</f>
        <v>0</v>
      </c>
      <c r="G107" s="23">
        <f>SUM(G79:G106)</f>
        <v>4808.67</v>
      </c>
      <c r="H107" s="3"/>
      <c r="I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sheetData>
  <mergeCells count="37">
    <mergeCell ref="B106:C106"/>
    <mergeCell ref="B99:C99"/>
    <mergeCell ref="H99:L99"/>
    <mergeCell ref="B100:C100"/>
    <mergeCell ref="H100:L100"/>
    <mergeCell ref="B101:C101"/>
    <mergeCell ref="H101:L101"/>
    <mergeCell ref="B102:C102"/>
    <mergeCell ref="B103:C103"/>
    <mergeCell ref="B104:C104"/>
    <mergeCell ref="H104:L104"/>
    <mergeCell ref="B105:C105"/>
    <mergeCell ref="B98:C98"/>
    <mergeCell ref="H98:L98"/>
    <mergeCell ref="B89:C89"/>
    <mergeCell ref="B91:C91"/>
    <mergeCell ref="B92:C92"/>
    <mergeCell ref="B93:C93"/>
    <mergeCell ref="B94:C94"/>
    <mergeCell ref="B95:C95"/>
    <mergeCell ref="H95:L95"/>
    <mergeCell ref="B96:C96"/>
    <mergeCell ref="H96:L96"/>
    <mergeCell ref="B97:C97"/>
    <mergeCell ref="H97:L97"/>
    <mergeCell ref="B88:C88"/>
    <mergeCell ref="B77:C77"/>
    <mergeCell ref="B78:C78"/>
    <mergeCell ref="B79:C79"/>
    <mergeCell ref="B80:C80"/>
    <mergeCell ref="B81:C81"/>
    <mergeCell ref="B82:C82"/>
    <mergeCell ref="B83:C83"/>
    <mergeCell ref="B84:C84"/>
    <mergeCell ref="B85:C85"/>
    <mergeCell ref="B86:C86"/>
    <mergeCell ref="B87:C87"/>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251F-C808-F841-8D4A-F9A81566E16C}">
  <sheetPr>
    <outlinePr summaryBelow="0" summaryRight="0"/>
    <pageSetUpPr fitToPage="1"/>
  </sheetPr>
  <dimension ref="A1:AB1051"/>
  <sheetViews>
    <sheetView topLeftCell="A26"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45870</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5712</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5714.65</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2.6499999999996362</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40.340000000000003</v>
      </c>
      <c r="D13" s="3">
        <v>203.53</v>
      </c>
      <c r="E13" s="3"/>
      <c r="F13" s="3">
        <v>35.020000000000003</v>
      </c>
      <c r="G13" s="3">
        <v>9.77</v>
      </c>
      <c r="H13" s="3">
        <v>2.25</v>
      </c>
      <c r="I13" s="3">
        <v>22.58</v>
      </c>
      <c r="J13" s="3">
        <v>6</v>
      </c>
      <c r="K13" s="3">
        <v>51</v>
      </c>
      <c r="L13" s="3"/>
      <c r="M13" s="3">
        <v>3.5</v>
      </c>
      <c r="N13" s="3">
        <v>17.25</v>
      </c>
      <c r="O13" s="3">
        <v>475</v>
      </c>
      <c r="P13" s="3">
        <v>717.75</v>
      </c>
      <c r="Q13" s="3">
        <v>250.3</v>
      </c>
      <c r="R13" s="3">
        <v>46.17</v>
      </c>
      <c r="S13" s="3">
        <v>16</v>
      </c>
      <c r="T13" s="34">
        <f>SUM(C13:S13)</f>
        <v>1896.46</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3"/>
      <c r="M16" s="3"/>
      <c r="N16" s="3"/>
      <c r="O16" s="3"/>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M17" s="3"/>
      <c r="N17" s="3"/>
      <c r="O17" s="3"/>
      <c r="P17" s="3"/>
      <c r="Q17" s="3"/>
      <c r="R17" s="3"/>
      <c r="S17" s="3"/>
      <c r="T17" s="3"/>
      <c r="U17" s="3"/>
      <c r="V17" s="3"/>
      <c r="W17" s="3"/>
      <c r="X17" s="3"/>
      <c r="Y17" s="3"/>
      <c r="Z17" s="3"/>
      <c r="AA17" s="3"/>
      <c r="AB17" s="3"/>
    </row>
    <row r="18" spans="1:28" ht="15" x14ac:dyDescent="0.2">
      <c r="A18" s="3" t="s">
        <v>10</v>
      </c>
      <c r="B18" s="36" t="s">
        <v>130</v>
      </c>
      <c r="C18" s="3">
        <v>0.42</v>
      </c>
      <c r="D18" s="3">
        <v>34.520000000000003</v>
      </c>
      <c r="E18" s="3"/>
      <c r="F18" s="3">
        <v>4.5</v>
      </c>
      <c r="G18" s="3"/>
      <c r="H18" s="3">
        <v>4.5</v>
      </c>
      <c r="I18" s="3"/>
      <c r="J18" s="34">
        <f t="shared" si="0"/>
        <v>43.940000000000005</v>
      </c>
      <c r="K18" s="3"/>
      <c r="L18" s="3"/>
      <c r="M18" s="3"/>
      <c r="N18" s="3"/>
      <c r="O18" s="3"/>
      <c r="P18" s="3"/>
      <c r="Q18" s="3"/>
      <c r="R18" s="3"/>
      <c r="S18" s="3"/>
      <c r="T18" s="3"/>
      <c r="U18" s="3"/>
      <c r="V18" s="3"/>
      <c r="W18" s="3"/>
      <c r="X18" s="3"/>
      <c r="Y18" s="3"/>
      <c r="Z18" s="3"/>
      <c r="AA18" s="3"/>
      <c r="AB18" s="3"/>
    </row>
    <row r="19" spans="1:28" ht="14" x14ac:dyDescent="0.2">
      <c r="A19" s="3" t="s">
        <v>287</v>
      </c>
      <c r="B19" s="36"/>
      <c r="C19" s="3"/>
      <c r="D19" s="3"/>
      <c r="E19" s="3"/>
      <c r="F19" s="3">
        <v>1.25</v>
      </c>
      <c r="G19" s="3"/>
      <c r="H19" s="3"/>
      <c r="I19" s="3"/>
      <c r="J19" s="34">
        <f t="shared" si="0"/>
        <v>1.25</v>
      </c>
      <c r="K19" s="3"/>
      <c r="L19" s="3"/>
      <c r="M19" s="3"/>
      <c r="N19" s="3"/>
      <c r="O19" s="3"/>
      <c r="P19" s="3"/>
      <c r="Q19" s="3"/>
      <c r="R19" s="3"/>
      <c r="S19" s="3"/>
      <c r="T19" s="3"/>
      <c r="U19" s="3"/>
      <c r="V19" s="3"/>
      <c r="W19" s="3"/>
      <c r="X19" s="3"/>
      <c r="Y19" s="3"/>
      <c r="Z19" s="3"/>
      <c r="AA19" s="3"/>
      <c r="AB19" s="3"/>
    </row>
    <row r="20" spans="1:28" ht="14" x14ac:dyDescent="0.2">
      <c r="A20" s="3" t="s">
        <v>11</v>
      </c>
      <c r="B20" s="3" t="s">
        <v>131</v>
      </c>
      <c r="C20" s="3">
        <v>13</v>
      </c>
      <c r="D20" s="3"/>
      <c r="E20" s="3"/>
      <c r="F20" s="3"/>
      <c r="G20" s="3"/>
      <c r="H20" s="3"/>
      <c r="I20" s="3"/>
      <c r="J20" s="34">
        <f t="shared" si="0"/>
        <v>13</v>
      </c>
      <c r="K20" s="3"/>
      <c r="L20" s="3"/>
      <c r="M20" s="3"/>
      <c r="N20" s="3"/>
      <c r="O20" s="3"/>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c r="M21" s="3"/>
      <c r="N21" s="3"/>
      <c r="O21" s="3"/>
      <c r="P21" s="3"/>
      <c r="Q21" s="3"/>
      <c r="R21" s="3"/>
      <c r="S21" s="3"/>
      <c r="T21" s="3"/>
      <c r="U21" s="3"/>
      <c r="V21" s="3"/>
      <c r="W21" s="3"/>
      <c r="X21" s="3"/>
      <c r="Y21" s="3"/>
      <c r="Z21" s="3"/>
      <c r="AA21" s="3"/>
      <c r="AB21" s="3"/>
    </row>
    <row r="22" spans="1:28" ht="14" x14ac:dyDescent="0.2">
      <c r="A22" s="3" t="s">
        <v>186</v>
      </c>
      <c r="B22" s="3" t="s">
        <v>132</v>
      </c>
      <c r="C22" s="3">
        <v>23.58</v>
      </c>
      <c r="D22" s="3">
        <v>28.08</v>
      </c>
      <c r="E22" s="3">
        <v>91.5</v>
      </c>
      <c r="F22" s="3">
        <v>0.75</v>
      </c>
      <c r="G22" s="3">
        <v>5.75</v>
      </c>
      <c r="H22" s="3"/>
      <c r="I22" s="3"/>
      <c r="J22" s="34">
        <f t="shared" si="0"/>
        <v>149.66</v>
      </c>
      <c r="K22" s="3"/>
      <c r="L22" s="3"/>
      <c r="M22" s="3"/>
      <c r="N22" s="3"/>
      <c r="O22" s="3"/>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3"/>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3"/>
      <c r="O24" s="3"/>
      <c r="P24" s="3"/>
      <c r="Q24" s="3"/>
      <c r="R24" s="3"/>
      <c r="S24" s="3"/>
      <c r="T24" s="3"/>
      <c r="U24" s="3"/>
      <c r="V24" s="3"/>
      <c r="W24" s="3"/>
      <c r="X24" s="3"/>
      <c r="Y24" s="3"/>
      <c r="Z24" s="3"/>
      <c r="AA24" s="3"/>
      <c r="AB24" s="3"/>
    </row>
    <row r="25" spans="1:28" ht="14" x14ac:dyDescent="0.2">
      <c r="A25" s="3" t="s">
        <v>14</v>
      </c>
      <c r="B25" s="3" t="s">
        <v>133</v>
      </c>
      <c r="C25" s="3">
        <v>346.4</v>
      </c>
      <c r="D25" s="3">
        <v>246.05</v>
      </c>
      <c r="E25" s="3">
        <v>56</v>
      </c>
      <c r="F25" s="3">
        <v>142.53</v>
      </c>
      <c r="G25" s="3">
        <v>0.5</v>
      </c>
      <c r="H25" s="3">
        <v>31.75</v>
      </c>
      <c r="I25" s="3">
        <v>0.67</v>
      </c>
      <c r="J25" s="34">
        <f t="shared" si="0"/>
        <v>823.9</v>
      </c>
      <c r="K25" s="3"/>
      <c r="L25" s="3"/>
      <c r="M25" s="3"/>
      <c r="N25" s="3"/>
      <c r="O25" s="3"/>
      <c r="P25" s="3"/>
      <c r="Q25" s="3"/>
      <c r="R25" s="3"/>
      <c r="S25" s="3"/>
      <c r="T25" s="3"/>
      <c r="U25" s="3"/>
      <c r="V25" s="3"/>
      <c r="W25" s="3"/>
      <c r="X25" s="3"/>
      <c r="Y25" s="3"/>
      <c r="Z25" s="3"/>
      <c r="AA25" s="3"/>
      <c r="AB25" s="3"/>
    </row>
    <row r="26" spans="1:28" ht="14" x14ac:dyDescent="0.2">
      <c r="A26" s="3" t="s">
        <v>277</v>
      </c>
      <c r="B26" s="3"/>
      <c r="C26" s="3"/>
      <c r="D26" s="3">
        <v>21.64</v>
      </c>
      <c r="E26" s="3"/>
      <c r="F26" s="3">
        <v>83.67</v>
      </c>
      <c r="G26" s="3"/>
      <c r="H26" s="3"/>
      <c r="I26" s="3"/>
      <c r="J26" s="34">
        <f t="shared" si="0"/>
        <v>105.31</v>
      </c>
      <c r="K26" s="3"/>
      <c r="L26" s="3"/>
      <c r="M26" s="3"/>
      <c r="N26" s="3"/>
      <c r="O26" s="3"/>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3"/>
      <c r="O27" s="3"/>
      <c r="P27" s="3"/>
      <c r="Q27" s="3"/>
      <c r="R27" s="3"/>
      <c r="S27" s="3"/>
      <c r="T27" s="3"/>
      <c r="U27" s="3"/>
      <c r="V27" s="3"/>
      <c r="W27" s="3"/>
      <c r="X27" s="3"/>
      <c r="Y27" s="3"/>
      <c r="Z27" s="3"/>
      <c r="AA27" s="3"/>
      <c r="AB27" s="3"/>
    </row>
    <row r="28" spans="1:28" ht="14" x14ac:dyDescent="0.2">
      <c r="A28" s="3" t="s">
        <v>122</v>
      </c>
      <c r="B28" s="3" t="s">
        <v>134</v>
      </c>
      <c r="C28" s="3">
        <v>189.79</v>
      </c>
      <c r="D28" s="3">
        <v>147.5</v>
      </c>
      <c r="E28" s="3">
        <v>140.5</v>
      </c>
      <c r="F28" s="3">
        <v>34.25</v>
      </c>
      <c r="G28" s="3"/>
      <c r="H28" s="3">
        <v>1</v>
      </c>
      <c r="I28" s="3"/>
      <c r="J28" s="34">
        <f t="shared" si="0"/>
        <v>513.04</v>
      </c>
      <c r="K28" s="3"/>
      <c r="L28" s="3"/>
      <c r="M28" s="3"/>
      <c r="N28" s="3"/>
      <c r="O28" s="3"/>
      <c r="P28" s="3"/>
      <c r="Q28" s="3"/>
      <c r="R28" s="3"/>
      <c r="S28" s="3"/>
      <c r="T28" s="3"/>
      <c r="U28" s="3"/>
      <c r="V28" s="3"/>
      <c r="W28" s="3"/>
      <c r="X28" s="3"/>
      <c r="Y28" s="3"/>
      <c r="Z28" s="3"/>
      <c r="AA28" s="3"/>
      <c r="AB28" s="3"/>
    </row>
    <row r="29" spans="1:28" ht="14" x14ac:dyDescent="0.2">
      <c r="A29" s="3" t="s">
        <v>183</v>
      </c>
      <c r="B29" s="3"/>
      <c r="C29" s="3"/>
      <c r="D29" s="3">
        <v>13.75</v>
      </c>
      <c r="E29" s="3"/>
      <c r="F29" s="3">
        <v>1.25</v>
      </c>
      <c r="G29" s="3"/>
      <c r="H29" s="3">
        <v>6.75</v>
      </c>
      <c r="I29" s="3"/>
      <c r="J29" s="34">
        <f t="shared" si="0"/>
        <v>21.75</v>
      </c>
      <c r="K29" s="3"/>
      <c r="L29" s="3"/>
      <c r="M29" s="3"/>
      <c r="N29" s="3"/>
      <c r="O29" s="3"/>
      <c r="P29" s="3"/>
      <c r="Q29" s="3"/>
      <c r="R29" s="3"/>
      <c r="S29" s="3"/>
      <c r="T29" s="3"/>
      <c r="U29" s="3"/>
      <c r="V29" s="3"/>
      <c r="W29" s="3"/>
      <c r="X29" s="3"/>
      <c r="Y29" s="3"/>
      <c r="Z29" s="3"/>
      <c r="AA29" s="3"/>
      <c r="AB29" s="3"/>
    </row>
    <row r="30" spans="1:28" ht="14" x14ac:dyDescent="0.2">
      <c r="A30" s="3" t="s">
        <v>123</v>
      </c>
      <c r="B30" s="3" t="s">
        <v>135</v>
      </c>
      <c r="C30" s="3"/>
      <c r="D30" s="3">
        <v>2</v>
      </c>
      <c r="E30" s="3"/>
      <c r="F30" s="3">
        <v>0.5</v>
      </c>
      <c r="G30" s="3"/>
      <c r="H30" s="3"/>
      <c r="I30" s="3"/>
      <c r="J30" s="34">
        <f t="shared" si="0"/>
        <v>2.5</v>
      </c>
      <c r="K30" s="3"/>
      <c r="L30" s="3"/>
      <c r="M30" s="3"/>
      <c r="N30" s="3"/>
      <c r="O30" s="3"/>
      <c r="P30" s="3"/>
      <c r="Q30" s="3"/>
      <c r="R30" s="3"/>
      <c r="S30" s="3"/>
      <c r="T30" s="3"/>
      <c r="U30" s="3"/>
      <c r="V30" s="3"/>
      <c r="W30" s="3"/>
      <c r="X30" s="3"/>
      <c r="Y30" s="3"/>
      <c r="Z30" s="3"/>
      <c r="AA30" s="3"/>
      <c r="AB30" s="3"/>
    </row>
    <row r="31" spans="1:28" ht="14" x14ac:dyDescent="0.2">
      <c r="A31" s="3" t="s">
        <v>106</v>
      </c>
      <c r="B31" s="3" t="s">
        <v>136</v>
      </c>
      <c r="C31" s="3">
        <v>115.6</v>
      </c>
      <c r="D31" s="3">
        <v>10.5</v>
      </c>
      <c r="E31" s="3"/>
      <c r="F31" s="3"/>
      <c r="G31" s="3"/>
      <c r="H31" s="3">
        <v>11.5</v>
      </c>
      <c r="I31" s="3"/>
      <c r="J31" s="34">
        <f t="shared" si="0"/>
        <v>137.6</v>
      </c>
      <c r="K31" s="3"/>
      <c r="L31" s="3"/>
      <c r="M31" s="3"/>
      <c r="N31" s="3"/>
      <c r="O31" s="3"/>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3"/>
      <c r="O32" s="3"/>
      <c r="P32" s="3"/>
      <c r="Q32" s="3"/>
      <c r="R32" s="3"/>
      <c r="S32" s="3"/>
      <c r="T32" s="3"/>
      <c r="U32" s="3"/>
      <c r="V32" s="3"/>
      <c r="W32" s="3"/>
      <c r="X32" s="3"/>
      <c r="Y32" s="3"/>
      <c r="Z32" s="3"/>
      <c r="AA32" s="3"/>
      <c r="AB32" s="3"/>
    </row>
    <row r="33" spans="1:28" ht="14" x14ac:dyDescent="0.2">
      <c r="A33" s="3" t="s">
        <v>16</v>
      </c>
      <c r="B33" s="3" t="s">
        <v>180</v>
      </c>
      <c r="C33" s="3">
        <v>44.5</v>
      </c>
      <c r="D33" s="3">
        <v>48.5</v>
      </c>
      <c r="E33" s="3"/>
      <c r="F33" s="3">
        <v>6</v>
      </c>
      <c r="G33" s="3">
        <v>24.5</v>
      </c>
      <c r="H33" s="3"/>
      <c r="I33" s="3">
        <v>4</v>
      </c>
      <c r="J33" s="34">
        <f t="shared" si="0"/>
        <v>127.5</v>
      </c>
      <c r="K33" s="3"/>
      <c r="L33" s="3"/>
      <c r="M33" s="3"/>
      <c r="N33" s="3"/>
      <c r="O33" s="3"/>
      <c r="P33" s="3"/>
      <c r="Q33" s="3"/>
      <c r="R33" s="3"/>
      <c r="S33" s="3"/>
      <c r="T33" s="3"/>
      <c r="U33" s="3"/>
      <c r="V33" s="3"/>
      <c r="W33" s="3"/>
      <c r="X33" s="3"/>
      <c r="Y33" s="3"/>
      <c r="Z33" s="3"/>
      <c r="AA33" s="3"/>
      <c r="AB33" s="3"/>
    </row>
    <row r="34" spans="1:28" ht="14" x14ac:dyDescent="0.2">
      <c r="A34" s="3" t="s">
        <v>161</v>
      </c>
      <c r="B34" s="3"/>
      <c r="C34" s="3"/>
      <c r="D34" s="3">
        <v>5.5</v>
      </c>
      <c r="E34" s="3"/>
      <c r="F34" s="3">
        <v>1</v>
      </c>
      <c r="G34" s="3"/>
      <c r="H34" s="3"/>
      <c r="I34" s="3"/>
      <c r="J34" s="34">
        <f t="shared" si="0"/>
        <v>6.5</v>
      </c>
      <c r="K34" s="3"/>
      <c r="L34" s="3"/>
      <c r="M34" s="3"/>
      <c r="N34" s="3"/>
      <c r="O34" s="3"/>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c r="M35" s="3"/>
      <c r="N35" s="3"/>
      <c r="O35" s="3"/>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3"/>
      <c r="O36" s="3"/>
      <c r="P36" s="3"/>
      <c r="Q36" s="3"/>
      <c r="R36" s="3"/>
      <c r="S36" s="3"/>
      <c r="T36" s="3"/>
      <c r="U36" s="3"/>
      <c r="V36" s="3"/>
      <c r="W36" s="3"/>
      <c r="X36" s="3"/>
      <c r="Y36" s="3"/>
      <c r="Z36" s="3"/>
      <c r="AA36" s="3"/>
      <c r="AB36" s="3"/>
    </row>
    <row r="37" spans="1:28" ht="14" x14ac:dyDescent="0.2">
      <c r="A37" s="3" t="s">
        <v>171</v>
      </c>
      <c r="B37" s="3" t="s">
        <v>181</v>
      </c>
      <c r="C37" s="3"/>
      <c r="D37" s="3"/>
      <c r="E37" s="3"/>
      <c r="F37" s="3"/>
      <c r="G37" s="3"/>
      <c r="H37" s="3"/>
      <c r="I37" s="3"/>
      <c r="J37" s="34">
        <f t="shared" si="0"/>
        <v>0</v>
      </c>
      <c r="K37" s="3"/>
      <c r="L37" s="3"/>
      <c r="M37" s="3"/>
      <c r="N37" s="3"/>
      <c r="O37" s="3"/>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3"/>
      <c r="O38" s="3"/>
      <c r="P38" s="3"/>
      <c r="Q38" s="3"/>
      <c r="R38" s="3"/>
      <c r="S38" s="3"/>
      <c r="T38" s="3"/>
      <c r="U38" s="3"/>
      <c r="V38" s="3"/>
      <c r="W38" s="3"/>
      <c r="X38" s="3"/>
      <c r="Y38" s="3"/>
      <c r="Z38" s="3"/>
      <c r="AA38" s="3"/>
      <c r="AB38" s="3"/>
    </row>
    <row r="39" spans="1:28" ht="14" x14ac:dyDescent="0.2">
      <c r="A39" s="3" t="s">
        <v>107</v>
      </c>
      <c r="B39" s="3" t="s">
        <v>140</v>
      </c>
      <c r="C39" s="3">
        <v>89.5</v>
      </c>
      <c r="D39" s="3">
        <v>71.5</v>
      </c>
      <c r="E39" s="3">
        <v>15.5</v>
      </c>
      <c r="F39" s="3">
        <v>14.5</v>
      </c>
      <c r="G39" s="3"/>
      <c r="H39" s="3">
        <v>16</v>
      </c>
      <c r="I39" s="3"/>
      <c r="J39" s="34">
        <f t="shared" si="0"/>
        <v>207</v>
      </c>
      <c r="K39" s="3"/>
      <c r="L39" s="3"/>
      <c r="M39" s="3"/>
      <c r="N39" s="3"/>
      <c r="O39" s="3"/>
      <c r="P39" s="3"/>
      <c r="Q39" s="3"/>
      <c r="R39" s="3"/>
      <c r="S39" s="3"/>
      <c r="T39" s="3"/>
      <c r="U39" s="3"/>
      <c r="V39" s="3"/>
      <c r="W39" s="3"/>
      <c r="X39" s="3"/>
      <c r="Y39" s="3"/>
      <c r="Z39" s="3"/>
      <c r="AA39" s="3"/>
      <c r="AB39" s="3"/>
    </row>
    <row r="40" spans="1:28" ht="14" x14ac:dyDescent="0.2">
      <c r="A40" s="3" t="s">
        <v>165</v>
      </c>
      <c r="B40" s="3" t="s">
        <v>182</v>
      </c>
      <c r="C40" s="3"/>
      <c r="D40" s="3">
        <v>0.75</v>
      </c>
      <c r="E40" s="3"/>
      <c r="F40" s="3">
        <v>2.25</v>
      </c>
      <c r="G40" s="3"/>
      <c r="H40" s="3"/>
      <c r="I40" s="3"/>
      <c r="J40" s="34">
        <f t="shared" si="0"/>
        <v>3</v>
      </c>
      <c r="K40" s="3"/>
      <c r="L40" s="3"/>
      <c r="M40" s="3"/>
      <c r="N40" s="3"/>
      <c r="O40" s="3"/>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3"/>
      <c r="O41" s="3"/>
      <c r="P41" s="3"/>
      <c r="Q41" s="3"/>
      <c r="R41" s="3"/>
      <c r="S41" s="3"/>
      <c r="T41" s="3"/>
      <c r="U41" s="3"/>
      <c r="V41" s="3"/>
      <c r="W41" s="3"/>
      <c r="X41" s="3"/>
      <c r="Y41" s="3"/>
      <c r="Z41" s="3"/>
      <c r="AA41" s="3"/>
      <c r="AB41" s="3"/>
    </row>
    <row r="42" spans="1:28" ht="14" x14ac:dyDescent="0.2">
      <c r="A42" s="3" t="s">
        <v>371</v>
      </c>
      <c r="B42" s="3" t="s">
        <v>141</v>
      </c>
      <c r="C42" s="3"/>
      <c r="D42" s="3">
        <v>0.25</v>
      </c>
      <c r="E42" s="3"/>
      <c r="F42" s="3">
        <v>6.08</v>
      </c>
      <c r="G42" s="3"/>
      <c r="H42" s="3"/>
      <c r="I42" s="3"/>
      <c r="J42" s="34">
        <f t="shared" si="0"/>
        <v>6.33</v>
      </c>
      <c r="K42" s="3"/>
      <c r="L42" s="3"/>
      <c r="M42" s="3"/>
      <c r="N42" s="3"/>
      <c r="O42" s="3"/>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3"/>
      <c r="O43" s="3"/>
      <c r="P43" s="3"/>
      <c r="Q43" s="3"/>
      <c r="R43" s="3"/>
      <c r="S43" s="3"/>
      <c r="T43" s="3"/>
      <c r="U43" s="3"/>
      <c r="V43" s="3"/>
      <c r="W43" s="3"/>
      <c r="X43" s="3"/>
      <c r="Y43" s="3"/>
      <c r="Z43" s="3"/>
      <c r="AA43" s="3"/>
      <c r="AB43" s="3"/>
    </row>
    <row r="44" spans="1:28" ht="14" x14ac:dyDescent="0.2">
      <c r="A44" s="3" t="s">
        <v>18</v>
      </c>
      <c r="B44" s="3" t="s">
        <v>143</v>
      </c>
      <c r="C44" s="3">
        <v>391.15</v>
      </c>
      <c r="D44" s="3">
        <v>192.59</v>
      </c>
      <c r="E44" s="3">
        <v>68.5</v>
      </c>
      <c r="F44" s="3">
        <v>17.989999999999998</v>
      </c>
      <c r="G44" s="3"/>
      <c r="H44" s="3">
        <v>3</v>
      </c>
      <c r="I44" s="3">
        <v>6.5</v>
      </c>
      <c r="J44" s="34">
        <f t="shared" si="0"/>
        <v>679.73</v>
      </c>
      <c r="K44" s="3"/>
      <c r="L44" s="3"/>
      <c r="M44" s="3"/>
      <c r="N44" s="3"/>
      <c r="O44" s="3"/>
      <c r="P44" s="3"/>
      <c r="Q44" s="3"/>
      <c r="R44" s="3"/>
      <c r="S44" s="3"/>
      <c r="T44" s="3"/>
      <c r="U44" s="3"/>
      <c r="V44" s="3"/>
      <c r="W44" s="3"/>
      <c r="X44" s="3"/>
      <c r="Y44" s="3"/>
      <c r="Z44" s="3"/>
      <c r="AA44" s="3"/>
      <c r="AB44" s="3"/>
    </row>
    <row r="45" spans="1:28" ht="14" x14ac:dyDescent="0.2">
      <c r="A45" s="3" t="s">
        <v>19</v>
      </c>
      <c r="B45" s="3" t="s">
        <v>144</v>
      </c>
      <c r="C45" s="3">
        <v>97.81</v>
      </c>
      <c r="D45" s="3">
        <v>46.75</v>
      </c>
      <c r="E45" s="3">
        <v>2.5</v>
      </c>
      <c r="F45" s="3">
        <v>42.5</v>
      </c>
      <c r="G45" s="3"/>
      <c r="H45" s="3">
        <v>2.25</v>
      </c>
      <c r="I45" s="3"/>
      <c r="J45" s="34">
        <f t="shared" si="0"/>
        <v>191.81</v>
      </c>
      <c r="K45" s="3"/>
      <c r="L45" s="3"/>
      <c r="M45" s="3"/>
      <c r="N45" s="3"/>
      <c r="O45" s="3"/>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3"/>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c r="M47" s="3"/>
      <c r="N47" s="3"/>
      <c r="O47" s="3"/>
      <c r="P47" s="3"/>
      <c r="Q47" s="3"/>
      <c r="R47" s="3"/>
      <c r="S47" s="3"/>
      <c r="T47" s="3"/>
      <c r="U47" s="3"/>
      <c r="V47" s="3"/>
      <c r="W47" s="3"/>
      <c r="X47" s="3"/>
      <c r="Y47" s="3"/>
      <c r="Z47" s="3"/>
      <c r="AA47" s="3"/>
      <c r="AB47" s="3"/>
    </row>
    <row r="48" spans="1:28" ht="14" x14ac:dyDescent="0.2">
      <c r="A48" s="3" t="s">
        <v>288</v>
      </c>
      <c r="B48" s="3"/>
      <c r="C48" s="3"/>
      <c r="D48" s="3"/>
      <c r="E48" s="3"/>
      <c r="F48" s="3"/>
      <c r="G48" s="3"/>
      <c r="H48" s="3">
        <v>27.25</v>
      </c>
      <c r="I48" s="3"/>
      <c r="J48" s="34">
        <f t="shared" si="0"/>
        <v>27.25</v>
      </c>
      <c r="K48" s="3"/>
      <c r="L48" s="3"/>
      <c r="M48" s="3"/>
      <c r="N48" s="3"/>
      <c r="O48" s="3"/>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c r="M49" s="3"/>
      <c r="N49" s="3"/>
      <c r="O49" s="3"/>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3"/>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3"/>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3"/>
      <c r="O52" s="3"/>
      <c r="P52" s="3"/>
      <c r="Q52" s="3"/>
      <c r="R52" s="3"/>
      <c r="S52" s="3"/>
      <c r="T52" s="3"/>
      <c r="U52" s="3"/>
      <c r="V52" s="3"/>
      <c r="W52" s="3"/>
      <c r="X52" s="3"/>
      <c r="Y52" s="3"/>
      <c r="Z52" s="3"/>
      <c r="AA52" s="3"/>
      <c r="AB52" s="3"/>
    </row>
    <row r="53" spans="1:28" ht="14" x14ac:dyDescent="0.2">
      <c r="A53" s="3" t="s">
        <v>128</v>
      </c>
      <c r="B53" s="3" t="s">
        <v>146</v>
      </c>
      <c r="C53" s="3">
        <v>89.5</v>
      </c>
      <c r="D53" s="3">
        <v>84</v>
      </c>
      <c r="E53" s="3">
        <v>26.5</v>
      </c>
      <c r="F53" s="3">
        <v>73.5</v>
      </c>
      <c r="G53" s="3"/>
      <c r="H53" s="3"/>
      <c r="I53" s="3">
        <v>2</v>
      </c>
      <c r="J53" s="34">
        <f t="shared" si="0"/>
        <v>275.5</v>
      </c>
      <c r="K53" s="3"/>
      <c r="L53" s="3"/>
      <c r="M53" s="3"/>
      <c r="N53" s="3"/>
      <c r="O53" s="3"/>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3"/>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3"/>
      <c r="O55" s="3"/>
      <c r="P55" s="3"/>
      <c r="Q55" s="3"/>
      <c r="R55" s="3"/>
      <c r="S55" s="3"/>
      <c r="T55" s="3"/>
      <c r="U55" s="3"/>
      <c r="V55" s="3"/>
      <c r="W55" s="3"/>
      <c r="X55" s="3"/>
      <c r="Y55" s="3"/>
      <c r="Z55" s="3"/>
      <c r="AA55" s="3"/>
      <c r="AB55" s="3"/>
    </row>
    <row r="56" spans="1:28" ht="14" x14ac:dyDescent="0.2">
      <c r="A56" s="3" t="s">
        <v>21</v>
      </c>
      <c r="B56" s="3" t="s">
        <v>148</v>
      </c>
      <c r="C56" s="3">
        <v>63.26</v>
      </c>
      <c r="D56" s="3">
        <v>31.09</v>
      </c>
      <c r="E56" s="3">
        <v>0.25</v>
      </c>
      <c r="F56" s="3">
        <v>4.25</v>
      </c>
      <c r="G56" s="3"/>
      <c r="H56" s="3">
        <v>15.75</v>
      </c>
      <c r="I56" s="3"/>
      <c r="J56" s="34">
        <f t="shared" si="0"/>
        <v>114.6</v>
      </c>
      <c r="K56" s="3"/>
      <c r="L56" s="3"/>
      <c r="M56" s="3"/>
      <c r="N56" s="3"/>
      <c r="O56" s="3"/>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3451.1699999999996</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0.67</v>
      </c>
      <c r="D64" s="3"/>
      <c r="E64" s="3"/>
      <c r="F64" s="3"/>
      <c r="G64" s="1">
        <f t="shared" ref="G64:G71" si="1">SUM(C64:F64)</f>
        <v>0.67</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134.22999999999999</v>
      </c>
      <c r="D65" s="3"/>
      <c r="E65" s="3">
        <v>66.599999999999994</v>
      </c>
      <c r="F65" s="3"/>
      <c r="G65" s="1">
        <f t="shared" si="1"/>
        <v>200.82999999999998</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6.47</v>
      </c>
      <c r="D66" s="3"/>
      <c r="E66" s="3"/>
      <c r="F66" s="3"/>
      <c r="G66" s="1">
        <f t="shared" si="1"/>
        <v>6.47</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97.52</v>
      </c>
      <c r="D67" s="3"/>
      <c r="E67" s="3">
        <v>18.2</v>
      </c>
      <c r="F67" s="3"/>
      <c r="G67" s="1">
        <f t="shared" si="1"/>
        <v>115.72</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32.43</v>
      </c>
      <c r="D68" s="3"/>
      <c r="E68" s="3">
        <v>3.65</v>
      </c>
      <c r="F68" s="3"/>
      <c r="G68" s="1">
        <f t="shared" si="1"/>
        <v>36.08</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5.25</v>
      </c>
      <c r="D71" s="3"/>
      <c r="E71" s="3">
        <v>2</v>
      </c>
      <c r="F71" s="3"/>
      <c r="G71" s="1">
        <f t="shared" si="1"/>
        <v>7.25</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276.57</v>
      </c>
      <c r="D72" s="1">
        <f>SUM(D63:D71)</f>
        <v>0</v>
      </c>
      <c r="E72" s="1">
        <f>SUM(E63:E71)</f>
        <v>90.45</v>
      </c>
      <c r="F72" s="1">
        <f>SUM(F63:F71)</f>
        <v>0</v>
      </c>
      <c r="G72" s="1">
        <f>SUM(C72:F72)</f>
        <v>367.02</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581.71</v>
      </c>
      <c r="H88" s="37" t="s">
        <v>286</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59.31</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205</v>
      </c>
      <c r="B95" s="146" t="s">
        <v>149</v>
      </c>
      <c r="C95" s="154"/>
      <c r="D95" s="19" t="s">
        <v>206</v>
      </c>
      <c r="E95" s="19" t="s">
        <v>153</v>
      </c>
      <c r="F95" s="20"/>
      <c r="G95" s="20">
        <v>4294.68</v>
      </c>
      <c r="H95" s="146" t="s">
        <v>207</v>
      </c>
      <c r="I95" s="155"/>
      <c r="J95" s="155"/>
      <c r="K95" s="155"/>
      <c r="L95" s="155"/>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213</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214</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215</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211</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210</v>
      </c>
      <c r="F100" s="20"/>
      <c r="G100" s="20"/>
      <c r="H100" s="146" t="s">
        <v>212</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216</v>
      </c>
      <c r="B101" s="146" t="s">
        <v>217</v>
      </c>
      <c r="C101" s="154"/>
      <c r="D101" s="19" t="s">
        <v>206</v>
      </c>
      <c r="E101" s="19" t="s">
        <v>155</v>
      </c>
      <c r="F101" s="20"/>
      <c r="G101" s="20"/>
      <c r="H101" s="146" t="s">
        <v>218</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79</v>
      </c>
      <c r="B102" s="146" t="s">
        <v>19</v>
      </c>
      <c r="C102" s="148"/>
      <c r="D102" s="19" t="s">
        <v>77</v>
      </c>
      <c r="E102" s="19" t="s">
        <v>153</v>
      </c>
      <c r="F102" s="20"/>
      <c r="G102" s="20"/>
      <c r="H102" s="18" t="s">
        <v>80</v>
      </c>
      <c r="I102" s="28"/>
      <c r="J102" s="28"/>
      <c r="K102" s="28"/>
      <c r="L102" s="28"/>
      <c r="M102" s="29"/>
      <c r="N102" s="3"/>
      <c r="O102" s="3"/>
      <c r="P102" s="3"/>
      <c r="Q102" s="3"/>
      <c r="R102" s="3"/>
      <c r="S102" s="3"/>
      <c r="T102" s="3"/>
      <c r="U102" s="3"/>
      <c r="V102" s="3"/>
      <c r="W102" s="3"/>
      <c r="X102" s="3"/>
      <c r="Y102" s="3"/>
      <c r="Z102" s="3"/>
      <c r="AA102" s="3"/>
      <c r="AB102" s="3"/>
    </row>
    <row r="103" spans="1:28" ht="14" x14ac:dyDescent="0.2">
      <c r="A103" s="17" t="s">
        <v>281</v>
      </c>
      <c r="B103" s="146" t="s">
        <v>282</v>
      </c>
      <c r="C103" s="154"/>
      <c r="D103" s="19" t="s">
        <v>77</v>
      </c>
      <c r="E103" s="39" t="s">
        <v>283</v>
      </c>
      <c r="F103" s="20"/>
      <c r="G103" s="20"/>
      <c r="H103" s="18" t="s">
        <v>284</v>
      </c>
      <c r="I103" s="28"/>
      <c r="J103" s="28"/>
      <c r="K103" s="28"/>
      <c r="L103" s="28"/>
      <c r="M103" s="28"/>
      <c r="N103" s="3"/>
      <c r="O103" s="3"/>
      <c r="P103" s="3"/>
      <c r="Q103" s="3"/>
      <c r="R103" s="3"/>
      <c r="S103" s="3"/>
      <c r="T103" s="3"/>
      <c r="U103" s="3"/>
      <c r="V103" s="3"/>
      <c r="W103" s="3"/>
      <c r="X103" s="3"/>
      <c r="Y103" s="3"/>
      <c r="Z103" s="3"/>
      <c r="AA103" s="3"/>
      <c r="AB103" s="3"/>
    </row>
    <row r="104" spans="1:28" ht="14" x14ac:dyDescent="0.2">
      <c r="A104" s="17" t="s">
        <v>219</v>
      </c>
      <c r="B104" s="151" t="s">
        <v>220</v>
      </c>
      <c r="C104" s="148"/>
      <c r="D104" s="19" t="s">
        <v>77</v>
      </c>
      <c r="E104" s="39" t="s">
        <v>155</v>
      </c>
      <c r="F104" s="20"/>
      <c r="G104" s="20"/>
      <c r="H104" s="146" t="s">
        <v>221</v>
      </c>
      <c r="I104" s="151"/>
      <c r="J104" s="151"/>
      <c r="K104" s="151"/>
      <c r="L104" s="154"/>
      <c r="M104" s="18"/>
      <c r="N104" s="3"/>
      <c r="O104" s="3"/>
      <c r="P104" s="3"/>
      <c r="Q104" s="3"/>
      <c r="R104" s="3"/>
      <c r="S104" s="3"/>
      <c r="T104" s="3"/>
      <c r="U104" s="3"/>
      <c r="V104" s="3"/>
      <c r="W104" s="3"/>
      <c r="X104" s="3"/>
      <c r="Y104" s="3"/>
      <c r="Z104" s="3"/>
      <c r="AA104" s="3"/>
      <c r="AB104" s="3"/>
    </row>
    <row r="105" spans="1:28" ht="14" x14ac:dyDescent="0.2">
      <c r="A105" s="24" t="s">
        <v>222</v>
      </c>
      <c r="B105" s="151" t="s">
        <v>220</v>
      </c>
      <c r="C105" s="148"/>
      <c r="D105" s="19" t="s">
        <v>77</v>
      </c>
      <c r="E105" s="39" t="s">
        <v>155</v>
      </c>
      <c r="F105" s="27"/>
      <c r="G105" s="27"/>
      <c r="H105" s="24" t="s">
        <v>223</v>
      </c>
      <c r="I105" s="25"/>
      <c r="J105" s="25"/>
      <c r="K105" s="25"/>
      <c r="L105" s="25"/>
      <c r="M105" s="25"/>
      <c r="N105" s="3"/>
      <c r="O105" s="3"/>
      <c r="P105" s="3"/>
      <c r="Q105" s="3"/>
      <c r="R105" s="3"/>
      <c r="S105" s="3"/>
      <c r="T105" s="3"/>
      <c r="U105" s="3"/>
      <c r="V105" s="3"/>
      <c r="W105" s="3"/>
      <c r="X105" s="3"/>
      <c r="Y105" s="3"/>
      <c r="Z105" s="3"/>
      <c r="AA105" s="3"/>
      <c r="AB105" s="3"/>
    </row>
    <row r="106" spans="1:28" ht="14" x14ac:dyDescent="0.2">
      <c r="A106" s="24" t="s">
        <v>224</v>
      </c>
      <c r="B106" s="151" t="s">
        <v>225</v>
      </c>
      <c r="C106" s="148"/>
      <c r="D106" s="19" t="s">
        <v>77</v>
      </c>
      <c r="E106" s="39" t="s">
        <v>155</v>
      </c>
      <c r="F106" s="27"/>
      <c r="G106" s="27"/>
      <c r="H106" s="24" t="s">
        <v>101</v>
      </c>
      <c r="I106" s="25"/>
      <c r="J106" s="25"/>
      <c r="K106" s="25"/>
      <c r="L106" s="25"/>
      <c r="M106" s="25"/>
      <c r="N106" s="3"/>
      <c r="O106" s="3"/>
      <c r="P106" s="3"/>
      <c r="Q106" s="3"/>
      <c r="R106" s="3"/>
      <c r="S106" s="3"/>
      <c r="T106" s="3"/>
      <c r="U106" s="3"/>
      <c r="V106" s="3"/>
      <c r="W106" s="3"/>
      <c r="X106" s="3"/>
      <c r="Y106" s="3"/>
      <c r="Z106" s="3"/>
      <c r="AA106" s="3"/>
      <c r="AB106" s="3"/>
    </row>
    <row r="107" spans="1:28" ht="14" x14ac:dyDescent="0.2">
      <c r="A107" s="3"/>
      <c r="B107" s="3"/>
      <c r="C107" s="3"/>
      <c r="D107" s="3"/>
      <c r="F107" s="23">
        <f>SUM(F78:F106)</f>
        <v>0</v>
      </c>
      <c r="G107" s="23">
        <f>SUM(G79:G106)</f>
        <v>4935.7000000000007</v>
      </c>
      <c r="H107" s="3"/>
      <c r="I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sheetData>
  <mergeCells count="37">
    <mergeCell ref="B88:C88"/>
    <mergeCell ref="B77:C77"/>
    <mergeCell ref="B78:C78"/>
    <mergeCell ref="B79:C79"/>
    <mergeCell ref="B80:C80"/>
    <mergeCell ref="B81:C81"/>
    <mergeCell ref="B82:C82"/>
    <mergeCell ref="B83:C83"/>
    <mergeCell ref="B84:C84"/>
    <mergeCell ref="B85:C85"/>
    <mergeCell ref="B86:C86"/>
    <mergeCell ref="B87:C87"/>
    <mergeCell ref="B98:C98"/>
    <mergeCell ref="H98:L98"/>
    <mergeCell ref="B89:C89"/>
    <mergeCell ref="B91:C91"/>
    <mergeCell ref="B92:C92"/>
    <mergeCell ref="B93:C93"/>
    <mergeCell ref="B94:C94"/>
    <mergeCell ref="B95:C95"/>
    <mergeCell ref="H95:L95"/>
    <mergeCell ref="B96:C96"/>
    <mergeCell ref="H96:L96"/>
    <mergeCell ref="B97:C97"/>
    <mergeCell ref="H97:L97"/>
    <mergeCell ref="B106:C106"/>
    <mergeCell ref="B99:C99"/>
    <mergeCell ref="H99:L99"/>
    <mergeCell ref="B100:C100"/>
    <mergeCell ref="H100:L100"/>
    <mergeCell ref="B101:C101"/>
    <mergeCell ref="H101:L101"/>
    <mergeCell ref="B102:C102"/>
    <mergeCell ref="B103:C103"/>
    <mergeCell ref="B104:C104"/>
    <mergeCell ref="H104:L104"/>
    <mergeCell ref="B105:C105"/>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4394-D88C-8049-B2FC-98A0016D73FA}">
  <sheetPr>
    <outlinePr summaryBelow="0" summaryRight="0"/>
    <pageSetUpPr fitToPage="1"/>
  </sheetPr>
  <dimension ref="A1:AB1051"/>
  <sheetViews>
    <sheetView topLeftCell="A27"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45901</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f>
        <v>340813</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5984</v>
      </c>
      <c r="C4" s="35" t="s">
        <v>119</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5995.92</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11.920000000000073</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60.7</v>
      </c>
      <c r="D13" s="3">
        <v>233.91</v>
      </c>
      <c r="E13" s="3"/>
      <c r="F13" s="3">
        <v>46.27</v>
      </c>
      <c r="G13" s="3">
        <v>9.6</v>
      </c>
      <c r="H13" s="3">
        <v>2.75</v>
      </c>
      <c r="I13" s="3">
        <v>11</v>
      </c>
      <c r="J13" s="3">
        <v>10.25</v>
      </c>
      <c r="K13" s="3">
        <v>51.5</v>
      </c>
      <c r="L13" s="3">
        <v>37.65</v>
      </c>
      <c r="M13" s="3">
        <v>10</v>
      </c>
      <c r="N13" s="3">
        <v>27</v>
      </c>
      <c r="O13" s="3">
        <v>520.13</v>
      </c>
      <c r="P13" s="3">
        <v>471.5</v>
      </c>
      <c r="Q13" s="3"/>
      <c r="R13" s="3">
        <v>17</v>
      </c>
      <c r="S13" s="3">
        <v>198.85</v>
      </c>
      <c r="T13" s="34">
        <f>SUM(C13:S13)</f>
        <v>1708.11</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11.21</v>
      </c>
      <c r="D18" s="3">
        <v>22.98</v>
      </c>
      <c r="E18" s="3">
        <v>2</v>
      </c>
      <c r="F18" s="3">
        <v>1.5</v>
      </c>
      <c r="G18" s="3"/>
      <c r="H18" s="3"/>
      <c r="I18" s="3">
        <v>2.35</v>
      </c>
      <c r="J18" s="34">
        <f t="shared" si="0"/>
        <v>40.04</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t="s">
        <v>34</v>
      </c>
      <c r="M19" s="3"/>
      <c r="N19" s="126" t="s">
        <v>98</v>
      </c>
      <c r="O19" s="3" t="s">
        <v>336</v>
      </c>
      <c r="P19" s="3"/>
      <c r="Q19" s="3"/>
      <c r="R19" s="3"/>
      <c r="S19" s="3"/>
      <c r="T19" s="3"/>
      <c r="U19" s="3"/>
      <c r="V19" s="3"/>
      <c r="W19" s="3"/>
      <c r="X19" s="3"/>
      <c r="Y19" s="3"/>
      <c r="Z19" s="3"/>
      <c r="AA19" s="3"/>
      <c r="AB19" s="3"/>
    </row>
    <row r="20" spans="1:28" ht="14" x14ac:dyDescent="0.2">
      <c r="A20" s="3" t="s">
        <v>11</v>
      </c>
      <c r="B20" s="3" t="s">
        <v>131</v>
      </c>
      <c r="C20" s="3">
        <v>6.67</v>
      </c>
      <c r="D20" s="3"/>
      <c r="E20" s="3"/>
      <c r="F20" s="3"/>
      <c r="G20" s="3"/>
      <c r="H20" s="3"/>
      <c r="I20" s="3"/>
      <c r="J20" s="34">
        <f t="shared" si="0"/>
        <v>6.67</v>
      </c>
      <c r="K20" s="3"/>
      <c r="L20" s="3" t="s">
        <v>333</v>
      </c>
      <c r="M20" s="3"/>
      <c r="N20" s="126"/>
      <c r="O20" s="3" t="s">
        <v>350</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v>1.5</v>
      </c>
      <c r="D22" s="3">
        <v>32.25</v>
      </c>
      <c r="E22" s="3">
        <v>1.55</v>
      </c>
      <c r="F22" s="3">
        <v>3.25</v>
      </c>
      <c r="G22" s="3">
        <v>2.5</v>
      </c>
      <c r="H22" s="3">
        <v>0.5</v>
      </c>
      <c r="I22" s="3">
        <v>0.5</v>
      </c>
      <c r="J22" s="34">
        <f t="shared" si="0"/>
        <v>42.05</v>
      </c>
      <c r="K22" s="3"/>
      <c r="L22" s="3" t="s">
        <v>53</v>
      </c>
      <c r="M22" s="3"/>
      <c r="N22" s="125">
        <v>45931</v>
      </c>
      <c r="O22" s="3" t="s">
        <v>363</v>
      </c>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125"/>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125"/>
      <c r="O24" s="3"/>
      <c r="P24" s="3"/>
      <c r="Q24" s="3"/>
      <c r="R24" s="3"/>
      <c r="S24" s="3"/>
      <c r="T24" s="3"/>
      <c r="U24" s="3"/>
      <c r="V24" s="3"/>
      <c r="W24" s="3"/>
      <c r="X24" s="3"/>
      <c r="Y24" s="3"/>
      <c r="Z24" s="3"/>
      <c r="AA24" s="3"/>
      <c r="AB24" s="3"/>
    </row>
    <row r="25" spans="1:28" ht="14" x14ac:dyDescent="0.2">
      <c r="A25" s="3" t="s">
        <v>14</v>
      </c>
      <c r="B25" s="3" t="s">
        <v>133</v>
      </c>
      <c r="C25" s="3">
        <v>568.38</v>
      </c>
      <c r="D25" s="3">
        <v>356.68</v>
      </c>
      <c r="E25" s="3">
        <v>96.34</v>
      </c>
      <c r="F25" s="3">
        <v>145.1</v>
      </c>
      <c r="G25" s="3">
        <v>78.5</v>
      </c>
      <c r="H25" s="3">
        <v>19.25</v>
      </c>
      <c r="I25" s="3">
        <v>2.02</v>
      </c>
      <c r="J25" s="34">
        <f t="shared" si="0"/>
        <v>1266.27</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c r="D26" s="3">
        <v>27.25</v>
      </c>
      <c r="E26" s="3"/>
      <c r="F26" s="3">
        <v>72.84</v>
      </c>
      <c r="G26" s="3"/>
      <c r="H26" s="3"/>
      <c r="I26" s="3"/>
      <c r="J26" s="34">
        <f t="shared" si="0"/>
        <v>100.09</v>
      </c>
      <c r="K26" s="3"/>
      <c r="L26" s="3" t="s">
        <v>34</v>
      </c>
      <c r="M26" s="3"/>
      <c r="N26" s="126" t="s">
        <v>98</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126"/>
      <c r="O27" s="3"/>
      <c r="P27" s="3"/>
      <c r="Q27" s="3"/>
      <c r="R27" s="3"/>
      <c r="S27" s="3"/>
      <c r="T27" s="3"/>
      <c r="U27" s="3"/>
      <c r="V27" s="3"/>
      <c r="W27" s="3"/>
      <c r="X27" s="3"/>
      <c r="Y27" s="3"/>
      <c r="Z27" s="3"/>
      <c r="AA27" s="3"/>
      <c r="AB27" s="3"/>
    </row>
    <row r="28" spans="1:28" ht="14" x14ac:dyDescent="0.2">
      <c r="A28" s="3" t="s">
        <v>122</v>
      </c>
      <c r="B28" s="3" t="s">
        <v>134</v>
      </c>
      <c r="C28" s="3">
        <v>149.22999999999999</v>
      </c>
      <c r="D28" s="3">
        <v>159</v>
      </c>
      <c r="E28" s="3">
        <v>126.42</v>
      </c>
      <c r="F28" s="3">
        <v>62.5</v>
      </c>
      <c r="G28" s="3"/>
      <c r="H28" s="3">
        <v>1</v>
      </c>
      <c r="I28" s="3">
        <v>0.5</v>
      </c>
      <c r="J28" s="34">
        <f t="shared" si="0"/>
        <v>498.65000000000003</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c r="D29" s="3">
        <v>16.920000000000002</v>
      </c>
      <c r="E29" s="3"/>
      <c r="F29" s="3">
        <v>3.25</v>
      </c>
      <c r="G29" s="3"/>
      <c r="H29" s="3">
        <v>6.25</v>
      </c>
      <c r="I29" s="3"/>
      <c r="J29" s="34">
        <f t="shared" si="0"/>
        <v>26.42</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c r="D30" s="3">
        <v>6</v>
      </c>
      <c r="E30" s="3"/>
      <c r="F30" s="3">
        <v>4</v>
      </c>
      <c r="G30" s="3"/>
      <c r="H30" s="3"/>
      <c r="I30" s="3"/>
      <c r="J30" s="34">
        <f t="shared" si="0"/>
        <v>10</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123.28</v>
      </c>
      <c r="D31" s="3">
        <v>45.87</v>
      </c>
      <c r="E31" s="3"/>
      <c r="F31" s="3"/>
      <c r="G31" s="3"/>
      <c r="H31" s="3">
        <v>8.25</v>
      </c>
      <c r="I31" s="3"/>
      <c r="J31" s="34">
        <f t="shared" si="0"/>
        <v>177.4</v>
      </c>
      <c r="K31" s="3"/>
      <c r="L31" s="3" t="s">
        <v>52</v>
      </c>
      <c r="M31" s="3"/>
      <c r="N31" s="125">
        <v>46054</v>
      </c>
      <c r="O31" s="3" t="s">
        <v>352</v>
      </c>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126"/>
      <c r="O32" s="3"/>
      <c r="P32" s="3"/>
      <c r="Q32" s="3"/>
      <c r="R32" s="3"/>
      <c r="S32" s="3"/>
      <c r="T32" s="3"/>
      <c r="U32" s="3"/>
      <c r="V32" s="3"/>
      <c r="W32" s="3"/>
      <c r="X32" s="3"/>
      <c r="Y32" s="3"/>
      <c r="Z32" s="3"/>
      <c r="AA32" s="3"/>
      <c r="AB32" s="3"/>
    </row>
    <row r="33" spans="1:28" ht="14" x14ac:dyDescent="0.2">
      <c r="A33" s="3" t="s">
        <v>16</v>
      </c>
      <c r="B33" s="3" t="s">
        <v>180</v>
      </c>
      <c r="C33" s="3"/>
      <c r="D33" s="3">
        <v>15.25</v>
      </c>
      <c r="E33" s="3"/>
      <c r="F33" s="3"/>
      <c r="G33" s="3"/>
      <c r="H33" s="3"/>
      <c r="I33" s="3">
        <v>1.5</v>
      </c>
      <c r="J33" s="34">
        <f t="shared" si="0"/>
        <v>16.75</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c r="D34" s="3">
        <v>10</v>
      </c>
      <c r="E34" s="3"/>
      <c r="F34" s="3">
        <v>1.75</v>
      </c>
      <c r="G34" s="3"/>
      <c r="H34" s="3"/>
      <c r="I34" s="3"/>
      <c r="J34" s="34">
        <f t="shared" si="0"/>
        <v>11.75</v>
      </c>
      <c r="K34" s="3"/>
      <c r="L34" s="3" t="s">
        <v>34</v>
      </c>
      <c r="M34" s="3"/>
      <c r="N34" s="126" t="s">
        <v>98</v>
      </c>
      <c r="O34" s="3" t="s">
        <v>353</v>
      </c>
      <c r="P34" s="3"/>
      <c r="Q34" s="3"/>
      <c r="R34" s="3"/>
      <c r="S34" s="3"/>
      <c r="T34" s="3"/>
      <c r="U34" s="3"/>
      <c r="V34" s="3"/>
      <c r="W34" s="3"/>
      <c r="X34" s="3"/>
      <c r="Y34" s="3"/>
      <c r="Z34" s="3"/>
      <c r="AA34" s="3"/>
      <c r="AB34" s="3"/>
    </row>
    <row r="35" spans="1:28" ht="14" x14ac:dyDescent="0.2">
      <c r="A35" s="3" t="s">
        <v>162</v>
      </c>
      <c r="B35" s="3"/>
      <c r="C35" s="3"/>
      <c r="D35" s="3"/>
      <c r="E35" s="3"/>
      <c r="F35" s="3"/>
      <c r="G35" s="3"/>
      <c r="H35" s="3"/>
      <c r="I35" s="3"/>
      <c r="J35" s="34">
        <f t="shared" si="0"/>
        <v>0</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126"/>
      <c r="O36" s="3"/>
      <c r="P36" s="3"/>
      <c r="Q36" s="3"/>
      <c r="R36" s="3"/>
      <c r="S36" s="3"/>
      <c r="T36" s="3"/>
      <c r="U36" s="3"/>
      <c r="V36" s="3"/>
      <c r="W36" s="3"/>
      <c r="X36" s="3"/>
      <c r="Y36" s="3"/>
      <c r="Z36" s="3"/>
      <c r="AA36" s="3"/>
      <c r="AB36" s="3"/>
    </row>
    <row r="37" spans="1:28" ht="14" x14ac:dyDescent="0.2">
      <c r="A37" s="3" t="s">
        <v>171</v>
      </c>
      <c r="B37" s="3" t="s">
        <v>181</v>
      </c>
      <c r="C37" s="3"/>
      <c r="D37" s="3">
        <v>1.25</v>
      </c>
      <c r="E37" s="3"/>
      <c r="F37" s="3"/>
      <c r="G37" s="3"/>
      <c r="H37" s="3"/>
      <c r="I37" s="3"/>
      <c r="J37" s="34">
        <f t="shared" si="0"/>
        <v>1.25</v>
      </c>
      <c r="K37" s="3"/>
      <c r="L37" s="3" t="s">
        <v>53</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31.75</v>
      </c>
      <c r="D39" s="3">
        <v>59.42</v>
      </c>
      <c r="E39" s="3">
        <v>19.170000000000002</v>
      </c>
      <c r="F39" s="3">
        <v>47.75</v>
      </c>
      <c r="G39" s="3"/>
      <c r="H39" s="3">
        <v>7.83</v>
      </c>
      <c r="I39" s="3"/>
      <c r="J39" s="34">
        <f t="shared" si="0"/>
        <v>165.92000000000002</v>
      </c>
      <c r="K39" s="3"/>
      <c r="L39" s="3" t="s">
        <v>53</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v>4</v>
      </c>
      <c r="E40" s="3"/>
      <c r="F40" s="3">
        <v>8.5</v>
      </c>
      <c r="G40" s="3"/>
      <c r="H40" s="3">
        <v>4.5</v>
      </c>
      <c r="I40" s="3"/>
      <c r="J40" s="34">
        <f t="shared" si="0"/>
        <v>17</v>
      </c>
      <c r="K40" s="3"/>
      <c r="L40" s="3" t="s">
        <v>349</v>
      </c>
      <c r="M40" s="3"/>
      <c r="N40" s="126"/>
      <c r="O40" s="3" t="s">
        <v>348</v>
      </c>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126"/>
      <c r="O41" s="3"/>
      <c r="P41" s="3"/>
      <c r="Q41" s="3"/>
      <c r="R41" s="3"/>
      <c r="S41" s="3"/>
      <c r="T41" s="3"/>
      <c r="U41" s="3"/>
      <c r="V41" s="3"/>
      <c r="W41" s="3"/>
      <c r="X41" s="3"/>
      <c r="Y41" s="3"/>
      <c r="Z41" s="3"/>
      <c r="AA41" s="3"/>
      <c r="AB41" s="3"/>
    </row>
    <row r="42" spans="1:28" ht="14" x14ac:dyDescent="0.2">
      <c r="A42" s="3" t="s">
        <v>371</v>
      </c>
      <c r="B42" s="3" t="s">
        <v>141</v>
      </c>
      <c r="C42" s="3"/>
      <c r="D42" s="3">
        <v>8.25</v>
      </c>
      <c r="E42" s="3"/>
      <c r="F42" s="3">
        <v>34.409999999999997</v>
      </c>
      <c r="G42" s="3"/>
      <c r="H42" s="3">
        <v>1</v>
      </c>
      <c r="I42" s="3"/>
      <c r="J42" s="34">
        <f t="shared" si="0"/>
        <v>43.66</v>
      </c>
      <c r="K42" s="3"/>
      <c r="L42" s="3" t="s">
        <v>34</v>
      </c>
      <c r="M42" s="3"/>
      <c r="N42" s="126" t="s">
        <v>98</v>
      </c>
      <c r="O42" s="3" t="s">
        <v>355</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388.32</v>
      </c>
      <c r="D44" s="3">
        <v>166.08</v>
      </c>
      <c r="E44" s="3">
        <v>96</v>
      </c>
      <c r="F44" s="3">
        <v>55.33</v>
      </c>
      <c r="G44" s="3"/>
      <c r="H44" s="3">
        <v>2</v>
      </c>
      <c r="I44" s="3"/>
      <c r="J44" s="34">
        <f t="shared" si="0"/>
        <v>707.73</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145.03</v>
      </c>
      <c r="D45" s="3">
        <v>45.72</v>
      </c>
      <c r="E45" s="3"/>
      <c r="F45" s="3">
        <v>65.17</v>
      </c>
      <c r="G45" s="3"/>
      <c r="H45" s="3">
        <v>0.25</v>
      </c>
      <c r="I45" s="3">
        <v>1.62</v>
      </c>
      <c r="J45" s="34">
        <f t="shared" si="0"/>
        <v>257.79000000000002</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126"/>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c r="D48" s="3"/>
      <c r="E48" s="3"/>
      <c r="F48" s="3"/>
      <c r="G48" s="3"/>
      <c r="H48" s="3">
        <v>3.5</v>
      </c>
      <c r="I48" s="3"/>
      <c r="J48" s="34">
        <f t="shared" si="0"/>
        <v>3.5</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372</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131</v>
      </c>
      <c r="D53" s="3">
        <v>84.8</v>
      </c>
      <c r="E53" s="3">
        <v>25.25</v>
      </c>
      <c r="F53" s="3">
        <v>74.5</v>
      </c>
      <c r="G53" s="3"/>
      <c r="H53" s="3"/>
      <c r="I53" s="3">
        <v>1</v>
      </c>
      <c r="J53" s="34">
        <f t="shared" si="0"/>
        <v>316.55</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126"/>
      <c r="O55" s="3"/>
      <c r="P55" s="3"/>
      <c r="Q55" s="3"/>
      <c r="R55" s="3"/>
      <c r="S55" s="3"/>
      <c r="T55" s="3"/>
      <c r="U55" s="3"/>
      <c r="V55" s="3"/>
      <c r="W55" s="3"/>
      <c r="X55" s="3"/>
      <c r="Y55" s="3"/>
      <c r="Z55" s="3"/>
      <c r="AA55" s="3"/>
      <c r="AB55" s="3"/>
    </row>
    <row r="56" spans="1:28" ht="14" x14ac:dyDescent="0.2">
      <c r="A56" s="3" t="s">
        <v>21</v>
      </c>
      <c r="B56" s="3" t="s">
        <v>148</v>
      </c>
      <c r="C56" s="3">
        <v>80.5</v>
      </c>
      <c r="D56" s="3">
        <v>38.17</v>
      </c>
      <c r="E56" s="3">
        <v>6.25</v>
      </c>
      <c r="F56" s="3">
        <v>27.75</v>
      </c>
      <c r="G56" s="3"/>
      <c r="H56" s="3">
        <v>32.75</v>
      </c>
      <c r="I56" s="3"/>
      <c r="J56" s="34">
        <f t="shared" si="0"/>
        <v>185.42000000000002</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3894.9100000000003</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5.25</v>
      </c>
      <c r="D64" s="3"/>
      <c r="E64" s="3"/>
      <c r="F64" s="3"/>
      <c r="G64" s="1">
        <f t="shared" ref="G64:G71" si="1">SUM(C64:F64)</f>
        <v>5.25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197.87</v>
      </c>
      <c r="D65" s="3"/>
      <c r="E65" s="3">
        <v>47.6</v>
      </c>
      <c r="F65" s="3"/>
      <c r="G65" s="1">
        <f t="shared" si="1"/>
        <v>245.47</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4.17</v>
      </c>
      <c r="D66" s="3"/>
      <c r="E66" s="3"/>
      <c r="F66" s="3"/>
      <c r="G66" s="1">
        <f t="shared" si="1"/>
        <v>4.17</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68.349999999999994</v>
      </c>
      <c r="D67" s="3"/>
      <c r="E67" s="3">
        <v>12.2</v>
      </c>
      <c r="F67" s="3"/>
      <c r="G67" s="1">
        <f t="shared" si="1"/>
        <v>80.55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30.59</v>
      </c>
      <c r="D68" s="3"/>
      <c r="E68" s="3">
        <v>13.7</v>
      </c>
      <c r="F68" s="3"/>
      <c r="G68" s="1">
        <f t="shared" si="1"/>
        <v>44.29</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13.17</v>
      </c>
      <c r="D71" s="3"/>
      <c r="E71" s="3"/>
      <c r="F71" s="3"/>
      <c r="G71" s="1">
        <f t="shared" si="1"/>
        <v>13.17</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319.39999999999998</v>
      </c>
      <c r="D72" s="1">
        <f>SUM(D63:D71)</f>
        <v>0</v>
      </c>
      <c r="E72" s="1">
        <f>SUM(E63:E71)</f>
        <v>73.5</v>
      </c>
      <c r="F72" s="1">
        <f>SUM(F63:F71)</f>
        <v>0</v>
      </c>
      <c r="G72" s="1">
        <f>SUM(C72:F72)</f>
        <v>392.9</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2531.54</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58</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205</v>
      </c>
      <c r="B95" s="146" t="s">
        <v>149</v>
      </c>
      <c r="C95" s="154"/>
      <c r="D95" s="19" t="s">
        <v>206</v>
      </c>
      <c r="E95" s="19" t="s">
        <v>153</v>
      </c>
      <c r="F95" s="20"/>
      <c r="G95" s="20">
        <v>3867.69</v>
      </c>
      <c r="H95" s="146" t="s">
        <v>207</v>
      </c>
      <c r="I95" s="155"/>
      <c r="J95" s="155"/>
      <c r="K95" s="155"/>
      <c r="L95" s="155"/>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213</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214</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215</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211</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210</v>
      </c>
      <c r="F100" s="20"/>
      <c r="G100" s="20"/>
      <c r="H100" s="146" t="s">
        <v>212</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216</v>
      </c>
      <c r="B101" s="146" t="s">
        <v>217</v>
      </c>
      <c r="C101" s="154"/>
      <c r="D101" s="19" t="s">
        <v>206</v>
      </c>
      <c r="E101" s="19" t="s">
        <v>155</v>
      </c>
      <c r="F101" s="20"/>
      <c r="G101" s="20"/>
      <c r="H101" s="146" t="s">
        <v>218</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79</v>
      </c>
      <c r="B102" s="146" t="s">
        <v>19</v>
      </c>
      <c r="C102" s="148"/>
      <c r="D102" s="19" t="s">
        <v>77</v>
      </c>
      <c r="E102" s="19" t="s">
        <v>153</v>
      </c>
      <c r="F102" s="20"/>
      <c r="G102" s="20"/>
      <c r="H102" s="18" t="s">
        <v>80</v>
      </c>
      <c r="I102" s="28"/>
      <c r="J102" s="28"/>
      <c r="K102" s="28"/>
      <c r="L102" s="28"/>
      <c r="M102" s="29"/>
      <c r="N102" s="3"/>
      <c r="O102" s="3"/>
      <c r="P102" s="3"/>
      <c r="Q102" s="3"/>
      <c r="R102" s="3"/>
      <c r="S102" s="3"/>
      <c r="T102" s="3"/>
      <c r="U102" s="3"/>
      <c r="V102" s="3"/>
      <c r="W102" s="3"/>
      <c r="X102" s="3"/>
      <c r="Y102" s="3"/>
      <c r="Z102" s="3"/>
      <c r="AA102" s="3"/>
      <c r="AB102" s="3"/>
    </row>
    <row r="103" spans="1:28" ht="14" x14ac:dyDescent="0.2">
      <c r="A103" s="17" t="s">
        <v>281</v>
      </c>
      <c r="B103" s="146" t="s">
        <v>282</v>
      </c>
      <c r="C103" s="154"/>
      <c r="D103" s="19" t="s">
        <v>77</v>
      </c>
      <c r="E103" s="39" t="s">
        <v>283</v>
      </c>
      <c r="F103" s="20"/>
      <c r="G103" s="20"/>
      <c r="H103" s="18" t="s">
        <v>284</v>
      </c>
      <c r="I103" s="28"/>
      <c r="J103" s="28"/>
      <c r="K103" s="28"/>
      <c r="L103" s="28"/>
      <c r="M103" s="28"/>
      <c r="N103" s="3"/>
      <c r="O103" s="3"/>
      <c r="P103" s="3"/>
      <c r="Q103" s="3"/>
      <c r="R103" s="3"/>
      <c r="S103" s="3"/>
      <c r="T103" s="3"/>
      <c r="U103" s="3"/>
      <c r="V103" s="3"/>
      <c r="W103" s="3"/>
      <c r="X103" s="3"/>
      <c r="Y103" s="3"/>
      <c r="Z103" s="3"/>
      <c r="AA103" s="3"/>
      <c r="AB103" s="3"/>
    </row>
    <row r="104" spans="1:28" ht="14" x14ac:dyDescent="0.2">
      <c r="A104" s="17" t="s">
        <v>219</v>
      </c>
      <c r="B104" s="151" t="s">
        <v>220</v>
      </c>
      <c r="C104" s="148"/>
      <c r="D104" s="19" t="s">
        <v>77</v>
      </c>
      <c r="E104" s="39" t="s">
        <v>155</v>
      </c>
      <c r="F104" s="20"/>
      <c r="G104" s="20"/>
      <c r="H104" s="146" t="s">
        <v>221</v>
      </c>
      <c r="I104" s="151"/>
      <c r="J104" s="151"/>
      <c r="K104" s="151"/>
      <c r="L104" s="154"/>
      <c r="M104" s="18"/>
      <c r="N104" s="3"/>
      <c r="O104" s="3"/>
      <c r="P104" s="3"/>
      <c r="Q104" s="3"/>
      <c r="R104" s="3"/>
      <c r="S104" s="3"/>
      <c r="T104" s="3"/>
      <c r="U104" s="3"/>
      <c r="V104" s="3"/>
      <c r="W104" s="3"/>
      <c r="X104" s="3"/>
      <c r="Y104" s="3"/>
      <c r="Z104" s="3"/>
      <c r="AA104" s="3"/>
      <c r="AB104" s="3"/>
    </row>
    <row r="105" spans="1:28" ht="14" x14ac:dyDescent="0.2">
      <c r="A105" s="24" t="s">
        <v>222</v>
      </c>
      <c r="B105" s="151" t="s">
        <v>220</v>
      </c>
      <c r="C105" s="148"/>
      <c r="D105" s="19" t="s">
        <v>77</v>
      </c>
      <c r="E105" s="39" t="s">
        <v>155</v>
      </c>
      <c r="F105" s="27"/>
      <c r="G105" s="27"/>
      <c r="H105" s="24" t="s">
        <v>326</v>
      </c>
      <c r="I105" s="25"/>
      <c r="J105" s="25"/>
      <c r="K105" s="25"/>
      <c r="L105" s="25"/>
      <c r="M105" s="25"/>
      <c r="N105" s="3"/>
      <c r="O105" s="3"/>
      <c r="P105" s="3"/>
      <c r="Q105" s="3"/>
      <c r="R105" s="3"/>
      <c r="S105" s="3"/>
      <c r="T105" s="3"/>
      <c r="U105" s="3"/>
      <c r="V105" s="3"/>
      <c r="W105" s="3"/>
      <c r="X105" s="3"/>
      <c r="Y105" s="3"/>
      <c r="Z105" s="3"/>
      <c r="AA105" s="3"/>
      <c r="AB105" s="3"/>
    </row>
    <row r="106" spans="1:28" ht="14" x14ac:dyDescent="0.2">
      <c r="A106" s="24" t="s">
        <v>224</v>
      </c>
      <c r="B106" s="151" t="s">
        <v>225</v>
      </c>
      <c r="C106" s="148"/>
      <c r="D106" s="19" t="s">
        <v>77</v>
      </c>
      <c r="E106" s="39" t="s">
        <v>155</v>
      </c>
      <c r="F106" s="27"/>
      <c r="G106" s="27"/>
      <c r="H106" s="24" t="s">
        <v>101</v>
      </c>
      <c r="I106" s="25"/>
      <c r="J106" s="25"/>
      <c r="K106" s="25"/>
      <c r="L106" s="25"/>
      <c r="M106" s="25"/>
      <c r="N106" s="3"/>
      <c r="O106" s="3"/>
      <c r="P106" s="3"/>
      <c r="Q106" s="3"/>
      <c r="R106" s="3"/>
      <c r="S106" s="3"/>
      <c r="T106" s="3"/>
      <c r="U106" s="3"/>
      <c r="V106" s="3"/>
      <c r="W106" s="3"/>
      <c r="X106" s="3"/>
      <c r="Y106" s="3"/>
      <c r="Z106" s="3"/>
      <c r="AA106" s="3"/>
      <c r="AB106" s="3"/>
    </row>
    <row r="107" spans="1:28" ht="14" x14ac:dyDescent="0.2">
      <c r="A107" s="3"/>
      <c r="B107" s="3"/>
      <c r="C107" s="3"/>
      <c r="D107" s="3"/>
      <c r="F107" s="23">
        <f>SUM(F78:F106)</f>
        <v>0</v>
      </c>
      <c r="G107" s="23">
        <f>SUM(G79:G106)</f>
        <v>6457.23</v>
      </c>
      <c r="H107" s="3"/>
      <c r="I107" s="3"/>
      <c r="N107" s="3"/>
      <c r="O107" s="3"/>
      <c r="P107" s="3"/>
      <c r="Q107" s="3"/>
      <c r="R107" s="3"/>
      <c r="S107" s="3"/>
      <c r="T107" s="3"/>
      <c r="U107" s="3"/>
      <c r="V107" s="3"/>
      <c r="W107" s="3"/>
      <c r="X107" s="3"/>
      <c r="Y107" s="3"/>
      <c r="Z107" s="3"/>
      <c r="AA107" s="3"/>
      <c r="AB107" s="3"/>
    </row>
    <row r="108" spans="1:28"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sheetData>
  <mergeCells count="37">
    <mergeCell ref="B88:C88"/>
    <mergeCell ref="B77:C77"/>
    <mergeCell ref="B78:C78"/>
    <mergeCell ref="B79:C79"/>
    <mergeCell ref="B80:C80"/>
    <mergeCell ref="B81:C81"/>
    <mergeCell ref="B82:C82"/>
    <mergeCell ref="B83:C83"/>
    <mergeCell ref="B84:C84"/>
    <mergeCell ref="B85:C85"/>
    <mergeCell ref="B86:C86"/>
    <mergeCell ref="B87:C87"/>
    <mergeCell ref="B98:C98"/>
    <mergeCell ref="H98:L98"/>
    <mergeCell ref="B89:C89"/>
    <mergeCell ref="B91:C91"/>
    <mergeCell ref="B92:C92"/>
    <mergeCell ref="B93:C93"/>
    <mergeCell ref="B94:C94"/>
    <mergeCell ref="B95:C95"/>
    <mergeCell ref="H95:L95"/>
    <mergeCell ref="B96:C96"/>
    <mergeCell ref="H96:L96"/>
    <mergeCell ref="B97:C97"/>
    <mergeCell ref="H97:L97"/>
    <mergeCell ref="B106:C106"/>
    <mergeCell ref="B99:C99"/>
    <mergeCell ref="H99:L99"/>
    <mergeCell ref="B100:C100"/>
    <mergeCell ref="H100:L100"/>
    <mergeCell ref="B101:C101"/>
    <mergeCell ref="H101:L101"/>
    <mergeCell ref="B102:C102"/>
    <mergeCell ref="B103:C103"/>
    <mergeCell ref="B104:C104"/>
    <mergeCell ref="H104:L104"/>
    <mergeCell ref="B105:C105"/>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2E50-0B55-FD41-BAD3-EEFE13DF7499}">
  <sheetPr>
    <outlinePr summaryBelow="0" summaryRight="0"/>
    <pageSetUpPr fitToPage="1"/>
  </sheetPr>
  <dimension ref="A1:AB1052"/>
  <sheetViews>
    <sheetView topLeftCell="A21"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45931</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B9+B60+12248</f>
        <v>353061</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6549</v>
      </c>
      <c r="C4" s="35" t="s">
        <v>373</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6549.2199999999993</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0.21999999999934516</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76.17</v>
      </c>
      <c r="D13" s="3">
        <v>213.29</v>
      </c>
      <c r="E13" s="3"/>
      <c r="F13" s="3">
        <v>40.020000000000003</v>
      </c>
      <c r="G13" s="3">
        <v>7.86</v>
      </c>
      <c r="H13" s="3">
        <v>3.42</v>
      </c>
      <c r="I13" s="3">
        <v>109.8</v>
      </c>
      <c r="J13" s="3">
        <v>23.42</v>
      </c>
      <c r="K13" s="3">
        <v>35</v>
      </c>
      <c r="L13" s="3">
        <v>46.51</v>
      </c>
      <c r="M13" s="3">
        <v>20</v>
      </c>
      <c r="N13" s="3">
        <v>26.33</v>
      </c>
      <c r="O13" s="3">
        <v>583</v>
      </c>
      <c r="P13" s="3">
        <v>420.75</v>
      </c>
      <c r="Q13" s="3"/>
      <c r="R13" s="3">
        <v>42.5</v>
      </c>
      <c r="S13" s="3">
        <v>69.25</v>
      </c>
      <c r="T13" s="34">
        <f>SUM(C13:S13)</f>
        <v>1717.3200000000002</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31.89</v>
      </c>
      <c r="D18" s="3">
        <v>35.979999999999997</v>
      </c>
      <c r="E18" s="3"/>
      <c r="F18" s="3">
        <v>21.15</v>
      </c>
      <c r="G18" s="3">
        <v>2</v>
      </c>
      <c r="H18" s="3">
        <v>0.25</v>
      </c>
      <c r="I18" s="3"/>
      <c r="J18" s="34">
        <f t="shared" si="0"/>
        <v>91.27000000000001</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v>5.17</v>
      </c>
      <c r="E19" s="3"/>
      <c r="F19" s="3">
        <v>12.83</v>
      </c>
      <c r="G19" s="3"/>
      <c r="H19" s="3"/>
      <c r="I19" s="3"/>
      <c r="J19" s="34">
        <f t="shared" si="0"/>
        <v>18</v>
      </c>
      <c r="K19" s="3"/>
      <c r="L19" s="3" t="s">
        <v>34</v>
      </c>
      <c r="M19" s="3"/>
      <c r="N19" s="126" t="s">
        <v>98</v>
      </c>
      <c r="O19" s="3" t="s">
        <v>336</v>
      </c>
      <c r="P19" s="3"/>
      <c r="Q19" s="3"/>
      <c r="R19" s="3"/>
      <c r="S19" s="3"/>
      <c r="T19" s="3"/>
      <c r="U19" s="3"/>
      <c r="V19" s="3"/>
      <c r="W19" s="3"/>
      <c r="X19" s="3"/>
      <c r="Y19" s="3"/>
      <c r="Z19" s="3"/>
      <c r="AA19" s="3"/>
      <c r="AB19" s="3"/>
    </row>
    <row r="20" spans="1:28" ht="14" x14ac:dyDescent="0.2">
      <c r="A20" s="3" t="s">
        <v>11</v>
      </c>
      <c r="B20" s="3" t="s">
        <v>131</v>
      </c>
      <c r="C20" s="3">
        <v>13.5</v>
      </c>
      <c r="D20" s="3"/>
      <c r="E20" s="3"/>
      <c r="F20" s="3"/>
      <c r="G20" s="3"/>
      <c r="H20" s="3"/>
      <c r="I20" s="3"/>
      <c r="J20" s="34">
        <f t="shared" si="0"/>
        <v>13.5</v>
      </c>
      <c r="K20" s="3"/>
      <c r="L20" s="3" t="s">
        <v>333</v>
      </c>
      <c r="M20" s="3"/>
      <c r="N20" s="126"/>
      <c r="O20" s="3" t="s">
        <v>350</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v>6.75</v>
      </c>
      <c r="D22" s="3">
        <v>38</v>
      </c>
      <c r="E22" s="3">
        <v>1</v>
      </c>
      <c r="F22" s="3">
        <v>2.5</v>
      </c>
      <c r="G22" s="3">
        <v>22.75</v>
      </c>
      <c r="H22" s="3"/>
      <c r="I22" s="3">
        <v>2.41</v>
      </c>
      <c r="J22" s="34">
        <f t="shared" si="0"/>
        <v>73.41</v>
      </c>
      <c r="K22" s="3"/>
      <c r="L22" s="3" t="s">
        <v>378</v>
      </c>
      <c r="M22" s="3"/>
      <c r="N22" s="125">
        <v>45962</v>
      </c>
      <c r="O22" s="3" t="s">
        <v>363</v>
      </c>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125"/>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125"/>
      <c r="O24" s="3"/>
      <c r="P24" s="3"/>
      <c r="Q24" s="3"/>
      <c r="R24" s="3"/>
      <c r="S24" s="3"/>
      <c r="T24" s="3"/>
      <c r="U24" s="3"/>
      <c r="V24" s="3"/>
      <c r="W24" s="3"/>
      <c r="X24" s="3"/>
      <c r="Y24" s="3"/>
      <c r="Z24" s="3"/>
      <c r="AA24" s="3"/>
      <c r="AB24" s="3"/>
    </row>
    <row r="25" spans="1:28" ht="14" x14ac:dyDescent="0.2">
      <c r="A25" s="3" t="s">
        <v>14</v>
      </c>
      <c r="B25" s="3" t="s">
        <v>133</v>
      </c>
      <c r="C25" s="3">
        <v>627.74</v>
      </c>
      <c r="D25" s="3">
        <v>381.15</v>
      </c>
      <c r="E25" s="3">
        <v>224.67</v>
      </c>
      <c r="F25" s="3">
        <v>135</v>
      </c>
      <c r="G25" s="3">
        <v>94.25</v>
      </c>
      <c r="H25" s="3">
        <v>0.5</v>
      </c>
      <c r="I25" s="3">
        <v>22.41</v>
      </c>
      <c r="J25" s="34">
        <f t="shared" si="0"/>
        <v>1485.72</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c r="D26" s="3">
        <v>16.57</v>
      </c>
      <c r="E26" s="3"/>
      <c r="F26" s="3">
        <v>13.17</v>
      </c>
      <c r="G26" s="3"/>
      <c r="H26" s="3"/>
      <c r="I26" s="3"/>
      <c r="J26" s="34">
        <f t="shared" si="0"/>
        <v>29.740000000000002</v>
      </c>
      <c r="K26" s="3"/>
      <c r="L26" s="3" t="s">
        <v>34</v>
      </c>
      <c r="M26" s="3"/>
      <c r="N26" s="126" t="s">
        <v>98</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126"/>
      <c r="O27" s="3"/>
      <c r="P27" s="3"/>
      <c r="Q27" s="3"/>
      <c r="R27" s="3"/>
      <c r="S27" s="3"/>
      <c r="T27" s="3"/>
      <c r="U27" s="3"/>
      <c r="V27" s="3"/>
      <c r="W27" s="3"/>
      <c r="X27" s="3"/>
      <c r="Y27" s="3"/>
      <c r="Z27" s="3"/>
      <c r="AA27" s="3"/>
      <c r="AB27" s="3"/>
    </row>
    <row r="28" spans="1:28" ht="14" x14ac:dyDescent="0.2">
      <c r="A28" s="3" t="s">
        <v>122</v>
      </c>
      <c r="B28" s="3" t="s">
        <v>134</v>
      </c>
      <c r="C28" s="3">
        <v>9.08</v>
      </c>
      <c r="D28" s="3">
        <v>91.16</v>
      </c>
      <c r="E28" s="3">
        <v>4.25</v>
      </c>
      <c r="F28" s="3">
        <v>62.5</v>
      </c>
      <c r="G28" s="3"/>
      <c r="H28" s="3">
        <v>2</v>
      </c>
      <c r="I28" s="3">
        <v>18.75</v>
      </c>
      <c r="J28" s="34">
        <f t="shared" si="0"/>
        <v>187.74</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c r="D29" s="3">
        <v>7</v>
      </c>
      <c r="E29" s="3"/>
      <c r="F29" s="3">
        <v>4</v>
      </c>
      <c r="G29" s="3"/>
      <c r="H29" s="3">
        <v>4</v>
      </c>
      <c r="I29" s="3"/>
      <c r="J29" s="34">
        <f t="shared" si="0"/>
        <v>15</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c r="D30" s="3">
        <v>1.5</v>
      </c>
      <c r="E30" s="3"/>
      <c r="F30" s="3">
        <v>6</v>
      </c>
      <c r="G30" s="3"/>
      <c r="H30" s="3"/>
      <c r="I30" s="3"/>
      <c r="J30" s="34">
        <f t="shared" si="0"/>
        <v>7.5</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124.52</v>
      </c>
      <c r="D31" s="3">
        <v>37.08</v>
      </c>
      <c r="E31" s="3">
        <v>21.75</v>
      </c>
      <c r="F31" s="3">
        <v>2.5</v>
      </c>
      <c r="G31" s="3"/>
      <c r="H31" s="3">
        <v>25.5</v>
      </c>
      <c r="I31" s="3"/>
      <c r="J31" s="34">
        <f t="shared" si="0"/>
        <v>211.35</v>
      </c>
      <c r="K31" s="3"/>
      <c r="L31" s="3" t="s">
        <v>52</v>
      </c>
      <c r="M31" s="3"/>
      <c r="N31" s="125">
        <v>46054</v>
      </c>
      <c r="O31" s="3" t="s">
        <v>352</v>
      </c>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126"/>
      <c r="O32" s="3"/>
      <c r="P32" s="3"/>
      <c r="Q32" s="3"/>
      <c r="R32" s="3"/>
      <c r="S32" s="3"/>
      <c r="T32" s="3"/>
      <c r="U32" s="3"/>
      <c r="V32" s="3"/>
      <c r="W32" s="3"/>
      <c r="X32" s="3"/>
      <c r="Y32" s="3"/>
      <c r="Z32" s="3"/>
      <c r="AA32" s="3"/>
      <c r="AB32" s="3"/>
    </row>
    <row r="33" spans="1:28" ht="14" x14ac:dyDescent="0.2">
      <c r="A33" s="3" t="s">
        <v>16</v>
      </c>
      <c r="B33" s="3" t="s">
        <v>180</v>
      </c>
      <c r="C33" s="3">
        <v>0.5</v>
      </c>
      <c r="D33" s="3">
        <v>11.92</v>
      </c>
      <c r="E33" s="3"/>
      <c r="F33" s="3">
        <v>13.75</v>
      </c>
      <c r="G33" s="3">
        <v>1.25</v>
      </c>
      <c r="H33" s="3">
        <v>2</v>
      </c>
      <c r="I33" s="3"/>
      <c r="J33" s="34">
        <f t="shared" si="0"/>
        <v>29.42</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v>16</v>
      </c>
      <c r="D34" s="3">
        <v>18.5</v>
      </c>
      <c r="E34" s="3"/>
      <c r="F34" s="3">
        <v>6.25</v>
      </c>
      <c r="G34" s="3"/>
      <c r="H34" s="3"/>
      <c r="I34" s="3"/>
      <c r="J34" s="34">
        <f t="shared" si="0"/>
        <v>40.75</v>
      </c>
      <c r="K34" s="3"/>
      <c r="L34" s="3" t="s">
        <v>34</v>
      </c>
      <c r="M34" s="3"/>
      <c r="N34" s="126" t="s">
        <v>98</v>
      </c>
      <c r="O34" s="3" t="s">
        <v>353</v>
      </c>
      <c r="P34" s="3"/>
      <c r="Q34" s="3"/>
      <c r="R34" s="3"/>
      <c r="S34" s="3"/>
      <c r="T34" s="3"/>
      <c r="U34" s="3"/>
      <c r="V34" s="3"/>
      <c r="W34" s="3"/>
      <c r="X34" s="3"/>
      <c r="Y34" s="3"/>
      <c r="Z34" s="3"/>
      <c r="AA34" s="3"/>
      <c r="AB34" s="3"/>
    </row>
    <row r="35" spans="1:28" ht="14" x14ac:dyDescent="0.2">
      <c r="A35" s="3" t="s">
        <v>162</v>
      </c>
      <c r="B35" s="3"/>
      <c r="C35" s="3"/>
      <c r="D35" s="3"/>
      <c r="E35" s="3"/>
      <c r="F35" s="3">
        <v>0.5</v>
      </c>
      <c r="G35" s="3"/>
      <c r="H35" s="3"/>
      <c r="I35" s="3"/>
      <c r="J35" s="34">
        <f t="shared" si="0"/>
        <v>0.5</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126"/>
      <c r="O36" s="3"/>
      <c r="P36" s="3"/>
      <c r="Q36" s="3"/>
      <c r="R36" s="3"/>
      <c r="S36" s="3"/>
      <c r="T36" s="3"/>
      <c r="U36" s="3"/>
      <c r="V36" s="3"/>
      <c r="W36" s="3"/>
      <c r="X36" s="3"/>
      <c r="Y36" s="3"/>
      <c r="Z36" s="3"/>
      <c r="AA36" s="3"/>
      <c r="AB36" s="3"/>
    </row>
    <row r="37" spans="1:28" ht="14" x14ac:dyDescent="0.2">
      <c r="A37" s="3" t="s">
        <v>171</v>
      </c>
      <c r="B37" s="3" t="s">
        <v>181</v>
      </c>
      <c r="C37" s="3"/>
      <c r="D37" s="3"/>
      <c r="E37" s="3"/>
      <c r="F37" s="3"/>
      <c r="G37" s="3"/>
      <c r="H37" s="3"/>
      <c r="I37" s="3"/>
      <c r="J37" s="34">
        <f t="shared" si="0"/>
        <v>0</v>
      </c>
      <c r="K37" s="3"/>
      <c r="L37" s="3" t="s">
        <v>53</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48.45</v>
      </c>
      <c r="D39" s="3">
        <v>51.67</v>
      </c>
      <c r="E39" s="3">
        <v>20</v>
      </c>
      <c r="F39" s="3">
        <v>80.08</v>
      </c>
      <c r="G39" s="3"/>
      <c r="H39" s="3">
        <v>20</v>
      </c>
      <c r="I39" s="3">
        <v>2.4500000000000002</v>
      </c>
      <c r="J39" s="34">
        <f t="shared" si="0"/>
        <v>222.64999999999998</v>
      </c>
      <c r="K39" s="3"/>
      <c r="L39" s="3" t="s">
        <v>53</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v>1</v>
      </c>
      <c r="E40" s="3"/>
      <c r="F40" s="3">
        <v>13.25</v>
      </c>
      <c r="G40" s="3"/>
      <c r="H40" s="3"/>
      <c r="I40" s="3"/>
      <c r="J40" s="34">
        <f t="shared" si="0"/>
        <v>14.25</v>
      </c>
      <c r="K40" s="3"/>
      <c r="L40" s="3" t="s">
        <v>349</v>
      </c>
      <c r="M40" s="3"/>
      <c r="N40" s="126"/>
      <c r="O40" s="3" t="s">
        <v>348</v>
      </c>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126"/>
      <c r="O41" s="3"/>
      <c r="P41" s="3"/>
      <c r="Q41" s="3"/>
      <c r="R41" s="3"/>
      <c r="S41" s="3"/>
      <c r="T41" s="3"/>
      <c r="U41" s="3"/>
      <c r="V41" s="3"/>
      <c r="W41" s="3"/>
      <c r="X41" s="3"/>
      <c r="Y41" s="3"/>
      <c r="Z41" s="3"/>
      <c r="AA41" s="3"/>
      <c r="AB41" s="3"/>
    </row>
    <row r="42" spans="1:28" ht="14" x14ac:dyDescent="0.2">
      <c r="A42" s="3" t="s">
        <v>371</v>
      </c>
      <c r="B42" s="3" t="s">
        <v>141</v>
      </c>
      <c r="C42" s="3"/>
      <c r="D42" s="3">
        <v>34.909999999999997</v>
      </c>
      <c r="E42" s="3"/>
      <c r="F42" s="3">
        <v>98.08</v>
      </c>
      <c r="G42" s="3"/>
      <c r="H42" s="3"/>
      <c r="I42" s="3"/>
      <c r="J42" s="34">
        <f t="shared" si="0"/>
        <v>132.99</v>
      </c>
      <c r="K42" s="3"/>
      <c r="L42" s="3" t="s">
        <v>34</v>
      </c>
      <c r="M42" s="3"/>
      <c r="N42" s="126" t="s">
        <v>98</v>
      </c>
      <c r="O42" s="3" t="s">
        <v>379</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510.24</v>
      </c>
      <c r="D44" s="3">
        <v>226.16</v>
      </c>
      <c r="E44" s="3">
        <v>110</v>
      </c>
      <c r="F44" s="3">
        <v>63.34</v>
      </c>
      <c r="G44" s="3"/>
      <c r="H44" s="3">
        <v>1.5</v>
      </c>
      <c r="I44" s="3"/>
      <c r="J44" s="34">
        <f t="shared" si="0"/>
        <v>911.24</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189.24</v>
      </c>
      <c r="D45" s="3">
        <v>50.83</v>
      </c>
      <c r="E45" s="3">
        <v>6.5</v>
      </c>
      <c r="F45" s="3">
        <v>76.239999999999995</v>
      </c>
      <c r="G45" s="3">
        <v>0.25</v>
      </c>
      <c r="H45" s="3">
        <v>0.25</v>
      </c>
      <c r="I45" s="3">
        <v>2.2999999999999998</v>
      </c>
      <c r="J45" s="34">
        <f t="shared" si="0"/>
        <v>325.61</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126"/>
      <c r="O46" s="3"/>
      <c r="P46" s="3"/>
      <c r="Q46" s="3"/>
      <c r="R46" s="3"/>
      <c r="S46" s="3"/>
      <c r="T46" s="3"/>
      <c r="U46" s="3"/>
      <c r="V46" s="3"/>
      <c r="W46" s="3"/>
      <c r="X46" s="3"/>
      <c r="Y46" s="3"/>
      <c r="Z46" s="3"/>
      <c r="AA46" s="3"/>
      <c r="AB46" s="3"/>
    </row>
    <row r="47" spans="1:28" ht="14" x14ac:dyDescent="0.2">
      <c r="A47" s="3" t="s">
        <v>187</v>
      </c>
      <c r="B47" s="3"/>
      <c r="C47" s="3"/>
      <c r="D47" s="3"/>
      <c r="E47" s="3"/>
      <c r="F47" s="3"/>
      <c r="G47" s="3"/>
      <c r="H47" s="3"/>
      <c r="I47" s="3"/>
      <c r="J47" s="34">
        <f t="shared" si="0"/>
        <v>0</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c r="D48" s="3"/>
      <c r="E48" s="3"/>
      <c r="F48" s="3"/>
      <c r="G48" s="3"/>
      <c r="H48" s="3"/>
      <c r="I48" s="3"/>
      <c r="J48" s="34">
        <f t="shared" si="0"/>
        <v>0</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365</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124.5</v>
      </c>
      <c r="D53" s="3">
        <v>62.25</v>
      </c>
      <c r="E53" s="3">
        <v>25.25</v>
      </c>
      <c r="F53" s="3">
        <v>103.75</v>
      </c>
      <c r="G53" s="3"/>
      <c r="H53" s="3"/>
      <c r="I53" s="3">
        <v>2.5</v>
      </c>
      <c r="J53" s="34">
        <f t="shared" si="0"/>
        <v>318.25</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126"/>
      <c r="O55" s="3"/>
      <c r="P55" s="3"/>
      <c r="Q55" s="3"/>
      <c r="R55" s="3"/>
      <c r="S55" s="3"/>
      <c r="T55" s="3"/>
      <c r="U55" s="3"/>
      <c r="V55" s="3"/>
      <c r="W55" s="3"/>
      <c r="X55" s="3"/>
      <c r="Y55" s="3"/>
      <c r="Z55" s="3"/>
      <c r="AA55" s="3"/>
      <c r="AB55" s="3"/>
    </row>
    <row r="56" spans="1:28" ht="14" x14ac:dyDescent="0.2">
      <c r="A56" s="3" t="s">
        <v>21</v>
      </c>
      <c r="B56" s="3" t="s">
        <v>148</v>
      </c>
      <c r="C56" s="3">
        <v>152.13</v>
      </c>
      <c r="D56" s="3">
        <v>49.48</v>
      </c>
      <c r="E56" s="3">
        <v>20.75</v>
      </c>
      <c r="F56" s="3">
        <v>9.09</v>
      </c>
      <c r="G56" s="3"/>
      <c r="H56" s="3">
        <v>31</v>
      </c>
      <c r="I56" s="3"/>
      <c r="J56" s="34">
        <f t="shared" si="0"/>
        <v>262.45</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4391.3399999999992</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4</v>
      </c>
      <c r="D64" s="3"/>
      <c r="E64" s="3"/>
      <c r="F64" s="3"/>
      <c r="G64" s="1">
        <f t="shared" ref="G64:G71" si="1">SUM(C64:F64)</f>
        <v>4</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219.58</v>
      </c>
      <c r="D65" s="3"/>
      <c r="E65" s="3">
        <v>86.43</v>
      </c>
      <c r="F65" s="3"/>
      <c r="G65" s="1">
        <f t="shared" si="1"/>
        <v>306.01</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12.38</v>
      </c>
      <c r="D66" s="3"/>
      <c r="E66" s="3">
        <v>4.25</v>
      </c>
      <c r="F66" s="3"/>
      <c r="G66" s="1">
        <f t="shared" si="1"/>
        <v>16.630000000000003</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52.42</v>
      </c>
      <c r="D67" s="3"/>
      <c r="E67" s="3">
        <v>11.5</v>
      </c>
      <c r="F67" s="3"/>
      <c r="G67" s="1">
        <f t="shared" si="1"/>
        <v>63.92</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25.92</v>
      </c>
      <c r="D68" s="3"/>
      <c r="E68" s="3">
        <v>11</v>
      </c>
      <c r="F68" s="3"/>
      <c r="G68" s="1">
        <f t="shared" si="1"/>
        <v>36.92</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13.08</v>
      </c>
      <c r="D71" s="3"/>
      <c r="E71" s="3"/>
      <c r="F71" s="3"/>
      <c r="G71" s="1">
        <f t="shared" si="1"/>
        <v>13.08</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327.38</v>
      </c>
      <c r="D72" s="1">
        <f>SUM(D63:D71)</f>
        <v>0</v>
      </c>
      <c r="E72" s="1">
        <f>SUM(E63:E71)</f>
        <v>113.18</v>
      </c>
      <c r="F72" s="1">
        <f>SUM(F63:F71)</f>
        <v>0</v>
      </c>
      <c r="G72" s="1">
        <f>SUM(C72:F72)</f>
        <v>440.56</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3171.07</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v>462</v>
      </c>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v>462</v>
      </c>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62.36</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205</v>
      </c>
      <c r="B95" s="146" t="s">
        <v>149</v>
      </c>
      <c r="C95" s="154"/>
      <c r="D95" s="19" t="s">
        <v>206</v>
      </c>
      <c r="E95" s="19" t="s">
        <v>153</v>
      </c>
      <c r="F95" s="20"/>
      <c r="G95" s="20">
        <v>3857.62</v>
      </c>
      <c r="H95" s="146" t="s">
        <v>207</v>
      </c>
      <c r="I95" s="155"/>
      <c r="J95" s="155"/>
      <c r="K95" s="155"/>
      <c r="L95" s="155"/>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213</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214</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215</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211</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210</v>
      </c>
      <c r="F100" s="20"/>
      <c r="G100" s="20"/>
      <c r="H100" s="146" t="s">
        <v>212</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216</v>
      </c>
      <c r="B101" s="146" t="s">
        <v>217</v>
      </c>
      <c r="C101" s="154"/>
      <c r="D101" s="19" t="s">
        <v>206</v>
      </c>
      <c r="E101" s="19" t="s">
        <v>155</v>
      </c>
      <c r="F101" s="20"/>
      <c r="G101" s="20"/>
      <c r="H101" s="146" t="s">
        <v>218</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79</v>
      </c>
      <c r="B102" s="146" t="s">
        <v>19</v>
      </c>
      <c r="C102" s="148"/>
      <c r="D102" s="19" t="s">
        <v>77</v>
      </c>
      <c r="E102" s="19" t="s">
        <v>153</v>
      </c>
      <c r="F102" s="20"/>
      <c r="G102" s="20"/>
      <c r="H102" s="18" t="s">
        <v>80</v>
      </c>
      <c r="I102" s="28"/>
      <c r="J102" s="28"/>
      <c r="K102" s="28"/>
      <c r="L102" s="28"/>
      <c r="M102" s="29"/>
      <c r="N102" s="3"/>
      <c r="O102" s="3"/>
      <c r="P102" s="3"/>
      <c r="Q102" s="3"/>
      <c r="R102" s="3"/>
      <c r="S102" s="3"/>
      <c r="T102" s="3"/>
      <c r="U102" s="3"/>
      <c r="V102" s="3"/>
      <c r="W102" s="3"/>
      <c r="X102" s="3"/>
      <c r="Y102" s="3"/>
      <c r="Z102" s="3"/>
      <c r="AA102" s="3"/>
      <c r="AB102" s="3"/>
    </row>
    <row r="103" spans="1:28" ht="14" x14ac:dyDescent="0.2">
      <c r="A103" s="17" t="s">
        <v>374</v>
      </c>
      <c r="B103" s="18" t="s">
        <v>375</v>
      </c>
      <c r="C103" s="29"/>
      <c r="D103" s="19" t="s">
        <v>77</v>
      </c>
      <c r="E103" s="39" t="s">
        <v>376</v>
      </c>
      <c r="F103" s="20"/>
      <c r="G103" s="20">
        <v>205</v>
      </c>
      <c r="H103" s="18" t="s">
        <v>377</v>
      </c>
      <c r="I103" s="28"/>
      <c r="J103" s="28"/>
      <c r="K103" s="28"/>
      <c r="L103" s="28"/>
      <c r="M103" s="28"/>
      <c r="N103" s="3"/>
      <c r="O103" s="3"/>
      <c r="P103" s="3"/>
      <c r="Q103" s="3"/>
      <c r="R103" s="3"/>
      <c r="S103" s="3"/>
      <c r="T103" s="3"/>
      <c r="U103" s="3"/>
      <c r="V103" s="3"/>
      <c r="W103" s="3"/>
      <c r="X103" s="3"/>
      <c r="Y103" s="3"/>
      <c r="Z103" s="3"/>
      <c r="AA103" s="3"/>
      <c r="AB103" s="3"/>
    </row>
    <row r="104" spans="1:28" ht="14" x14ac:dyDescent="0.2">
      <c r="A104" s="17" t="s">
        <v>281</v>
      </c>
      <c r="B104" s="146" t="s">
        <v>282</v>
      </c>
      <c r="C104" s="154"/>
      <c r="D104" s="19" t="s">
        <v>77</v>
      </c>
      <c r="E104" s="39" t="s">
        <v>283</v>
      </c>
      <c r="F104" s="20"/>
      <c r="G104" s="20"/>
      <c r="H104" s="146" t="s">
        <v>284</v>
      </c>
      <c r="I104" s="151"/>
      <c r="J104" s="151"/>
      <c r="K104" s="151"/>
      <c r="L104" s="28"/>
      <c r="M104" s="28"/>
      <c r="N104" s="3"/>
      <c r="O104" s="3"/>
      <c r="P104" s="3"/>
      <c r="Q104" s="3"/>
      <c r="R104" s="3"/>
      <c r="S104" s="3"/>
      <c r="T104" s="3"/>
      <c r="U104" s="3"/>
      <c r="V104" s="3"/>
      <c r="W104" s="3"/>
      <c r="X104" s="3"/>
      <c r="Y104" s="3"/>
      <c r="Z104" s="3"/>
      <c r="AA104" s="3"/>
      <c r="AB104" s="3"/>
    </row>
    <row r="105" spans="1:28" ht="14" x14ac:dyDescent="0.2">
      <c r="A105" s="17" t="s">
        <v>219</v>
      </c>
      <c r="B105" s="151" t="s">
        <v>220</v>
      </c>
      <c r="C105" s="148"/>
      <c r="D105" s="19" t="s">
        <v>77</v>
      </c>
      <c r="E105" s="39" t="s">
        <v>155</v>
      </c>
      <c r="F105" s="20"/>
      <c r="G105" s="20"/>
      <c r="H105" s="146" t="s">
        <v>221</v>
      </c>
      <c r="I105" s="151"/>
      <c r="J105" s="151"/>
      <c r="K105" s="151"/>
      <c r="L105" s="154"/>
      <c r="M105" s="18"/>
      <c r="N105" s="3"/>
      <c r="O105" s="3"/>
      <c r="P105" s="3"/>
      <c r="Q105" s="3"/>
      <c r="R105" s="3"/>
      <c r="S105" s="3"/>
      <c r="T105" s="3"/>
      <c r="U105" s="3"/>
      <c r="V105" s="3"/>
      <c r="W105" s="3"/>
      <c r="X105" s="3"/>
      <c r="Y105" s="3"/>
      <c r="Z105" s="3"/>
      <c r="AA105" s="3"/>
      <c r="AB105" s="3"/>
    </row>
    <row r="106" spans="1:28" ht="14" x14ac:dyDescent="0.2">
      <c r="A106" s="24" t="s">
        <v>222</v>
      </c>
      <c r="B106" s="151" t="s">
        <v>220</v>
      </c>
      <c r="C106" s="148"/>
      <c r="D106" s="19" t="s">
        <v>77</v>
      </c>
      <c r="E106" s="39" t="s">
        <v>155</v>
      </c>
      <c r="F106" s="27"/>
      <c r="G106" s="27"/>
      <c r="H106" s="24" t="s">
        <v>326</v>
      </c>
      <c r="I106" s="25"/>
      <c r="J106" s="25"/>
      <c r="K106" s="25"/>
      <c r="L106" s="25"/>
      <c r="M106" s="25"/>
      <c r="N106" s="3"/>
      <c r="O106" s="3"/>
      <c r="P106" s="3"/>
      <c r="Q106" s="3"/>
      <c r="R106" s="3"/>
      <c r="S106" s="3"/>
      <c r="T106" s="3"/>
      <c r="U106" s="3"/>
      <c r="V106" s="3"/>
      <c r="W106" s="3"/>
      <c r="X106" s="3"/>
      <c r="Y106" s="3"/>
      <c r="Z106" s="3"/>
      <c r="AA106" s="3"/>
      <c r="AB106" s="3"/>
    </row>
    <row r="107" spans="1:28" ht="14" x14ac:dyDescent="0.2">
      <c r="A107" s="24" t="s">
        <v>224</v>
      </c>
      <c r="B107" s="151" t="s">
        <v>225</v>
      </c>
      <c r="C107" s="148"/>
      <c r="D107" s="19" t="s">
        <v>77</v>
      </c>
      <c r="E107" s="39" t="s">
        <v>155</v>
      </c>
      <c r="F107" s="27"/>
      <c r="G107" s="27"/>
      <c r="H107" s="24" t="s">
        <v>101</v>
      </c>
      <c r="I107" s="25"/>
      <c r="J107" s="25"/>
      <c r="K107" s="25"/>
      <c r="L107" s="25"/>
      <c r="M107" s="25"/>
      <c r="N107" s="3"/>
      <c r="O107" s="3"/>
      <c r="P107" s="3"/>
      <c r="Q107" s="3"/>
      <c r="R107" s="3"/>
      <c r="S107" s="3"/>
      <c r="T107" s="3"/>
      <c r="U107" s="3"/>
      <c r="V107" s="3"/>
      <c r="W107" s="3"/>
      <c r="X107" s="3"/>
      <c r="Y107" s="3"/>
      <c r="Z107" s="3"/>
      <c r="AA107" s="3"/>
      <c r="AB107" s="3"/>
    </row>
    <row r="108" spans="1:28" ht="14" x14ac:dyDescent="0.2">
      <c r="A108" s="3"/>
      <c r="B108" s="3"/>
      <c r="C108" s="3"/>
      <c r="D108" s="3"/>
      <c r="F108" s="23">
        <f>SUM(F78:F107)</f>
        <v>0</v>
      </c>
      <c r="G108" s="23">
        <f>SUM(G79:G107)</f>
        <v>8220.0499999999993</v>
      </c>
      <c r="H108" s="3"/>
      <c r="I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4" x14ac:dyDescent="0.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sheetData>
  <mergeCells count="38">
    <mergeCell ref="B88:C88"/>
    <mergeCell ref="B77:C77"/>
    <mergeCell ref="B78:C78"/>
    <mergeCell ref="B79:C79"/>
    <mergeCell ref="B80:C80"/>
    <mergeCell ref="B81:C81"/>
    <mergeCell ref="B82:C82"/>
    <mergeCell ref="B83:C83"/>
    <mergeCell ref="B84:C84"/>
    <mergeCell ref="B85:C85"/>
    <mergeCell ref="B86:C86"/>
    <mergeCell ref="B87:C87"/>
    <mergeCell ref="B98:C98"/>
    <mergeCell ref="H98:L98"/>
    <mergeCell ref="B89:C89"/>
    <mergeCell ref="B91:C91"/>
    <mergeCell ref="B92:C92"/>
    <mergeCell ref="B93:C93"/>
    <mergeCell ref="B94:C94"/>
    <mergeCell ref="B95:C95"/>
    <mergeCell ref="H95:L95"/>
    <mergeCell ref="B96:C96"/>
    <mergeCell ref="H96:L96"/>
    <mergeCell ref="B97:C97"/>
    <mergeCell ref="H97:L97"/>
    <mergeCell ref="B107:C107"/>
    <mergeCell ref="B99:C99"/>
    <mergeCell ref="H99:L99"/>
    <mergeCell ref="B100:C100"/>
    <mergeCell ref="H100:L100"/>
    <mergeCell ref="B101:C101"/>
    <mergeCell ref="H101:L101"/>
    <mergeCell ref="B102:C102"/>
    <mergeCell ref="B104:C104"/>
    <mergeCell ref="B105:C105"/>
    <mergeCell ref="H105:L105"/>
    <mergeCell ref="B106:C106"/>
    <mergeCell ref="H104:K104"/>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AE6A-FDE2-6D4B-8C8B-1BD5A9B19149}">
  <sheetPr>
    <outlinePr summaryBelow="0" summaryRight="0"/>
    <pageSetUpPr fitToPage="1"/>
  </sheetPr>
  <dimension ref="A1:AB1052"/>
  <sheetViews>
    <sheetView topLeftCell="A21" zoomScale="120" zoomScaleNormal="120" workbookViewId="0">
      <selection activeCell="A36" sqref="A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45962</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B9+B60+17366</f>
        <v>358179</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5780</v>
      </c>
      <c r="C4" s="35" t="s">
        <v>381</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5784.7399999999989</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4.7399999999988722</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28.58</v>
      </c>
      <c r="D13" s="3">
        <v>152.68</v>
      </c>
      <c r="E13" s="3"/>
      <c r="F13" s="3">
        <v>35.770000000000003</v>
      </c>
      <c r="G13" s="3">
        <v>3.61</v>
      </c>
      <c r="H13" s="3">
        <v>1</v>
      </c>
      <c r="I13" s="3">
        <v>74.849999999999994</v>
      </c>
      <c r="J13" s="3">
        <v>15</v>
      </c>
      <c r="K13" s="3">
        <v>36.75</v>
      </c>
      <c r="L13" s="3">
        <v>37.25</v>
      </c>
      <c r="M13" s="3">
        <v>20.83</v>
      </c>
      <c r="N13" s="3">
        <v>24.75</v>
      </c>
      <c r="O13" s="3">
        <v>500.96</v>
      </c>
      <c r="P13" s="3">
        <v>574</v>
      </c>
      <c r="Q13" s="3"/>
      <c r="R13" s="3">
        <v>59</v>
      </c>
      <c r="S13" s="3"/>
      <c r="T13" s="34">
        <f>SUM(C13:S13)</f>
        <v>1565.03</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29.56</v>
      </c>
      <c r="D18" s="3">
        <v>36.25</v>
      </c>
      <c r="E18" s="3"/>
      <c r="F18" s="3">
        <v>3.78</v>
      </c>
      <c r="G18" s="3">
        <v>9.75</v>
      </c>
      <c r="H18" s="3">
        <v>0.25</v>
      </c>
      <c r="I18" s="3">
        <v>1.18</v>
      </c>
      <c r="J18" s="34">
        <f t="shared" si="0"/>
        <v>80.77000000000001</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v>5.25</v>
      </c>
      <c r="E19" s="3"/>
      <c r="F19" s="3">
        <v>25.92</v>
      </c>
      <c r="G19" s="3"/>
      <c r="H19" s="3">
        <v>1</v>
      </c>
      <c r="I19" s="3"/>
      <c r="J19" s="34">
        <f t="shared" si="0"/>
        <v>32.17</v>
      </c>
      <c r="K19" s="3"/>
      <c r="L19" s="3" t="s">
        <v>34</v>
      </c>
      <c r="M19" s="3"/>
      <c r="N19" s="126" t="s">
        <v>98</v>
      </c>
      <c r="O19" s="3" t="s">
        <v>336</v>
      </c>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t="s">
        <v>333</v>
      </c>
      <c r="M20" s="3"/>
      <c r="N20" s="126"/>
      <c r="O20" s="3" t="s">
        <v>350</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v>37.25</v>
      </c>
      <c r="D22" s="3">
        <v>10.75</v>
      </c>
      <c r="E22" s="3"/>
      <c r="F22" s="3">
        <v>6.25</v>
      </c>
      <c r="G22" s="3">
        <v>3</v>
      </c>
      <c r="H22" s="3">
        <v>5.75</v>
      </c>
      <c r="I22" s="3">
        <v>1.25</v>
      </c>
      <c r="J22" s="34">
        <f t="shared" si="0"/>
        <v>64.25</v>
      </c>
      <c r="K22" s="3"/>
      <c r="L22" s="3" t="s">
        <v>378</v>
      </c>
      <c r="M22" s="3"/>
      <c r="N22" s="125">
        <v>45962</v>
      </c>
      <c r="O22" s="3" t="s">
        <v>363</v>
      </c>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125"/>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125"/>
      <c r="O24" s="3"/>
      <c r="P24" s="3"/>
      <c r="Q24" s="3"/>
      <c r="R24" s="3"/>
      <c r="S24" s="3"/>
      <c r="T24" s="3"/>
      <c r="U24" s="3"/>
      <c r="V24" s="3"/>
      <c r="W24" s="3"/>
      <c r="X24" s="3"/>
      <c r="Y24" s="3"/>
      <c r="Z24" s="3"/>
      <c r="AA24" s="3"/>
      <c r="AB24" s="3"/>
    </row>
    <row r="25" spans="1:28" ht="14" x14ac:dyDescent="0.2">
      <c r="A25" s="3" t="s">
        <v>14</v>
      </c>
      <c r="B25" s="3" t="s">
        <v>133</v>
      </c>
      <c r="C25" s="3">
        <v>386.28</v>
      </c>
      <c r="D25" s="3">
        <v>302.60000000000002</v>
      </c>
      <c r="E25" s="3">
        <v>198.92</v>
      </c>
      <c r="F25" s="3">
        <v>101.5</v>
      </c>
      <c r="G25" s="3">
        <v>81.75</v>
      </c>
      <c r="H25" s="3">
        <v>2.5</v>
      </c>
      <c r="I25" s="3">
        <v>5</v>
      </c>
      <c r="J25" s="34">
        <f t="shared" si="0"/>
        <v>1078.55</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c r="D26" s="3">
        <v>29.75</v>
      </c>
      <c r="E26" s="3"/>
      <c r="F26" s="3">
        <v>43.34</v>
      </c>
      <c r="G26" s="3"/>
      <c r="H26" s="3">
        <v>19.75</v>
      </c>
      <c r="I26" s="3"/>
      <c r="J26" s="34">
        <f t="shared" si="0"/>
        <v>92.84</v>
      </c>
      <c r="K26" s="3"/>
      <c r="L26" s="3" t="s">
        <v>34</v>
      </c>
      <c r="M26" s="3"/>
      <c r="N26" s="126" t="s">
        <v>98</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126"/>
      <c r="O27" s="3"/>
      <c r="P27" s="3"/>
      <c r="Q27" s="3"/>
      <c r="R27" s="3"/>
      <c r="S27" s="3"/>
      <c r="T27" s="3"/>
      <c r="U27" s="3"/>
      <c r="V27" s="3"/>
      <c r="W27" s="3"/>
      <c r="X27" s="3"/>
      <c r="Y27" s="3"/>
      <c r="Z27" s="3"/>
      <c r="AA27" s="3"/>
      <c r="AB27" s="3"/>
    </row>
    <row r="28" spans="1:28" ht="14" x14ac:dyDescent="0.2">
      <c r="A28" s="3" t="s">
        <v>122</v>
      </c>
      <c r="B28" s="3" t="s">
        <v>134</v>
      </c>
      <c r="C28" s="3"/>
      <c r="D28" s="3">
        <v>6.5</v>
      </c>
      <c r="E28" s="3">
        <v>1</v>
      </c>
      <c r="F28" s="3"/>
      <c r="G28" s="3"/>
      <c r="H28" s="3"/>
      <c r="I28" s="3"/>
      <c r="J28" s="34">
        <f t="shared" si="0"/>
        <v>7.5</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v>16</v>
      </c>
      <c r="D29" s="3">
        <v>9.67</v>
      </c>
      <c r="E29" s="3"/>
      <c r="F29" s="3">
        <v>3.75</v>
      </c>
      <c r="G29" s="3"/>
      <c r="H29" s="3">
        <v>7.5</v>
      </c>
      <c r="I29" s="3"/>
      <c r="J29" s="34">
        <f t="shared" si="0"/>
        <v>36.92</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c r="D30" s="3">
        <v>3.75</v>
      </c>
      <c r="E30" s="3"/>
      <c r="F30" s="3">
        <v>4.25</v>
      </c>
      <c r="G30" s="3"/>
      <c r="H30" s="3">
        <v>0.25</v>
      </c>
      <c r="I30" s="3"/>
      <c r="J30" s="34">
        <f t="shared" si="0"/>
        <v>8.25</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89.33</v>
      </c>
      <c r="D31" s="3">
        <v>84.27</v>
      </c>
      <c r="E31" s="3">
        <v>60.5</v>
      </c>
      <c r="F31" s="3">
        <v>16</v>
      </c>
      <c r="G31" s="3"/>
      <c r="H31" s="3">
        <v>22.25</v>
      </c>
      <c r="I31" s="3"/>
      <c r="J31" s="34">
        <f t="shared" si="0"/>
        <v>272.35000000000002</v>
      </c>
      <c r="K31" s="3"/>
      <c r="L31" s="3" t="s">
        <v>52</v>
      </c>
      <c r="M31" s="3"/>
      <c r="N31" s="125">
        <v>46054</v>
      </c>
      <c r="O31" s="3" t="s">
        <v>352</v>
      </c>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126"/>
      <c r="O32" s="3"/>
      <c r="P32" s="3"/>
      <c r="Q32" s="3"/>
      <c r="R32" s="3"/>
      <c r="S32" s="3"/>
      <c r="T32" s="3"/>
      <c r="U32" s="3"/>
      <c r="V32" s="3"/>
      <c r="W32" s="3"/>
      <c r="X32" s="3"/>
      <c r="Y32" s="3"/>
      <c r="Z32" s="3"/>
      <c r="AA32" s="3"/>
      <c r="AB32" s="3"/>
    </row>
    <row r="33" spans="1:28" ht="14" x14ac:dyDescent="0.2">
      <c r="A33" s="3" t="s">
        <v>16</v>
      </c>
      <c r="B33" s="3" t="s">
        <v>180</v>
      </c>
      <c r="C33" s="3"/>
      <c r="D33" s="3">
        <v>9.25</v>
      </c>
      <c r="E33" s="3"/>
      <c r="F33" s="3">
        <v>72.319999999999993</v>
      </c>
      <c r="G33" s="3"/>
      <c r="H33" s="3"/>
      <c r="I33" s="3"/>
      <c r="J33" s="34">
        <f t="shared" si="0"/>
        <v>81.569999999999993</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v>113</v>
      </c>
      <c r="D34" s="3">
        <v>8.25</v>
      </c>
      <c r="E34" s="3"/>
      <c r="F34" s="3">
        <v>8.5</v>
      </c>
      <c r="G34" s="3"/>
      <c r="H34" s="3"/>
      <c r="I34" s="3"/>
      <c r="J34" s="34">
        <f t="shared" si="0"/>
        <v>129.75</v>
      </c>
      <c r="K34" s="3"/>
      <c r="L34" s="3" t="s">
        <v>34</v>
      </c>
      <c r="M34" s="3"/>
      <c r="N34" s="126" t="s">
        <v>98</v>
      </c>
      <c r="O34" s="3" t="s">
        <v>353</v>
      </c>
      <c r="P34" s="3"/>
      <c r="Q34" s="3"/>
      <c r="R34" s="3"/>
      <c r="S34" s="3"/>
      <c r="T34" s="3"/>
      <c r="U34" s="3"/>
      <c r="V34" s="3"/>
      <c r="W34" s="3"/>
      <c r="X34" s="3"/>
      <c r="Y34" s="3"/>
      <c r="Z34" s="3"/>
      <c r="AA34" s="3"/>
      <c r="AB34" s="3"/>
    </row>
    <row r="35" spans="1:28" ht="14" x14ac:dyDescent="0.2">
      <c r="A35" s="3" t="s">
        <v>162</v>
      </c>
      <c r="B35" s="3"/>
      <c r="C35" s="3"/>
      <c r="D35" s="3">
        <v>2.75</v>
      </c>
      <c r="E35" s="3"/>
      <c r="F35" s="3">
        <v>3</v>
      </c>
      <c r="G35" s="3"/>
      <c r="H35" s="3"/>
      <c r="I35" s="3"/>
      <c r="J35" s="34">
        <f t="shared" si="0"/>
        <v>5.75</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126"/>
      <c r="O36" s="3"/>
      <c r="P36" s="3"/>
      <c r="Q36" s="3"/>
      <c r="R36" s="3"/>
      <c r="S36" s="3"/>
      <c r="T36" s="3"/>
      <c r="U36" s="3"/>
      <c r="V36" s="3"/>
      <c r="W36" s="3"/>
      <c r="X36" s="3"/>
      <c r="Y36" s="3"/>
      <c r="Z36" s="3"/>
      <c r="AA36" s="3"/>
      <c r="AB36" s="3"/>
    </row>
    <row r="37" spans="1:28" ht="14" x14ac:dyDescent="0.2">
      <c r="A37" s="3" t="s">
        <v>171</v>
      </c>
      <c r="B37" s="3" t="s">
        <v>181</v>
      </c>
      <c r="C37" s="3"/>
      <c r="D37" s="3"/>
      <c r="E37" s="3"/>
      <c r="F37" s="3"/>
      <c r="G37" s="3"/>
      <c r="H37" s="3"/>
      <c r="I37" s="3"/>
      <c r="J37" s="34">
        <f t="shared" si="0"/>
        <v>0</v>
      </c>
      <c r="K37" s="3"/>
      <c r="L37" s="3" t="s">
        <v>53</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79.55</v>
      </c>
      <c r="D39" s="3">
        <v>20.83</v>
      </c>
      <c r="E39" s="3">
        <v>56.5</v>
      </c>
      <c r="F39" s="3">
        <v>20.5</v>
      </c>
      <c r="G39" s="3"/>
      <c r="H39" s="3"/>
      <c r="I39" s="3">
        <v>17.25</v>
      </c>
      <c r="J39" s="34">
        <f t="shared" si="0"/>
        <v>194.63</v>
      </c>
      <c r="K39" s="3"/>
      <c r="L39" s="3" t="s">
        <v>53</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c r="E40" s="3">
        <v>1.5</v>
      </c>
      <c r="F40" s="3">
        <v>1</v>
      </c>
      <c r="G40" s="3"/>
      <c r="H40" s="3"/>
      <c r="I40" s="3"/>
      <c r="J40" s="34">
        <f t="shared" si="0"/>
        <v>2.5</v>
      </c>
      <c r="K40" s="3"/>
      <c r="L40" s="3" t="s">
        <v>349</v>
      </c>
      <c r="M40" s="3"/>
      <c r="N40" s="126"/>
      <c r="O40" s="3" t="s">
        <v>348</v>
      </c>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126"/>
      <c r="O41" s="3"/>
      <c r="P41" s="3"/>
      <c r="Q41" s="3"/>
      <c r="R41" s="3"/>
      <c r="S41" s="3"/>
      <c r="T41" s="3"/>
      <c r="U41" s="3"/>
      <c r="V41" s="3"/>
      <c r="W41" s="3"/>
      <c r="X41" s="3"/>
      <c r="Y41" s="3"/>
      <c r="Z41" s="3"/>
      <c r="AA41" s="3"/>
      <c r="AB41" s="3"/>
    </row>
    <row r="42" spans="1:28" ht="14" x14ac:dyDescent="0.2">
      <c r="A42" s="3" t="s">
        <v>371</v>
      </c>
      <c r="B42" s="3" t="s">
        <v>141</v>
      </c>
      <c r="C42" s="3"/>
      <c r="D42" s="3">
        <v>22.5</v>
      </c>
      <c r="E42" s="3"/>
      <c r="F42" s="3">
        <v>43.91</v>
      </c>
      <c r="G42" s="3"/>
      <c r="H42" s="3"/>
      <c r="I42" s="3"/>
      <c r="J42" s="34">
        <f t="shared" si="0"/>
        <v>66.41</v>
      </c>
      <c r="K42" s="3"/>
      <c r="L42" s="3" t="s">
        <v>34</v>
      </c>
      <c r="M42" s="3"/>
      <c r="N42" s="126" t="s">
        <v>98</v>
      </c>
      <c r="O42" s="3" t="s">
        <v>379</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373.87</v>
      </c>
      <c r="D44" s="3">
        <f>206.73+12.58</f>
        <v>219.31</v>
      </c>
      <c r="E44" s="3">
        <v>105</v>
      </c>
      <c r="F44" s="3">
        <v>100</v>
      </c>
      <c r="G44" s="3"/>
      <c r="H44" s="3"/>
      <c r="I44" s="3">
        <v>16.75</v>
      </c>
      <c r="J44" s="34">
        <f t="shared" si="0"/>
        <v>814.93000000000006</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234.1</v>
      </c>
      <c r="D45" s="3">
        <v>47.19</v>
      </c>
      <c r="E45" s="3">
        <v>1.5</v>
      </c>
      <c r="F45" s="3">
        <v>91.97</v>
      </c>
      <c r="G45" s="3"/>
      <c r="H45" s="3">
        <v>11.75</v>
      </c>
      <c r="I45" s="3">
        <v>2.6</v>
      </c>
      <c r="J45" s="34">
        <f t="shared" si="0"/>
        <v>389.11</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126"/>
      <c r="O46" s="3"/>
      <c r="P46" s="3"/>
      <c r="Q46" s="3"/>
      <c r="R46" s="3"/>
      <c r="S46" s="3"/>
      <c r="T46" s="3"/>
      <c r="U46" s="3"/>
      <c r="V46" s="3"/>
      <c r="W46" s="3"/>
      <c r="X46" s="3"/>
      <c r="Y46" s="3"/>
      <c r="Z46" s="3"/>
      <c r="AA46" s="3"/>
      <c r="AB46" s="3"/>
    </row>
    <row r="47" spans="1:28" ht="14" x14ac:dyDescent="0.2">
      <c r="A47" s="3" t="s">
        <v>187</v>
      </c>
      <c r="B47" s="3"/>
      <c r="C47" s="3"/>
      <c r="D47" s="3">
        <v>10.5</v>
      </c>
      <c r="E47" s="3"/>
      <c r="F47" s="3">
        <v>7.5</v>
      </c>
      <c r="G47" s="3"/>
      <c r="H47" s="3"/>
      <c r="I47" s="3"/>
      <c r="J47" s="34">
        <f t="shared" si="0"/>
        <v>18</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c r="D48" s="3"/>
      <c r="E48" s="3"/>
      <c r="F48" s="3">
        <v>1</v>
      </c>
      <c r="G48" s="3"/>
      <c r="H48" s="3"/>
      <c r="I48" s="3"/>
      <c r="J48" s="34">
        <f t="shared" si="0"/>
        <v>1</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365</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64.25</v>
      </c>
      <c r="D53" s="3">
        <v>34.5</v>
      </c>
      <c r="E53" s="3">
        <v>15.5</v>
      </c>
      <c r="F53" s="3">
        <v>137.33000000000001</v>
      </c>
      <c r="G53" s="3"/>
      <c r="H53" s="3"/>
      <c r="I53" s="3">
        <v>4</v>
      </c>
      <c r="J53" s="34">
        <f t="shared" si="0"/>
        <v>255.58</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126"/>
      <c r="O55" s="3"/>
      <c r="P55" s="3"/>
      <c r="Q55" s="3"/>
      <c r="R55" s="3"/>
      <c r="S55" s="3"/>
      <c r="T55" s="3"/>
      <c r="U55" s="3"/>
      <c r="V55" s="3"/>
      <c r="W55" s="3"/>
      <c r="X55" s="3"/>
      <c r="Y55" s="3"/>
      <c r="Z55" s="3"/>
      <c r="AA55" s="3"/>
      <c r="AB55" s="3"/>
    </row>
    <row r="56" spans="1:28" ht="14" x14ac:dyDescent="0.2">
      <c r="A56" s="3" t="s">
        <v>21</v>
      </c>
      <c r="B56" s="3" t="s">
        <v>148</v>
      </c>
      <c r="C56" s="3">
        <v>88.42</v>
      </c>
      <c r="D56" s="3">
        <f>51+2.09</f>
        <v>53.09</v>
      </c>
      <c r="E56" s="3">
        <v>7.5</v>
      </c>
      <c r="F56" s="3">
        <v>57</v>
      </c>
      <c r="G56" s="3"/>
      <c r="H56" s="3">
        <v>7.25</v>
      </c>
      <c r="I56" s="3"/>
      <c r="J56" s="34">
        <f t="shared" si="0"/>
        <v>213.26</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3846.0899999999992</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v>2.2200000000000002</v>
      </c>
      <c r="F63" s="3"/>
      <c r="G63" s="1">
        <f>SUM(C63:F63)</f>
        <v>2.2200000000000002</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7.42</v>
      </c>
      <c r="D64" s="3"/>
      <c r="E64" s="3"/>
      <c r="F64" s="3"/>
      <c r="G64" s="1">
        <f t="shared" ref="G64:G71" si="1">SUM(C64:F64)</f>
        <v>7.42</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160.71</v>
      </c>
      <c r="D65" s="3"/>
      <c r="E65" s="3">
        <v>45.2</v>
      </c>
      <c r="F65" s="3"/>
      <c r="G65" s="1">
        <f t="shared" si="1"/>
        <v>205.91000000000003</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4.17</v>
      </c>
      <c r="D66" s="3"/>
      <c r="E66" s="3"/>
      <c r="F66" s="3"/>
      <c r="G66" s="1">
        <f t="shared" si="1"/>
        <v>4.17</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85.57</v>
      </c>
      <c r="D67" s="3"/>
      <c r="E67" s="3">
        <v>26</v>
      </c>
      <c r="F67" s="3"/>
      <c r="G67" s="1">
        <f t="shared" si="1"/>
        <v>111.57</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18.21</v>
      </c>
      <c r="D68" s="3"/>
      <c r="E68" s="3">
        <v>9.6999999999999993</v>
      </c>
      <c r="F68" s="3"/>
      <c r="G68" s="1">
        <f t="shared" si="1"/>
        <v>27.91</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14.17</v>
      </c>
      <c r="D71" s="3"/>
      <c r="E71" s="3">
        <v>0.25</v>
      </c>
      <c r="F71" s="3"/>
      <c r="G71" s="1">
        <f t="shared" si="1"/>
        <v>14.42</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292.47000000000003</v>
      </c>
      <c r="D72" s="1">
        <f>SUM(D63:D71)</f>
        <v>0</v>
      </c>
      <c r="E72" s="1">
        <f>SUM(E63:E71)</f>
        <v>81.150000000000006</v>
      </c>
      <c r="F72" s="1">
        <f>SUM(F63:F71)</f>
        <v>0</v>
      </c>
      <c r="G72" s="1">
        <f>SUM(C72:F72)</f>
        <v>373.62</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3707.03</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v>1136.04</v>
      </c>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59.59</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205</v>
      </c>
      <c r="B95" s="146" t="s">
        <v>149</v>
      </c>
      <c r="C95" s="154"/>
      <c r="D95" s="19" t="s">
        <v>206</v>
      </c>
      <c r="E95" s="19" t="s">
        <v>153</v>
      </c>
      <c r="F95" s="20"/>
      <c r="G95" s="20">
        <v>3819.85</v>
      </c>
      <c r="H95" s="146" t="s">
        <v>207</v>
      </c>
      <c r="I95" s="155"/>
      <c r="J95" s="155"/>
      <c r="K95" s="155"/>
      <c r="L95" s="155"/>
      <c r="M95" s="29"/>
      <c r="N95" s="3"/>
      <c r="O95" s="3"/>
      <c r="P95" s="3"/>
      <c r="Q95" s="3"/>
      <c r="R95" s="3"/>
      <c r="S95" s="3"/>
      <c r="T95" s="3"/>
      <c r="U95" s="3"/>
      <c r="V95" s="3"/>
      <c r="W95" s="3"/>
      <c r="X95" s="3"/>
      <c r="Y95" s="3"/>
      <c r="Z95" s="3"/>
      <c r="AA95" s="3"/>
      <c r="AB95" s="3"/>
    </row>
    <row r="96" spans="1:28" ht="14" x14ac:dyDescent="0.2">
      <c r="A96" s="17" t="s">
        <v>208</v>
      </c>
      <c r="B96" s="146" t="s">
        <v>70</v>
      </c>
      <c r="C96" s="148"/>
      <c r="D96" s="19" t="s">
        <v>206</v>
      </c>
      <c r="E96" s="19" t="s">
        <v>209</v>
      </c>
      <c r="F96" s="20"/>
      <c r="G96" s="20"/>
      <c r="H96" s="146" t="s">
        <v>213</v>
      </c>
      <c r="I96" s="151"/>
      <c r="J96" s="151"/>
      <c r="K96" s="151"/>
      <c r="L96" s="151"/>
      <c r="M96" s="29"/>
      <c r="N96" s="3"/>
      <c r="O96" s="3"/>
      <c r="P96" s="3"/>
      <c r="Q96" s="3"/>
      <c r="R96" s="3"/>
      <c r="S96" s="3"/>
      <c r="T96" s="3"/>
      <c r="U96" s="3"/>
      <c r="V96" s="3"/>
      <c r="W96" s="3"/>
      <c r="X96" s="3"/>
      <c r="Y96" s="3"/>
      <c r="Z96" s="3"/>
      <c r="AA96" s="3"/>
      <c r="AB96" s="3"/>
    </row>
    <row r="97" spans="1:28" ht="14" x14ac:dyDescent="0.2">
      <c r="A97" s="17" t="s">
        <v>208</v>
      </c>
      <c r="B97" s="146" t="s">
        <v>70</v>
      </c>
      <c r="C97" s="148"/>
      <c r="D97" s="19" t="s">
        <v>206</v>
      </c>
      <c r="E97" s="19" t="s">
        <v>209</v>
      </c>
      <c r="F97" s="20"/>
      <c r="G97" s="20"/>
      <c r="H97" s="146" t="s">
        <v>214</v>
      </c>
      <c r="I97" s="151"/>
      <c r="J97" s="151"/>
      <c r="K97" s="151"/>
      <c r="L97" s="151"/>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215</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210</v>
      </c>
      <c r="F99" s="20"/>
      <c r="G99" s="20"/>
      <c r="H99" s="146" t="s">
        <v>211</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210</v>
      </c>
      <c r="F100" s="20"/>
      <c r="G100" s="20"/>
      <c r="H100" s="146" t="s">
        <v>212</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216</v>
      </c>
      <c r="B101" s="146" t="s">
        <v>217</v>
      </c>
      <c r="C101" s="154"/>
      <c r="D101" s="19" t="s">
        <v>206</v>
      </c>
      <c r="E101" s="19" t="s">
        <v>155</v>
      </c>
      <c r="F101" s="20"/>
      <c r="G101" s="20"/>
      <c r="H101" s="146" t="s">
        <v>218</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79</v>
      </c>
      <c r="B102" s="146" t="s">
        <v>19</v>
      </c>
      <c r="C102" s="148"/>
      <c r="D102" s="19" t="s">
        <v>77</v>
      </c>
      <c r="E102" s="19" t="s">
        <v>153</v>
      </c>
      <c r="F102" s="20"/>
      <c r="G102" s="20"/>
      <c r="H102" s="18" t="s">
        <v>80</v>
      </c>
      <c r="I102" s="28"/>
      <c r="J102" s="28"/>
      <c r="K102" s="28"/>
      <c r="L102" s="28"/>
      <c r="M102" s="29"/>
      <c r="N102" s="3"/>
      <c r="O102" s="3"/>
      <c r="P102" s="3"/>
      <c r="Q102" s="3"/>
      <c r="R102" s="3"/>
      <c r="S102" s="3"/>
      <c r="T102" s="3"/>
      <c r="U102" s="3"/>
      <c r="V102" s="3"/>
      <c r="W102" s="3"/>
      <c r="X102" s="3"/>
      <c r="Y102" s="3"/>
      <c r="Z102" s="3"/>
      <c r="AA102" s="3"/>
      <c r="AB102" s="3"/>
    </row>
    <row r="103" spans="1:28" ht="14" x14ac:dyDescent="0.2">
      <c r="A103" s="17" t="s">
        <v>374</v>
      </c>
      <c r="B103" s="18" t="s">
        <v>375</v>
      </c>
      <c r="C103" s="29"/>
      <c r="D103" s="19" t="s">
        <v>77</v>
      </c>
      <c r="E103" s="39" t="s">
        <v>376</v>
      </c>
      <c r="F103" s="20"/>
      <c r="G103" s="20">
        <v>205</v>
      </c>
      <c r="H103" s="18" t="s">
        <v>377</v>
      </c>
      <c r="I103" s="28"/>
      <c r="J103" s="28"/>
      <c r="K103" s="28"/>
      <c r="L103" s="28"/>
      <c r="M103" s="28"/>
      <c r="N103" s="3"/>
      <c r="O103" s="3"/>
      <c r="P103" s="3"/>
      <c r="Q103" s="3"/>
      <c r="R103" s="3"/>
      <c r="S103" s="3"/>
      <c r="T103" s="3"/>
      <c r="U103" s="3"/>
      <c r="V103" s="3"/>
      <c r="W103" s="3"/>
      <c r="X103" s="3"/>
      <c r="Y103" s="3"/>
      <c r="Z103" s="3"/>
      <c r="AA103" s="3"/>
      <c r="AB103" s="3"/>
    </row>
    <row r="104" spans="1:28" ht="14" x14ac:dyDescent="0.2">
      <c r="A104" s="17" t="s">
        <v>281</v>
      </c>
      <c r="B104" s="146" t="s">
        <v>282</v>
      </c>
      <c r="C104" s="154"/>
      <c r="D104" s="19" t="s">
        <v>77</v>
      </c>
      <c r="E104" s="39" t="s">
        <v>283</v>
      </c>
      <c r="F104" s="20"/>
      <c r="G104" s="20"/>
      <c r="H104" s="146" t="s">
        <v>284</v>
      </c>
      <c r="I104" s="151"/>
      <c r="J104" s="151"/>
      <c r="K104" s="151"/>
      <c r="L104" s="28"/>
      <c r="M104" s="28"/>
      <c r="N104" s="3"/>
      <c r="O104" s="3"/>
      <c r="P104" s="3"/>
      <c r="Q104" s="3"/>
      <c r="R104" s="3"/>
      <c r="S104" s="3"/>
      <c r="T104" s="3"/>
      <c r="U104" s="3"/>
      <c r="V104" s="3"/>
      <c r="W104" s="3"/>
      <c r="X104" s="3"/>
      <c r="Y104" s="3"/>
      <c r="Z104" s="3"/>
      <c r="AA104" s="3"/>
      <c r="AB104" s="3"/>
    </row>
    <row r="105" spans="1:28" ht="14" x14ac:dyDescent="0.2">
      <c r="A105" s="17" t="s">
        <v>219</v>
      </c>
      <c r="B105" s="151" t="s">
        <v>220</v>
      </c>
      <c r="C105" s="148"/>
      <c r="D105" s="19" t="s">
        <v>77</v>
      </c>
      <c r="E105" s="39" t="s">
        <v>155</v>
      </c>
      <c r="F105" s="20"/>
      <c r="G105" s="20"/>
      <c r="H105" s="146" t="s">
        <v>221</v>
      </c>
      <c r="I105" s="151"/>
      <c r="J105" s="151"/>
      <c r="K105" s="151"/>
      <c r="L105" s="154"/>
      <c r="M105" s="18"/>
      <c r="N105" s="3"/>
      <c r="O105" s="3"/>
      <c r="P105" s="3"/>
      <c r="Q105" s="3"/>
      <c r="R105" s="3"/>
      <c r="S105" s="3"/>
      <c r="T105" s="3"/>
      <c r="U105" s="3"/>
      <c r="V105" s="3"/>
      <c r="W105" s="3"/>
      <c r="X105" s="3"/>
      <c r="Y105" s="3"/>
      <c r="Z105" s="3"/>
      <c r="AA105" s="3"/>
      <c r="AB105" s="3"/>
    </row>
    <row r="106" spans="1:28" ht="14" x14ac:dyDescent="0.2">
      <c r="A106" s="24" t="s">
        <v>222</v>
      </c>
      <c r="B106" s="151" t="s">
        <v>220</v>
      </c>
      <c r="C106" s="148"/>
      <c r="D106" s="19" t="s">
        <v>77</v>
      </c>
      <c r="E106" s="39" t="s">
        <v>155</v>
      </c>
      <c r="F106" s="27"/>
      <c r="G106" s="27"/>
      <c r="H106" s="24" t="s">
        <v>326</v>
      </c>
      <c r="I106" s="25"/>
      <c r="J106" s="25"/>
      <c r="K106" s="25"/>
      <c r="L106" s="25"/>
      <c r="M106" s="25"/>
      <c r="N106" s="3"/>
      <c r="O106" s="3"/>
      <c r="P106" s="3"/>
      <c r="Q106" s="3"/>
      <c r="R106" s="3"/>
      <c r="S106" s="3"/>
      <c r="T106" s="3"/>
      <c r="U106" s="3"/>
      <c r="V106" s="3"/>
      <c r="W106" s="3"/>
      <c r="X106" s="3"/>
      <c r="Y106" s="3"/>
      <c r="Z106" s="3"/>
      <c r="AA106" s="3"/>
      <c r="AB106" s="3"/>
    </row>
    <row r="107" spans="1:28" ht="14" x14ac:dyDescent="0.2">
      <c r="A107" s="24" t="s">
        <v>224</v>
      </c>
      <c r="B107" s="151" t="s">
        <v>225</v>
      </c>
      <c r="C107" s="148"/>
      <c r="D107" s="19" t="s">
        <v>77</v>
      </c>
      <c r="E107" s="39" t="s">
        <v>155</v>
      </c>
      <c r="F107" s="27"/>
      <c r="G107" s="27"/>
      <c r="H107" s="24" t="s">
        <v>101</v>
      </c>
      <c r="I107" s="25"/>
      <c r="J107" s="25"/>
      <c r="K107" s="25"/>
      <c r="L107" s="25"/>
      <c r="M107" s="25"/>
      <c r="N107" s="3"/>
      <c r="O107" s="3"/>
      <c r="P107" s="3"/>
      <c r="Q107" s="3"/>
      <c r="R107" s="3"/>
      <c r="S107" s="3"/>
      <c r="T107" s="3"/>
      <c r="U107" s="3"/>
      <c r="V107" s="3"/>
      <c r="W107" s="3"/>
      <c r="X107" s="3"/>
      <c r="Y107" s="3"/>
      <c r="Z107" s="3"/>
      <c r="AA107" s="3"/>
      <c r="AB107" s="3"/>
    </row>
    <row r="108" spans="1:28" ht="14" x14ac:dyDescent="0.2">
      <c r="A108" s="3"/>
      <c r="B108" s="3"/>
      <c r="C108" s="3"/>
      <c r="D108" s="3"/>
      <c r="F108" s="23">
        <f>SUM(F78:F107)</f>
        <v>0</v>
      </c>
      <c r="G108" s="23">
        <f>SUM(G79:G107)</f>
        <v>8927.51</v>
      </c>
      <c r="H108" s="3"/>
      <c r="I108" s="3"/>
      <c r="N108" s="3"/>
      <c r="O108" s="3"/>
      <c r="P108" s="3"/>
      <c r="Q108" s="3"/>
      <c r="R108" s="3"/>
      <c r="S108" s="3"/>
      <c r="T108" s="3"/>
      <c r="U108" s="3"/>
      <c r="V108" s="3"/>
      <c r="W108" s="3"/>
      <c r="X108" s="3"/>
      <c r="Y108" s="3"/>
      <c r="Z108" s="3"/>
      <c r="AA108" s="3"/>
      <c r="AB108" s="3"/>
    </row>
    <row r="109" spans="1:28"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4" x14ac:dyDescent="0.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sheetData>
  <mergeCells count="38">
    <mergeCell ref="B88:C88"/>
    <mergeCell ref="B77:C77"/>
    <mergeCell ref="B78:C78"/>
    <mergeCell ref="B79:C79"/>
    <mergeCell ref="B80:C80"/>
    <mergeCell ref="B81:C81"/>
    <mergeCell ref="B82:C82"/>
    <mergeCell ref="B83:C83"/>
    <mergeCell ref="B84:C84"/>
    <mergeCell ref="B85:C85"/>
    <mergeCell ref="B86:C86"/>
    <mergeCell ref="B87:C87"/>
    <mergeCell ref="B98:C98"/>
    <mergeCell ref="H98:L98"/>
    <mergeCell ref="B89:C89"/>
    <mergeCell ref="B91:C91"/>
    <mergeCell ref="B92:C92"/>
    <mergeCell ref="B93:C93"/>
    <mergeCell ref="B94:C94"/>
    <mergeCell ref="B95:C95"/>
    <mergeCell ref="H95:L95"/>
    <mergeCell ref="B96:C96"/>
    <mergeCell ref="H96:L96"/>
    <mergeCell ref="B97:C97"/>
    <mergeCell ref="H97:L97"/>
    <mergeCell ref="B99:C99"/>
    <mergeCell ref="H99:L99"/>
    <mergeCell ref="B100:C100"/>
    <mergeCell ref="H100:L100"/>
    <mergeCell ref="B101:C101"/>
    <mergeCell ref="H101:L101"/>
    <mergeCell ref="B107:C107"/>
    <mergeCell ref="B102:C102"/>
    <mergeCell ref="B104:C104"/>
    <mergeCell ref="H104:K104"/>
    <mergeCell ref="B105:C105"/>
    <mergeCell ref="H105:L105"/>
    <mergeCell ref="B106:C106"/>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3D5E-4615-624E-8536-FB11B831201E}">
  <sheetPr>
    <outlinePr summaryBelow="0" summaryRight="0"/>
    <pageSetUpPr fitToPage="1"/>
  </sheetPr>
  <dimension ref="A1:AB1055"/>
  <sheetViews>
    <sheetView topLeftCell="A16" zoomScale="120" zoomScaleNormal="120" workbookViewId="0">
      <selection activeCell="J35" sqref="J35"/>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45992</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B9+B60+37701</f>
        <v>378514</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f>(36*23)*8.5</f>
        <v>7038</v>
      </c>
      <c r="C4" s="35" t="s">
        <v>387</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7065.83</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27.829999999999927</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c r="D13" s="3">
        <v>176.96</v>
      </c>
      <c r="E13" s="3"/>
      <c r="F13" s="3">
        <v>30.48</v>
      </c>
      <c r="G13" s="3">
        <v>10.54</v>
      </c>
      <c r="H13" s="3">
        <v>1.25</v>
      </c>
      <c r="I13" s="3">
        <v>9.84</v>
      </c>
      <c r="J13" s="3">
        <v>17.75</v>
      </c>
      <c r="K13" s="3">
        <v>31.43</v>
      </c>
      <c r="L13" s="3">
        <v>57.42</v>
      </c>
      <c r="M13" s="3">
        <v>9</v>
      </c>
      <c r="N13" s="3">
        <v>43.75</v>
      </c>
      <c r="O13" s="3">
        <v>455.53</v>
      </c>
      <c r="P13" s="3">
        <v>1762.5</v>
      </c>
      <c r="Q13" s="3">
        <v>630</v>
      </c>
      <c r="R13" s="3">
        <v>33.5</v>
      </c>
      <c r="S13" s="3">
        <v>0.25</v>
      </c>
      <c r="T13" s="34">
        <f>SUM(C13:S13)</f>
        <v>3270.2</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68.599999999999994</v>
      </c>
      <c r="D18" s="3">
        <v>22.54</v>
      </c>
      <c r="E18" s="3"/>
      <c r="F18" s="3"/>
      <c r="G18" s="3">
        <v>20.54</v>
      </c>
      <c r="H18" s="3">
        <v>3.5</v>
      </c>
      <c r="I18" s="3">
        <v>0.49</v>
      </c>
      <c r="J18" s="34">
        <f t="shared" si="0"/>
        <v>115.66999999999997</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t="s">
        <v>34</v>
      </c>
      <c r="M19" s="3"/>
      <c r="N19" s="126" t="s">
        <v>98</v>
      </c>
      <c r="O19" s="3" t="s">
        <v>336</v>
      </c>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t="s">
        <v>333</v>
      </c>
      <c r="M20" s="3"/>
      <c r="N20" s="126"/>
      <c r="O20" s="3" t="s">
        <v>350</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v>15.08</v>
      </c>
      <c r="D22" s="3">
        <v>11.58</v>
      </c>
      <c r="E22" s="3"/>
      <c r="F22" s="3">
        <v>8.5</v>
      </c>
      <c r="G22" s="3">
        <v>4.75</v>
      </c>
      <c r="H22" s="3"/>
      <c r="I22" s="3">
        <v>1.5</v>
      </c>
      <c r="J22" s="34">
        <f t="shared" si="0"/>
        <v>41.41</v>
      </c>
      <c r="K22" s="3"/>
      <c r="L22" s="3" t="s">
        <v>333</v>
      </c>
      <c r="M22" s="3"/>
      <c r="N22" s="125"/>
      <c r="O22" s="3" t="s">
        <v>363</v>
      </c>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c r="K23" s="3"/>
      <c r="L23" s="3"/>
      <c r="M23" s="3"/>
      <c r="N23" s="125"/>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c r="K24" s="3"/>
      <c r="L24" s="3"/>
      <c r="M24" s="3"/>
      <c r="N24" s="125"/>
      <c r="O24" s="3"/>
      <c r="P24" s="3"/>
      <c r="Q24" s="3"/>
      <c r="R24" s="3"/>
      <c r="S24" s="3"/>
      <c r="T24" s="3"/>
      <c r="U24" s="3"/>
      <c r="V24" s="3"/>
      <c r="W24" s="3"/>
      <c r="X24" s="3"/>
      <c r="Y24" s="3"/>
      <c r="Z24" s="3"/>
      <c r="AA24" s="3"/>
      <c r="AB24" s="3"/>
    </row>
    <row r="25" spans="1:28" ht="14" x14ac:dyDescent="0.2">
      <c r="A25" s="3" t="s">
        <v>14</v>
      </c>
      <c r="B25" s="3" t="s">
        <v>133</v>
      </c>
      <c r="C25" s="3">
        <v>482.09</v>
      </c>
      <c r="D25" s="3">
        <v>291.82</v>
      </c>
      <c r="E25" s="3">
        <v>129.84</v>
      </c>
      <c r="F25" s="3">
        <v>118.25</v>
      </c>
      <c r="G25" s="3">
        <v>67.25</v>
      </c>
      <c r="H25" s="3">
        <v>1.25</v>
      </c>
      <c r="I25" s="3">
        <v>21.67</v>
      </c>
      <c r="J25" s="34">
        <f t="shared" si="0"/>
        <v>1112.17</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c r="D26" s="3">
        <v>43.67</v>
      </c>
      <c r="E26" s="3"/>
      <c r="F26" s="3">
        <v>81.5</v>
      </c>
      <c r="G26" s="3"/>
      <c r="H26" s="3">
        <v>57.5</v>
      </c>
      <c r="I26" s="3"/>
      <c r="J26" s="34">
        <f t="shared" si="0"/>
        <v>182.67000000000002</v>
      </c>
      <c r="K26" s="3"/>
      <c r="L26" s="3" t="s">
        <v>34</v>
      </c>
      <c r="M26" s="3"/>
      <c r="N26" s="126" t="s">
        <v>98</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c r="K27" s="3"/>
      <c r="L27" s="3"/>
      <c r="M27" s="3"/>
      <c r="N27" s="126"/>
      <c r="O27" s="3"/>
      <c r="P27" s="3"/>
      <c r="Q27" s="3"/>
      <c r="R27" s="3"/>
      <c r="S27" s="3"/>
      <c r="T27" s="3"/>
      <c r="U27" s="3"/>
      <c r="V27" s="3"/>
      <c r="W27" s="3"/>
      <c r="X27" s="3"/>
      <c r="Y27" s="3"/>
      <c r="Z27" s="3"/>
      <c r="AA27" s="3"/>
      <c r="AB27" s="3"/>
    </row>
    <row r="28" spans="1:28" ht="14" x14ac:dyDescent="0.2">
      <c r="A28" s="3" t="s">
        <v>122</v>
      </c>
      <c r="B28" s="3" t="s">
        <v>134</v>
      </c>
      <c r="C28" s="3"/>
      <c r="D28" s="3"/>
      <c r="E28" s="3"/>
      <c r="F28" s="3"/>
      <c r="G28" s="3"/>
      <c r="H28" s="3"/>
      <c r="I28" s="3"/>
      <c r="J28" s="34">
        <f t="shared" si="0"/>
        <v>0</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v>70.75</v>
      </c>
      <c r="D29" s="3">
        <v>9.42</v>
      </c>
      <c r="E29" s="3"/>
      <c r="F29" s="3">
        <v>13.75</v>
      </c>
      <c r="G29" s="3"/>
      <c r="H29" s="3">
        <v>0.5</v>
      </c>
      <c r="I29" s="3"/>
      <c r="J29" s="34">
        <f t="shared" si="0"/>
        <v>94.42</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c r="D30" s="3">
        <v>0.5</v>
      </c>
      <c r="E30" s="3"/>
      <c r="F30" s="3">
        <v>8.75</v>
      </c>
      <c r="G30" s="3"/>
      <c r="H30" s="3"/>
      <c r="I30" s="3"/>
      <c r="J30" s="34">
        <f t="shared" si="0"/>
        <v>9.25</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38.479999999999997</v>
      </c>
      <c r="D31" s="3">
        <v>15.5</v>
      </c>
      <c r="E31" s="3">
        <v>36</v>
      </c>
      <c r="F31" s="3"/>
      <c r="G31" s="3"/>
      <c r="H31" s="3">
        <v>39.25</v>
      </c>
      <c r="I31" s="3"/>
      <c r="J31" s="34">
        <f t="shared" si="0"/>
        <v>129.22999999999999</v>
      </c>
      <c r="K31" s="3"/>
      <c r="L31" s="3" t="s">
        <v>53</v>
      </c>
      <c r="M31" s="3"/>
      <c r="N31" s="125">
        <v>46054</v>
      </c>
      <c r="O31" s="3" t="s">
        <v>352</v>
      </c>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126"/>
      <c r="O32" s="3"/>
      <c r="P32" s="3"/>
      <c r="Q32" s="3"/>
      <c r="R32" s="3"/>
      <c r="S32" s="3"/>
      <c r="T32" s="3"/>
      <c r="U32" s="3"/>
      <c r="V32" s="3"/>
      <c r="W32" s="3"/>
      <c r="X32" s="3"/>
      <c r="Y32" s="3"/>
      <c r="Z32" s="3"/>
      <c r="AA32" s="3"/>
      <c r="AB32" s="3"/>
    </row>
    <row r="33" spans="1:28" ht="14" x14ac:dyDescent="0.2">
      <c r="A33" s="3" t="s">
        <v>16</v>
      </c>
      <c r="B33" s="3" t="s">
        <v>180</v>
      </c>
      <c r="C33" s="3"/>
      <c r="D33" s="3">
        <v>49.35</v>
      </c>
      <c r="E33" s="3"/>
      <c r="F33" s="3">
        <v>22.25</v>
      </c>
      <c r="G33" s="3"/>
      <c r="H33" s="3">
        <v>1.5</v>
      </c>
      <c r="I33" s="3">
        <v>1.5</v>
      </c>
      <c r="J33" s="34">
        <f t="shared" si="0"/>
        <v>74.599999999999994</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c r="D34" s="3">
        <v>32.58</v>
      </c>
      <c r="E34" s="3"/>
      <c r="F34" s="3">
        <v>25.28</v>
      </c>
      <c r="G34" s="3"/>
      <c r="H34" s="3"/>
      <c r="I34" s="3"/>
      <c r="J34" s="34">
        <f t="shared" si="0"/>
        <v>57.86</v>
      </c>
      <c r="K34" s="3"/>
      <c r="L34" s="3" t="s">
        <v>34</v>
      </c>
      <c r="M34" s="3"/>
      <c r="N34" s="126" t="s">
        <v>98</v>
      </c>
      <c r="O34" s="3" t="s">
        <v>353</v>
      </c>
      <c r="P34" s="3"/>
      <c r="Q34" s="3"/>
      <c r="R34" s="3"/>
      <c r="S34" s="3"/>
      <c r="T34" s="3"/>
      <c r="U34" s="3"/>
      <c r="V34" s="3"/>
      <c r="W34" s="3"/>
      <c r="X34" s="3"/>
      <c r="Y34" s="3"/>
      <c r="Z34" s="3"/>
      <c r="AA34" s="3"/>
      <c r="AB34" s="3"/>
    </row>
    <row r="35" spans="1:28" ht="14" x14ac:dyDescent="0.2">
      <c r="A35" s="3" t="s">
        <v>162</v>
      </c>
      <c r="B35" s="3"/>
      <c r="C35" s="3"/>
      <c r="D35" s="3">
        <v>4.75</v>
      </c>
      <c r="E35" s="3"/>
      <c r="F35" s="3">
        <v>19.5</v>
      </c>
      <c r="G35" s="3"/>
      <c r="H35" s="3"/>
      <c r="I35" s="3"/>
      <c r="J35" s="34">
        <f t="shared" si="0"/>
        <v>24.25</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c r="K36" s="3"/>
      <c r="L36" s="3"/>
      <c r="M36" s="3"/>
      <c r="N36" s="126"/>
      <c r="O36" s="3"/>
      <c r="P36" s="3"/>
      <c r="Q36" s="3"/>
      <c r="R36" s="3"/>
      <c r="S36" s="3"/>
      <c r="T36" s="3"/>
      <c r="U36" s="3"/>
      <c r="V36" s="3"/>
      <c r="W36" s="3"/>
      <c r="X36" s="3"/>
      <c r="Y36" s="3"/>
      <c r="Z36" s="3"/>
      <c r="AA36" s="3"/>
      <c r="AB36" s="3"/>
    </row>
    <row r="37" spans="1:28" ht="14" x14ac:dyDescent="0.2">
      <c r="A37" s="3" t="s">
        <v>171</v>
      </c>
      <c r="B37" s="3" t="s">
        <v>181</v>
      </c>
      <c r="C37" s="3"/>
      <c r="D37" s="3">
        <v>1.75</v>
      </c>
      <c r="E37" s="3"/>
      <c r="F37" s="3"/>
      <c r="G37" s="3"/>
      <c r="H37" s="3"/>
      <c r="I37" s="3"/>
      <c r="J37" s="34">
        <f t="shared" si="0"/>
        <v>1.75</v>
      </c>
      <c r="K37" s="3"/>
      <c r="L37" s="3" t="s">
        <v>53</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37.479999999999997</v>
      </c>
      <c r="D39" s="3">
        <v>28.75</v>
      </c>
      <c r="E39" s="3">
        <v>54.42</v>
      </c>
      <c r="F39" s="3">
        <v>24</v>
      </c>
      <c r="G39" s="3"/>
      <c r="H39" s="3">
        <v>3.5</v>
      </c>
      <c r="I39" s="3">
        <v>1.5</v>
      </c>
      <c r="J39" s="34">
        <f t="shared" si="0"/>
        <v>149.64999999999998</v>
      </c>
      <c r="K39" s="3"/>
      <c r="L39" s="3" t="s">
        <v>53</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v>1</v>
      </c>
      <c r="E40" s="3"/>
      <c r="F40" s="3">
        <v>0.75</v>
      </c>
      <c r="G40" s="3"/>
      <c r="H40" s="3"/>
      <c r="I40" s="3"/>
      <c r="J40" s="34">
        <f t="shared" si="0"/>
        <v>1.75</v>
      </c>
      <c r="K40" s="3"/>
      <c r="L40" s="3" t="s">
        <v>333</v>
      </c>
      <c r="M40" s="3"/>
      <c r="N40" s="126"/>
      <c r="O40" s="3" t="s">
        <v>396</v>
      </c>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c r="K41" s="3"/>
      <c r="L41" s="3"/>
      <c r="M41" s="3"/>
      <c r="N41" s="126"/>
      <c r="O41" s="3"/>
      <c r="P41" s="3"/>
      <c r="Q41" s="3"/>
      <c r="R41" s="3"/>
      <c r="S41" s="3"/>
      <c r="T41" s="3"/>
      <c r="U41" s="3"/>
      <c r="V41" s="3"/>
      <c r="W41" s="3"/>
      <c r="X41" s="3"/>
      <c r="Y41" s="3"/>
      <c r="Z41" s="3"/>
      <c r="AA41" s="3"/>
      <c r="AB41" s="3"/>
    </row>
    <row r="42" spans="1:28" ht="14" x14ac:dyDescent="0.2">
      <c r="A42" s="3" t="s">
        <v>371</v>
      </c>
      <c r="B42" s="3" t="s">
        <v>141</v>
      </c>
      <c r="C42" s="3"/>
      <c r="D42" s="3">
        <v>11</v>
      </c>
      <c r="E42" s="3"/>
      <c r="F42" s="3">
        <v>3.41</v>
      </c>
      <c r="G42" s="3"/>
      <c r="H42" s="3">
        <v>24.25</v>
      </c>
      <c r="I42" s="3"/>
      <c r="J42" s="34">
        <f t="shared" si="0"/>
        <v>38.659999999999997</v>
      </c>
      <c r="K42" s="3"/>
      <c r="L42" s="3" t="s">
        <v>34</v>
      </c>
      <c r="M42" s="3"/>
      <c r="N42" s="126" t="s">
        <v>98</v>
      </c>
      <c r="O42" s="3" t="s">
        <v>379</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464.31</v>
      </c>
      <c r="D44" s="3">
        <v>168.52</v>
      </c>
      <c r="E44" s="3">
        <v>60.75</v>
      </c>
      <c r="F44" s="3">
        <v>71</v>
      </c>
      <c r="G44" s="3"/>
      <c r="H44" s="3">
        <v>5.5</v>
      </c>
      <c r="I44" s="3">
        <v>2.62</v>
      </c>
      <c r="J44" s="34">
        <f t="shared" si="0"/>
        <v>772.7</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244.84</v>
      </c>
      <c r="D45" s="3">
        <v>67.55</v>
      </c>
      <c r="E45" s="3"/>
      <c r="F45" s="3">
        <v>63.5</v>
      </c>
      <c r="G45" s="3">
        <v>9.5</v>
      </c>
      <c r="H45" s="3"/>
      <c r="I45" s="3"/>
      <c r="J45" s="34">
        <f t="shared" si="0"/>
        <v>385.39</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c r="K46" s="3"/>
      <c r="L46" s="3"/>
      <c r="M46" s="3"/>
      <c r="N46" s="126"/>
      <c r="O46" s="3"/>
      <c r="P46" s="3"/>
      <c r="Q46" s="3"/>
      <c r="R46" s="3"/>
      <c r="S46" s="3"/>
      <c r="T46" s="3"/>
      <c r="U46" s="3"/>
      <c r="V46" s="3"/>
      <c r="W46" s="3"/>
      <c r="X46" s="3"/>
      <c r="Y46" s="3"/>
      <c r="Z46" s="3"/>
      <c r="AA46" s="3"/>
      <c r="AB46" s="3"/>
    </row>
    <row r="47" spans="1:28" ht="14" x14ac:dyDescent="0.2">
      <c r="A47" s="3" t="s">
        <v>187</v>
      </c>
      <c r="B47" s="3"/>
      <c r="C47" s="3"/>
      <c r="D47" s="3">
        <v>5.25</v>
      </c>
      <c r="E47" s="3"/>
      <c r="F47" s="3"/>
      <c r="G47" s="3"/>
      <c r="H47" s="3">
        <v>0.75</v>
      </c>
      <c r="I47" s="3"/>
      <c r="J47" s="34">
        <f t="shared" si="0"/>
        <v>6</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c r="D48" s="3">
        <v>6.5</v>
      </c>
      <c r="E48" s="3"/>
      <c r="F48" s="3">
        <v>1.25</v>
      </c>
      <c r="G48" s="3"/>
      <c r="H48" s="3">
        <v>12</v>
      </c>
      <c r="I48" s="3"/>
      <c r="J48" s="34">
        <f t="shared" si="0"/>
        <v>19.75</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365</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52</v>
      </c>
      <c r="D53" s="3">
        <v>32</v>
      </c>
      <c r="E53" s="3">
        <v>19.5</v>
      </c>
      <c r="F53" s="3">
        <v>80</v>
      </c>
      <c r="G53" s="3"/>
      <c r="H53" s="3"/>
      <c r="I53" s="3"/>
      <c r="J53" s="34">
        <f t="shared" si="0"/>
        <v>183.5</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c r="K55" s="3"/>
      <c r="L55" s="3"/>
      <c r="M55" s="3"/>
      <c r="N55" s="126"/>
      <c r="O55" s="3"/>
      <c r="P55" s="3"/>
      <c r="Q55" s="3"/>
      <c r="R55" s="3"/>
      <c r="S55" s="3"/>
      <c r="T55" s="3"/>
      <c r="U55" s="3"/>
      <c r="V55" s="3"/>
      <c r="W55" s="3"/>
      <c r="X55" s="3"/>
      <c r="Y55" s="3"/>
      <c r="Z55" s="3"/>
      <c r="AA55" s="3"/>
      <c r="AB55" s="3"/>
    </row>
    <row r="56" spans="1:28" ht="14" x14ac:dyDescent="0.2">
      <c r="A56" s="3" t="s">
        <v>21</v>
      </c>
      <c r="B56" s="3" t="s">
        <v>148</v>
      </c>
      <c r="C56" s="3">
        <v>33.35</v>
      </c>
      <c r="D56" s="3">
        <v>31.84</v>
      </c>
      <c r="E56" s="3"/>
      <c r="F56" s="3">
        <v>16.5</v>
      </c>
      <c r="G56" s="3"/>
      <c r="H56" s="3"/>
      <c r="I56" s="3">
        <v>0.5</v>
      </c>
      <c r="J56" s="34">
        <f t="shared" si="0"/>
        <v>82.19</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3482.87</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0.75</v>
      </c>
      <c r="D64" s="3"/>
      <c r="E64" s="3"/>
      <c r="F64" s="3"/>
      <c r="G64" s="1">
        <f t="shared" ref="G64:G71" si="1">SUM(C64:F64)</f>
        <v>0.75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143.46</v>
      </c>
      <c r="D65" s="3"/>
      <c r="E65" s="3">
        <v>47.6</v>
      </c>
      <c r="F65" s="3"/>
      <c r="G65" s="1">
        <f t="shared" si="1"/>
        <v>191.06</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6.9</v>
      </c>
      <c r="D66" s="3"/>
      <c r="E66" s="3">
        <v>2</v>
      </c>
      <c r="F66" s="3"/>
      <c r="G66" s="1">
        <f t="shared" si="1"/>
        <v>8.9</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72.69</v>
      </c>
      <c r="D67" s="3"/>
      <c r="E67" s="3">
        <v>2.5</v>
      </c>
      <c r="F67" s="3"/>
      <c r="G67" s="1">
        <f t="shared" si="1"/>
        <v>75.19</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19.09</v>
      </c>
      <c r="D68" s="3"/>
      <c r="E68" s="3">
        <v>11.35</v>
      </c>
      <c r="F68" s="3"/>
      <c r="G68" s="1">
        <f t="shared" si="1"/>
        <v>30.439999999999998</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5.92</v>
      </c>
      <c r="D71" s="3"/>
      <c r="E71" s="3">
        <v>0.5</v>
      </c>
      <c r="F71" s="3"/>
      <c r="G71" s="1">
        <f t="shared" si="1"/>
        <v>6.42</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248.81</v>
      </c>
      <c r="D72" s="1">
        <f>SUM(D63:D71)</f>
        <v>0</v>
      </c>
      <c r="E72" s="1">
        <f>SUM(E63:E71)</f>
        <v>63.95</v>
      </c>
      <c r="F72" s="1">
        <f>SUM(F63:F71)</f>
        <v>0</v>
      </c>
      <c r="G72" s="1">
        <f>SUM(C72:F72)</f>
        <v>312.76</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3876.74</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59.95</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402</v>
      </c>
      <c r="B95" s="18" t="s">
        <v>403</v>
      </c>
      <c r="C95" s="29"/>
      <c r="D95" s="19" t="s">
        <v>77</v>
      </c>
      <c r="E95" s="19" t="s">
        <v>376</v>
      </c>
      <c r="F95" s="20"/>
      <c r="G95" s="20"/>
      <c r="H95" s="18" t="s">
        <v>404</v>
      </c>
      <c r="I95" s="28"/>
      <c r="J95" s="28"/>
      <c r="K95" s="28"/>
      <c r="L95" s="28"/>
      <c r="M95" s="29"/>
      <c r="N95" s="3"/>
      <c r="O95" s="3"/>
      <c r="P95" s="3"/>
      <c r="Q95" s="3"/>
      <c r="R95" s="3"/>
      <c r="S95" s="3"/>
      <c r="T95" s="3"/>
      <c r="U95" s="3"/>
      <c r="V95" s="3"/>
      <c r="W95" s="3"/>
      <c r="X95" s="3"/>
      <c r="Y95" s="3"/>
      <c r="Z95" s="3"/>
      <c r="AA95" s="3"/>
      <c r="AB95" s="3"/>
    </row>
    <row r="96" spans="1:28" ht="14" x14ac:dyDescent="0.2">
      <c r="A96" s="17" t="s">
        <v>205</v>
      </c>
      <c r="B96" s="146" t="s">
        <v>70</v>
      </c>
      <c r="C96" s="154"/>
      <c r="D96" s="19" t="s">
        <v>206</v>
      </c>
      <c r="E96" s="19" t="s">
        <v>153</v>
      </c>
      <c r="F96" s="20"/>
      <c r="G96" s="20">
        <v>1214.54</v>
      </c>
      <c r="H96" s="146" t="s">
        <v>388</v>
      </c>
      <c r="I96" s="155"/>
      <c r="J96" s="155"/>
      <c r="K96" s="155"/>
      <c r="L96" s="155"/>
      <c r="M96" s="29"/>
      <c r="N96" s="3"/>
      <c r="O96" s="3"/>
      <c r="P96" s="3"/>
      <c r="Q96" s="3"/>
      <c r="R96" s="3"/>
      <c r="S96" s="3"/>
      <c r="T96" s="3"/>
      <c r="U96" s="3"/>
      <c r="V96" s="3"/>
      <c r="W96" s="3"/>
      <c r="X96" s="3"/>
      <c r="Y96" s="3"/>
      <c r="Z96" s="3"/>
      <c r="AA96" s="3"/>
      <c r="AB96" s="3"/>
    </row>
    <row r="97" spans="1:28" ht="14" x14ac:dyDescent="0.2">
      <c r="A97" s="17" t="s">
        <v>389</v>
      </c>
      <c r="B97" s="146" t="s">
        <v>390</v>
      </c>
      <c r="C97" s="154"/>
      <c r="D97" s="19" t="s">
        <v>206</v>
      </c>
      <c r="E97" s="19" t="s">
        <v>283</v>
      </c>
      <c r="F97" s="20"/>
      <c r="G97" s="20">
        <v>2595.96</v>
      </c>
      <c r="H97" s="18" t="s">
        <v>398</v>
      </c>
      <c r="I97" s="129"/>
      <c r="J97" s="129"/>
      <c r="K97" s="129"/>
      <c r="L97" s="129"/>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213</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209</v>
      </c>
      <c r="F99" s="20"/>
      <c r="G99" s="20"/>
      <c r="H99" s="146" t="s">
        <v>214</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209</v>
      </c>
      <c r="F100" s="20"/>
      <c r="G100" s="20"/>
      <c r="H100" s="146" t="s">
        <v>215</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208</v>
      </c>
      <c r="B101" s="146" t="s">
        <v>70</v>
      </c>
      <c r="C101" s="148"/>
      <c r="D101" s="19" t="s">
        <v>206</v>
      </c>
      <c r="E101" s="19" t="s">
        <v>210</v>
      </c>
      <c r="F101" s="20"/>
      <c r="G101" s="20"/>
      <c r="H101" s="146" t="s">
        <v>211</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208</v>
      </c>
      <c r="B102" s="146" t="s">
        <v>70</v>
      </c>
      <c r="C102" s="148"/>
      <c r="D102" s="19" t="s">
        <v>206</v>
      </c>
      <c r="E102" s="19" t="s">
        <v>210</v>
      </c>
      <c r="F102" s="20"/>
      <c r="G102" s="20"/>
      <c r="H102" s="146" t="s">
        <v>212</v>
      </c>
      <c r="I102" s="151"/>
      <c r="J102" s="151"/>
      <c r="K102" s="151"/>
      <c r="L102" s="151"/>
      <c r="M102" s="29"/>
      <c r="N102" s="3"/>
      <c r="O102" s="3"/>
      <c r="P102" s="3"/>
      <c r="Q102" s="3"/>
      <c r="R102" s="3"/>
      <c r="S102" s="3"/>
      <c r="T102" s="3"/>
      <c r="U102" s="3"/>
      <c r="V102" s="3"/>
      <c r="W102" s="3"/>
      <c r="X102" s="3"/>
      <c r="Y102" s="3"/>
      <c r="Z102" s="3"/>
      <c r="AA102" s="3"/>
      <c r="AB102" s="3"/>
    </row>
    <row r="103" spans="1:28" ht="14" x14ac:dyDescent="0.2">
      <c r="A103" s="17" t="s">
        <v>216</v>
      </c>
      <c r="B103" s="146" t="s">
        <v>217</v>
      </c>
      <c r="C103" s="154"/>
      <c r="D103" s="19" t="s">
        <v>206</v>
      </c>
      <c r="E103" s="19" t="s">
        <v>155</v>
      </c>
      <c r="F103" s="20"/>
      <c r="G103" s="20"/>
      <c r="H103" s="146" t="s">
        <v>218</v>
      </c>
      <c r="I103" s="151"/>
      <c r="J103" s="151"/>
      <c r="K103" s="151"/>
      <c r="L103" s="151"/>
      <c r="M103" s="29"/>
      <c r="N103" s="3"/>
      <c r="O103" s="3"/>
      <c r="P103" s="3"/>
      <c r="Q103" s="3"/>
      <c r="R103" s="3"/>
      <c r="S103" s="3"/>
      <c r="T103" s="3"/>
      <c r="U103" s="3"/>
      <c r="V103" s="3"/>
      <c r="W103" s="3"/>
      <c r="X103" s="3"/>
      <c r="Y103" s="3"/>
      <c r="Z103" s="3"/>
      <c r="AA103" s="3"/>
      <c r="AB103" s="3"/>
    </row>
    <row r="104" spans="1:28" ht="14" x14ac:dyDescent="0.2">
      <c r="A104" s="17" t="s">
        <v>391</v>
      </c>
      <c r="B104" s="146" t="s">
        <v>19</v>
      </c>
      <c r="C104" s="148"/>
      <c r="D104" s="19" t="s">
        <v>77</v>
      </c>
      <c r="E104" s="19" t="s">
        <v>392</v>
      </c>
      <c r="F104" s="20"/>
      <c r="G104" s="20">
        <v>6160</v>
      </c>
      <c r="H104" s="18" t="s">
        <v>395</v>
      </c>
      <c r="I104" s="30"/>
      <c r="J104" s="30"/>
      <c r="K104" s="30"/>
      <c r="L104" s="30"/>
      <c r="M104" s="29"/>
      <c r="N104" s="3"/>
      <c r="O104" s="3"/>
      <c r="P104" s="3"/>
      <c r="Q104" s="3"/>
      <c r="R104" s="3"/>
      <c r="S104" s="3"/>
      <c r="T104" s="3"/>
      <c r="U104" s="3"/>
      <c r="V104" s="3"/>
      <c r="W104" s="3"/>
      <c r="X104" s="3"/>
      <c r="Y104" s="3"/>
      <c r="Z104" s="3"/>
      <c r="AA104" s="3"/>
      <c r="AB104" s="3"/>
    </row>
    <row r="105" spans="1:28" ht="14" x14ac:dyDescent="0.2">
      <c r="A105" s="17" t="s">
        <v>393</v>
      </c>
      <c r="B105" s="146" t="s">
        <v>19</v>
      </c>
      <c r="C105" s="148"/>
      <c r="D105" s="19" t="s">
        <v>77</v>
      </c>
      <c r="E105" s="19" t="s">
        <v>153</v>
      </c>
      <c r="F105" s="20"/>
      <c r="G105" s="20">
        <v>686.4</v>
      </c>
      <c r="H105" s="18" t="s">
        <v>394</v>
      </c>
      <c r="I105" s="28"/>
      <c r="J105" s="28"/>
      <c r="K105" s="28"/>
      <c r="L105" s="28"/>
      <c r="M105" s="29"/>
      <c r="N105" s="3"/>
      <c r="O105" s="3"/>
      <c r="P105" s="3"/>
      <c r="Q105" s="3"/>
      <c r="R105" s="3"/>
      <c r="S105" s="3"/>
      <c r="T105" s="3"/>
      <c r="U105" s="3"/>
      <c r="V105" s="3"/>
      <c r="W105" s="3"/>
      <c r="X105" s="3"/>
      <c r="Y105" s="3"/>
      <c r="Z105" s="3"/>
      <c r="AA105" s="3"/>
      <c r="AB105" s="3"/>
    </row>
    <row r="106" spans="1:28" ht="14" x14ac:dyDescent="0.2">
      <c r="A106" s="17" t="s">
        <v>374</v>
      </c>
      <c r="B106" s="18" t="s">
        <v>375</v>
      </c>
      <c r="C106" s="29"/>
      <c r="D106" s="19" t="s">
        <v>77</v>
      </c>
      <c r="E106" s="39" t="s">
        <v>376</v>
      </c>
      <c r="F106" s="20"/>
      <c r="G106" s="20">
        <v>205</v>
      </c>
      <c r="H106" s="18" t="s">
        <v>377</v>
      </c>
      <c r="I106" s="28"/>
      <c r="J106" s="28"/>
      <c r="K106" s="28"/>
      <c r="L106" s="28"/>
      <c r="M106" s="28"/>
      <c r="N106" s="3"/>
      <c r="O106" s="3"/>
      <c r="P106" s="3"/>
      <c r="Q106" s="3"/>
      <c r="R106" s="3"/>
      <c r="S106" s="3"/>
      <c r="T106" s="3"/>
      <c r="U106" s="3"/>
      <c r="V106" s="3"/>
      <c r="W106" s="3"/>
      <c r="X106" s="3"/>
      <c r="Y106" s="3"/>
      <c r="Z106" s="3"/>
      <c r="AA106" s="3"/>
      <c r="AB106" s="3"/>
    </row>
    <row r="107" spans="1:28" ht="14" x14ac:dyDescent="0.2">
      <c r="A107" s="17" t="s">
        <v>281</v>
      </c>
      <c r="B107" s="146" t="s">
        <v>282</v>
      </c>
      <c r="C107" s="154"/>
      <c r="D107" s="19" t="s">
        <v>77</v>
      </c>
      <c r="E107" s="39" t="s">
        <v>283</v>
      </c>
      <c r="F107" s="20"/>
      <c r="G107" s="20"/>
      <c r="H107" s="146" t="s">
        <v>284</v>
      </c>
      <c r="I107" s="151"/>
      <c r="J107" s="151"/>
      <c r="K107" s="151"/>
      <c r="L107" s="28"/>
      <c r="M107" s="28"/>
      <c r="N107" s="3"/>
      <c r="O107" s="3"/>
      <c r="P107" s="3"/>
      <c r="Q107" s="3"/>
      <c r="R107" s="3"/>
      <c r="S107" s="3"/>
      <c r="T107" s="3"/>
      <c r="U107" s="3"/>
      <c r="V107" s="3"/>
      <c r="W107" s="3"/>
      <c r="X107" s="3"/>
      <c r="Y107" s="3"/>
      <c r="Z107" s="3"/>
      <c r="AA107" s="3"/>
      <c r="AB107" s="3"/>
    </row>
    <row r="108" spans="1:28" ht="14" x14ac:dyDescent="0.2">
      <c r="A108" s="17" t="s">
        <v>219</v>
      </c>
      <c r="B108" s="151" t="s">
        <v>220</v>
      </c>
      <c r="C108" s="148"/>
      <c r="D108" s="19" t="s">
        <v>77</v>
      </c>
      <c r="E108" s="39" t="s">
        <v>155</v>
      </c>
      <c r="F108" s="20"/>
      <c r="G108" s="20"/>
      <c r="H108" s="146" t="s">
        <v>221</v>
      </c>
      <c r="I108" s="151"/>
      <c r="J108" s="151"/>
      <c r="K108" s="151"/>
      <c r="L108" s="154"/>
      <c r="M108" s="18"/>
      <c r="N108" s="3"/>
      <c r="O108" s="3"/>
      <c r="P108" s="3"/>
      <c r="Q108" s="3"/>
      <c r="R108" s="3"/>
      <c r="S108" s="3"/>
      <c r="T108" s="3"/>
      <c r="U108" s="3"/>
      <c r="V108" s="3"/>
      <c r="W108" s="3"/>
      <c r="X108" s="3"/>
      <c r="Y108" s="3"/>
      <c r="Z108" s="3"/>
      <c r="AA108" s="3"/>
      <c r="AB108" s="3"/>
    </row>
    <row r="109" spans="1:28" ht="14" x14ac:dyDescent="0.2">
      <c r="A109" s="24" t="s">
        <v>222</v>
      </c>
      <c r="B109" s="151" t="s">
        <v>220</v>
      </c>
      <c r="C109" s="148"/>
      <c r="D109" s="19" t="s">
        <v>77</v>
      </c>
      <c r="E109" s="39" t="s">
        <v>155</v>
      </c>
      <c r="F109" s="27"/>
      <c r="G109" s="27"/>
      <c r="H109" s="24" t="s">
        <v>326</v>
      </c>
      <c r="I109" s="25"/>
      <c r="J109" s="25"/>
      <c r="K109" s="25"/>
      <c r="L109" s="25"/>
      <c r="M109" s="25"/>
      <c r="N109" s="3"/>
      <c r="O109" s="3"/>
      <c r="P109" s="3"/>
      <c r="Q109" s="3"/>
      <c r="R109" s="3"/>
      <c r="S109" s="3"/>
      <c r="T109" s="3"/>
      <c r="U109" s="3"/>
      <c r="V109" s="3"/>
      <c r="W109" s="3"/>
      <c r="X109" s="3"/>
      <c r="Y109" s="3"/>
      <c r="Z109" s="3"/>
      <c r="AA109" s="3"/>
      <c r="AB109" s="3"/>
    </row>
    <row r="110" spans="1:28" ht="14" x14ac:dyDescent="0.2">
      <c r="A110" s="24" t="s">
        <v>224</v>
      </c>
      <c r="B110" s="151" t="s">
        <v>225</v>
      </c>
      <c r="C110" s="148"/>
      <c r="D110" s="19" t="s">
        <v>77</v>
      </c>
      <c r="E110" s="39" t="s">
        <v>155</v>
      </c>
      <c r="F110" s="27"/>
      <c r="G110" s="27"/>
      <c r="H110" s="24" t="s">
        <v>101</v>
      </c>
      <c r="I110" s="25"/>
      <c r="J110" s="25"/>
      <c r="K110" s="25"/>
      <c r="L110" s="25"/>
      <c r="M110" s="25"/>
      <c r="N110" s="3"/>
      <c r="O110" s="3"/>
      <c r="P110" s="3"/>
      <c r="Q110" s="3"/>
      <c r="R110" s="3"/>
      <c r="S110" s="3"/>
      <c r="T110" s="3"/>
      <c r="U110" s="3"/>
      <c r="V110" s="3"/>
      <c r="W110" s="3"/>
      <c r="X110" s="3"/>
      <c r="Y110" s="3"/>
      <c r="Z110" s="3"/>
      <c r="AA110" s="3"/>
      <c r="AB110" s="3"/>
    </row>
    <row r="111" spans="1:28" ht="14" x14ac:dyDescent="0.2">
      <c r="A111" s="3"/>
      <c r="B111" s="3"/>
      <c r="C111" s="3"/>
      <c r="D111" s="3"/>
      <c r="F111" s="23">
        <f>SUM(F78:F110)</f>
        <v>0</v>
      </c>
      <c r="G111" s="23">
        <f>SUM(G79:G110)</f>
        <v>14798.589999999998</v>
      </c>
      <c r="H111" s="3"/>
      <c r="I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4" x14ac:dyDescent="0.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ht="14" x14ac:dyDescent="0.2">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ht="14" x14ac:dyDescent="0.2">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ht="14" x14ac:dyDescent="0.2">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sheetData>
  <mergeCells count="40">
    <mergeCell ref="B88:C88"/>
    <mergeCell ref="B77:C77"/>
    <mergeCell ref="B78:C78"/>
    <mergeCell ref="B79:C79"/>
    <mergeCell ref="B80:C80"/>
    <mergeCell ref="B81:C81"/>
    <mergeCell ref="B82:C82"/>
    <mergeCell ref="B83:C83"/>
    <mergeCell ref="B84:C84"/>
    <mergeCell ref="B85:C85"/>
    <mergeCell ref="B86:C86"/>
    <mergeCell ref="B87:C87"/>
    <mergeCell ref="H100:L100"/>
    <mergeCell ref="B89:C89"/>
    <mergeCell ref="B91:C91"/>
    <mergeCell ref="B92:C92"/>
    <mergeCell ref="B93:C93"/>
    <mergeCell ref="B94:C94"/>
    <mergeCell ref="B96:C96"/>
    <mergeCell ref="H96:L96"/>
    <mergeCell ref="B98:C98"/>
    <mergeCell ref="H98:L98"/>
    <mergeCell ref="B99:C99"/>
    <mergeCell ref="H99:L99"/>
    <mergeCell ref="H107:K107"/>
    <mergeCell ref="B108:C108"/>
    <mergeCell ref="H108:L108"/>
    <mergeCell ref="B109:C109"/>
    <mergeCell ref="B101:C101"/>
    <mergeCell ref="H101:L101"/>
    <mergeCell ref="B102:C102"/>
    <mergeCell ref="H102:L102"/>
    <mergeCell ref="B103:C103"/>
    <mergeCell ref="H103:L103"/>
    <mergeCell ref="B110:C110"/>
    <mergeCell ref="B97:C97"/>
    <mergeCell ref="B104:C104"/>
    <mergeCell ref="B105:C105"/>
    <mergeCell ref="B107:C107"/>
    <mergeCell ref="B100:C100"/>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3BB4-2155-624F-985C-9F99928C6E29}">
  <sheetPr>
    <outlinePr summaryBelow="0" summaryRight="0"/>
    <pageSetUpPr fitToPage="1"/>
  </sheetPr>
  <dimension ref="A1:AB1055"/>
  <sheetViews>
    <sheetView topLeftCell="A23" zoomScale="120" zoomScaleNormal="120" workbookViewId="0">
      <selection activeCell="J35" sqref="J35:J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46023</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B9+B60+69943</f>
        <v>410756</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7480</v>
      </c>
      <c r="C4" s="35" t="s">
        <v>405</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7539.75</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59.75</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24.75</v>
      </c>
      <c r="D13" s="3">
        <v>238.23</v>
      </c>
      <c r="E13" s="3"/>
      <c r="F13" s="3">
        <v>45.45</v>
      </c>
      <c r="G13" s="3">
        <v>19.100000000000001</v>
      </c>
      <c r="H13" s="3">
        <v>39.5</v>
      </c>
      <c r="I13" s="3">
        <v>137.75</v>
      </c>
      <c r="J13" s="3">
        <v>21.75</v>
      </c>
      <c r="K13" s="3">
        <v>53.83</v>
      </c>
      <c r="L13" s="3">
        <v>28.5</v>
      </c>
      <c r="M13" s="3">
        <v>15</v>
      </c>
      <c r="N13" s="3">
        <v>36</v>
      </c>
      <c r="O13" s="3">
        <v>713.5</v>
      </c>
      <c r="P13" s="3">
        <v>223.5</v>
      </c>
      <c r="Q13" s="3">
        <v>277.25</v>
      </c>
      <c r="R13" s="3">
        <v>16</v>
      </c>
      <c r="S13" s="3">
        <v>106.5</v>
      </c>
      <c r="T13" s="34">
        <f>SUM(C13:S13)</f>
        <v>1996.6100000000001</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107.81</v>
      </c>
      <c r="D18" s="3">
        <v>39.28</v>
      </c>
      <c r="E18" s="3"/>
      <c r="F18" s="3">
        <v>12.9</v>
      </c>
      <c r="G18" s="3">
        <v>6.25</v>
      </c>
      <c r="H18" s="3">
        <v>0.5</v>
      </c>
      <c r="I18" s="3">
        <v>4.2699999999999996</v>
      </c>
      <c r="J18" s="34">
        <f t="shared" si="0"/>
        <v>171.01000000000002</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t="s">
        <v>406</v>
      </c>
      <c r="M19" s="3"/>
      <c r="N19" s="126"/>
      <c r="O19" s="3" t="s">
        <v>336</v>
      </c>
      <c r="P19" s="3"/>
      <c r="Q19" s="3"/>
      <c r="R19" s="3"/>
      <c r="S19" s="3"/>
      <c r="T19" s="3"/>
      <c r="U19" s="3"/>
      <c r="V19" s="3"/>
      <c r="W19" s="3"/>
      <c r="X19" s="3"/>
      <c r="Y19" s="3"/>
      <c r="Z19" s="3"/>
      <c r="AA19" s="3"/>
      <c r="AB19" s="3"/>
    </row>
    <row r="20" spans="1:28" ht="14" x14ac:dyDescent="0.2">
      <c r="A20" s="3" t="s">
        <v>11</v>
      </c>
      <c r="B20" s="3" t="s">
        <v>131</v>
      </c>
      <c r="C20" s="3"/>
      <c r="D20" s="3">
        <v>0.25</v>
      </c>
      <c r="E20" s="3"/>
      <c r="F20" s="3">
        <v>1</v>
      </c>
      <c r="G20" s="3"/>
      <c r="H20" s="3"/>
      <c r="I20" s="3"/>
      <c r="J20" s="34">
        <f t="shared" si="0"/>
        <v>1.25</v>
      </c>
      <c r="K20" s="3"/>
      <c r="L20" s="3" t="s">
        <v>333</v>
      </c>
      <c r="M20" s="3"/>
      <c r="N20" s="126"/>
      <c r="O20" s="3" t="s">
        <v>407</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v>15.75</v>
      </c>
      <c r="D22" s="3">
        <v>1</v>
      </c>
      <c r="E22" s="3"/>
      <c r="F22" s="3">
        <v>2</v>
      </c>
      <c r="G22" s="3">
        <v>3.75</v>
      </c>
      <c r="H22" s="3">
        <v>0.75</v>
      </c>
      <c r="I22" s="3"/>
      <c r="J22" s="34">
        <f t="shared" si="0"/>
        <v>23.25</v>
      </c>
      <c r="K22" s="3"/>
      <c r="L22" s="3" t="s">
        <v>333</v>
      </c>
      <c r="M22" s="3"/>
      <c r="N22" s="125"/>
      <c r="O22" s="3" t="s">
        <v>363</v>
      </c>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f t="shared" si="0"/>
        <v>0</v>
      </c>
      <c r="K23" s="3"/>
      <c r="L23" s="3"/>
      <c r="M23" s="3"/>
      <c r="N23" s="125"/>
      <c r="O23" s="3"/>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f t="shared" si="0"/>
        <v>0</v>
      </c>
      <c r="K24" s="3"/>
      <c r="L24" s="3"/>
      <c r="M24" s="3"/>
      <c r="N24" s="125"/>
      <c r="O24" s="3"/>
      <c r="P24" s="3"/>
      <c r="Q24" s="3"/>
      <c r="R24" s="3"/>
      <c r="S24" s="3"/>
      <c r="T24" s="3"/>
      <c r="U24" s="3"/>
      <c r="V24" s="3"/>
      <c r="W24" s="3"/>
      <c r="X24" s="3"/>
      <c r="Y24" s="3"/>
      <c r="Z24" s="3"/>
      <c r="AA24" s="3"/>
      <c r="AB24" s="3"/>
    </row>
    <row r="25" spans="1:28" ht="14" x14ac:dyDescent="0.2">
      <c r="A25" s="3" t="s">
        <v>14</v>
      </c>
      <c r="B25" s="3" t="s">
        <v>133</v>
      </c>
      <c r="C25" s="3">
        <v>696.01</v>
      </c>
      <c r="D25" s="3">
        <v>321.02999999999997</v>
      </c>
      <c r="E25" s="3">
        <v>322.92</v>
      </c>
      <c r="F25" s="3">
        <v>81.67</v>
      </c>
      <c r="G25" s="3">
        <v>42.75</v>
      </c>
      <c r="H25" s="3">
        <v>9.5</v>
      </c>
      <c r="I25" s="3">
        <v>2.5</v>
      </c>
      <c r="J25" s="34">
        <f t="shared" si="0"/>
        <v>1476.38</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v>137.13999999999999</v>
      </c>
      <c r="D26" s="3">
        <v>160.5</v>
      </c>
      <c r="E26" s="3"/>
      <c r="F26" s="3">
        <v>69.91</v>
      </c>
      <c r="G26" s="3"/>
      <c r="H26" s="3">
        <v>47.5</v>
      </c>
      <c r="I26" s="3"/>
      <c r="J26" s="34">
        <f t="shared" si="0"/>
        <v>415.04999999999995</v>
      </c>
      <c r="K26" s="3"/>
      <c r="L26" s="3" t="s">
        <v>408</v>
      </c>
      <c r="M26" s="3"/>
      <c r="N26" s="126" t="s">
        <v>409</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f t="shared" si="0"/>
        <v>0</v>
      </c>
      <c r="K27" s="3"/>
      <c r="L27" s="3"/>
      <c r="M27" s="3"/>
      <c r="N27" s="126"/>
      <c r="O27" s="3"/>
      <c r="P27" s="3"/>
      <c r="Q27" s="3"/>
      <c r="R27" s="3"/>
      <c r="S27" s="3"/>
      <c r="T27" s="3"/>
      <c r="U27" s="3"/>
      <c r="V27" s="3"/>
      <c r="W27" s="3"/>
      <c r="X27" s="3"/>
      <c r="Y27" s="3"/>
      <c r="Z27" s="3"/>
      <c r="AA27" s="3"/>
      <c r="AB27" s="3"/>
    </row>
    <row r="28" spans="1:28" ht="14" x14ac:dyDescent="0.2">
      <c r="A28" s="3" t="s">
        <v>122</v>
      </c>
      <c r="B28" s="3" t="s">
        <v>134</v>
      </c>
      <c r="C28" s="3"/>
      <c r="D28" s="3"/>
      <c r="E28" s="3"/>
      <c r="F28" s="3"/>
      <c r="G28" s="3"/>
      <c r="H28" s="3"/>
      <c r="I28" s="3"/>
      <c r="J28" s="34">
        <f t="shared" si="0"/>
        <v>0</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c r="D29" s="3">
        <v>10.92</v>
      </c>
      <c r="E29" s="3"/>
      <c r="F29" s="3">
        <v>61</v>
      </c>
      <c r="G29" s="3"/>
      <c r="H29" s="3">
        <v>6.75</v>
      </c>
      <c r="I29" s="3"/>
      <c r="J29" s="34">
        <f t="shared" si="0"/>
        <v>78.67</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c r="D30" s="3">
        <v>10.92</v>
      </c>
      <c r="F30" s="3">
        <v>20.5</v>
      </c>
      <c r="G30" s="3"/>
      <c r="H30" s="3"/>
      <c r="I30" s="3"/>
      <c r="J30" s="34">
        <f t="shared" si="0"/>
        <v>31.42</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140</v>
      </c>
      <c r="D31" s="3">
        <v>57.08</v>
      </c>
      <c r="E31" s="3">
        <v>37.25</v>
      </c>
      <c r="F31" s="3">
        <v>3.25</v>
      </c>
      <c r="G31" s="3"/>
      <c r="H31" s="3">
        <v>8.5</v>
      </c>
      <c r="I31" s="3"/>
      <c r="J31" s="34">
        <f t="shared" si="0"/>
        <v>246.07999999999998</v>
      </c>
      <c r="K31" s="3"/>
      <c r="L31" s="3" t="s">
        <v>53</v>
      </c>
      <c r="M31" s="3"/>
      <c r="N31" s="125">
        <v>46054</v>
      </c>
      <c r="O31" s="3" t="s">
        <v>352</v>
      </c>
      <c r="P31" s="3"/>
      <c r="Q31" s="3"/>
      <c r="R31" s="3"/>
      <c r="S31" s="3"/>
      <c r="T31" s="3"/>
      <c r="U31" s="3"/>
      <c r="V31" s="3"/>
      <c r="W31" s="3"/>
      <c r="X31" s="3"/>
      <c r="Y31" s="3"/>
      <c r="Z31" s="3"/>
      <c r="AA31" s="3"/>
      <c r="AB31" s="3"/>
    </row>
    <row r="32" spans="1:28" ht="14" x14ac:dyDescent="0.2">
      <c r="A32" s="3" t="s">
        <v>15</v>
      </c>
      <c r="B32" s="3" t="s">
        <v>137</v>
      </c>
      <c r="J32" s="34">
        <f t="shared" si="0"/>
        <v>0</v>
      </c>
      <c r="K32" s="3"/>
      <c r="L32" s="3"/>
      <c r="M32" s="3"/>
      <c r="N32" s="126"/>
      <c r="O32" s="3"/>
      <c r="P32" s="3"/>
      <c r="Q32" s="3"/>
      <c r="R32" s="3"/>
      <c r="S32" s="3"/>
      <c r="T32" s="3"/>
      <c r="U32" s="3"/>
      <c r="V32" s="3"/>
      <c r="W32" s="3"/>
      <c r="X32" s="3"/>
      <c r="Y32" s="3"/>
      <c r="Z32" s="3"/>
      <c r="AA32" s="3"/>
      <c r="AB32" s="3"/>
    </row>
    <row r="33" spans="1:28" ht="14" x14ac:dyDescent="0.2">
      <c r="A33" s="3" t="s">
        <v>16</v>
      </c>
      <c r="B33" s="3" t="s">
        <v>180</v>
      </c>
      <c r="C33" s="3">
        <v>30.5</v>
      </c>
      <c r="D33" s="3">
        <v>44.5</v>
      </c>
      <c r="E33" s="3"/>
      <c r="F33" s="3">
        <v>79.42</v>
      </c>
      <c r="G33" s="3">
        <v>12.59</v>
      </c>
      <c r="H33" s="3">
        <v>31.75</v>
      </c>
      <c r="I33" s="3">
        <v>2</v>
      </c>
      <c r="J33" s="34">
        <f t="shared" si="0"/>
        <v>200.76000000000002</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v>193.52</v>
      </c>
      <c r="D34" s="3">
        <f>67.52+0.83</f>
        <v>68.349999999999994</v>
      </c>
      <c r="E34" s="3"/>
      <c r="F34" s="3"/>
      <c r="G34" s="3"/>
      <c r="H34" s="3">
        <v>2.5</v>
      </c>
      <c r="I34" s="3">
        <v>0.5</v>
      </c>
      <c r="J34" s="34">
        <f t="shared" si="0"/>
        <v>264.87</v>
      </c>
      <c r="K34" s="3"/>
      <c r="L34" s="3" t="s">
        <v>34</v>
      </c>
      <c r="M34" s="3"/>
      <c r="N34" s="126" t="s">
        <v>98</v>
      </c>
      <c r="O34" s="3" t="s">
        <v>353</v>
      </c>
      <c r="P34" s="3"/>
      <c r="Q34" s="3"/>
      <c r="R34" s="3"/>
      <c r="S34" s="3"/>
      <c r="T34" s="3"/>
      <c r="U34" s="3"/>
      <c r="V34" s="3"/>
      <c r="W34" s="3"/>
      <c r="X34" s="3"/>
      <c r="Y34" s="3"/>
      <c r="Z34" s="3"/>
      <c r="AA34" s="3"/>
      <c r="AB34" s="3"/>
    </row>
    <row r="35" spans="1:28" ht="14" x14ac:dyDescent="0.2">
      <c r="A35" s="3" t="s">
        <v>162</v>
      </c>
      <c r="B35" s="3"/>
      <c r="C35" s="3">
        <v>42.87</v>
      </c>
      <c r="D35" s="3">
        <v>4.08</v>
      </c>
      <c r="E35" s="3"/>
      <c r="F35" s="3">
        <v>7</v>
      </c>
      <c r="G35" s="3"/>
      <c r="H35" s="3"/>
      <c r="I35" s="3"/>
      <c r="J35" s="34">
        <f t="shared" si="0"/>
        <v>53.949999999999996</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f t="shared" si="0"/>
        <v>0</v>
      </c>
      <c r="K36" s="3"/>
      <c r="L36" s="3"/>
      <c r="M36" s="3"/>
      <c r="N36" s="126"/>
      <c r="O36" s="3"/>
      <c r="P36" s="3"/>
      <c r="Q36" s="3"/>
      <c r="R36" s="3"/>
      <c r="S36" s="3"/>
      <c r="T36" s="3"/>
      <c r="U36" s="3"/>
      <c r="V36" s="3"/>
      <c r="W36" s="3"/>
      <c r="X36" s="3"/>
      <c r="Y36" s="3"/>
      <c r="Z36" s="3"/>
      <c r="AA36" s="3"/>
      <c r="AB36" s="3"/>
    </row>
    <row r="37" spans="1:28" ht="14" x14ac:dyDescent="0.2">
      <c r="A37" s="3" t="s">
        <v>171</v>
      </c>
      <c r="B37" s="3" t="s">
        <v>181</v>
      </c>
      <c r="C37" s="3"/>
      <c r="D37" s="3">
        <v>13.25</v>
      </c>
      <c r="E37" s="3"/>
      <c r="F37" s="3"/>
      <c r="G37" s="3"/>
      <c r="H37" s="3"/>
      <c r="I37" s="3"/>
      <c r="J37" s="34">
        <f t="shared" si="0"/>
        <v>13.25</v>
      </c>
      <c r="K37" s="3"/>
      <c r="L37" s="3" t="s">
        <v>410</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 t="shared" si="0"/>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112.93</v>
      </c>
      <c r="D39" s="3">
        <v>51.73</v>
      </c>
      <c r="E39" s="3">
        <v>52.17</v>
      </c>
      <c r="F39" s="3">
        <v>41.17</v>
      </c>
      <c r="G39" s="3"/>
      <c r="H39" s="3">
        <v>2.5</v>
      </c>
      <c r="I39" s="3">
        <v>9.5</v>
      </c>
      <c r="J39" s="34">
        <f t="shared" si="0"/>
        <v>270</v>
      </c>
      <c r="K39" s="3"/>
      <c r="L39" s="3" t="s">
        <v>411</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v>5.25</v>
      </c>
      <c r="E40" s="3"/>
      <c r="F40" s="3">
        <v>4</v>
      </c>
      <c r="G40" s="3"/>
      <c r="H40" s="3"/>
      <c r="I40" s="3"/>
      <c r="J40" s="34">
        <f t="shared" si="0"/>
        <v>9.25</v>
      </c>
      <c r="K40" s="3"/>
      <c r="L40" s="3" t="s">
        <v>412</v>
      </c>
      <c r="M40" s="3"/>
      <c r="N40" s="126"/>
      <c r="O40" s="3" t="s">
        <v>396</v>
      </c>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f t="shared" si="0"/>
        <v>0</v>
      </c>
      <c r="K41" s="3"/>
      <c r="L41" s="3"/>
      <c r="M41" s="3"/>
      <c r="N41" s="126"/>
      <c r="O41" s="3"/>
      <c r="P41" s="3"/>
      <c r="Q41" s="3"/>
      <c r="R41" s="3"/>
      <c r="S41" s="3"/>
      <c r="T41" s="3"/>
      <c r="U41" s="3"/>
      <c r="V41" s="3"/>
      <c r="W41" s="3"/>
      <c r="X41" s="3"/>
      <c r="Y41" s="3"/>
      <c r="Z41" s="3"/>
      <c r="AA41" s="3"/>
      <c r="AB41" s="3"/>
    </row>
    <row r="42" spans="1:28" ht="14" x14ac:dyDescent="0.2">
      <c r="A42" s="3" t="s">
        <v>371</v>
      </c>
      <c r="B42" s="3" t="s">
        <v>141</v>
      </c>
      <c r="C42" s="3"/>
      <c r="D42" s="3">
        <v>49.83</v>
      </c>
      <c r="E42" s="3">
        <v>1.5</v>
      </c>
      <c r="F42" s="3">
        <v>62.16</v>
      </c>
      <c r="G42" s="3"/>
      <c r="H42" s="3">
        <v>33.25</v>
      </c>
      <c r="I42" s="3"/>
      <c r="J42" s="34">
        <f t="shared" si="0"/>
        <v>146.74</v>
      </c>
      <c r="K42" s="3"/>
      <c r="L42" s="3" t="s">
        <v>34</v>
      </c>
      <c r="M42" s="3"/>
      <c r="N42" s="126" t="s">
        <v>98</v>
      </c>
      <c r="O42" s="3" t="s">
        <v>379</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489.93</v>
      </c>
      <c r="D44" s="3">
        <f>179.21+3.5</f>
        <v>182.71</v>
      </c>
      <c r="E44" s="3">
        <v>93.75</v>
      </c>
      <c r="F44" s="3">
        <v>25</v>
      </c>
      <c r="G44" s="3"/>
      <c r="H44" s="3">
        <v>6.5</v>
      </c>
      <c r="I44" s="3">
        <v>1.75</v>
      </c>
      <c r="J44" s="34">
        <f t="shared" si="0"/>
        <v>799.64</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280.77</v>
      </c>
      <c r="D45" s="3">
        <v>133.87</v>
      </c>
      <c r="E45" s="3">
        <v>79.33</v>
      </c>
      <c r="F45" s="3">
        <v>127</v>
      </c>
      <c r="G45" s="3">
        <v>0.5</v>
      </c>
      <c r="H45" s="3">
        <v>0.25</v>
      </c>
      <c r="I45" s="3">
        <v>4.4400000000000004</v>
      </c>
      <c r="J45" s="34">
        <f t="shared" si="0"/>
        <v>626.16000000000008</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f t="shared" si="0"/>
        <v>0</v>
      </c>
      <c r="K46" s="3"/>
      <c r="L46" s="3"/>
      <c r="M46" s="3"/>
      <c r="N46" s="126"/>
      <c r="O46" s="3"/>
      <c r="P46" s="3"/>
      <c r="Q46" s="3"/>
      <c r="R46" s="3"/>
      <c r="S46" s="3"/>
      <c r="T46" s="3"/>
      <c r="U46" s="3"/>
      <c r="V46" s="3"/>
      <c r="W46" s="3"/>
      <c r="X46" s="3"/>
      <c r="Y46" s="3"/>
      <c r="Z46" s="3"/>
      <c r="AA46" s="3"/>
      <c r="AB46" s="3"/>
    </row>
    <row r="47" spans="1:28" ht="14" x14ac:dyDescent="0.2">
      <c r="A47" s="3" t="s">
        <v>187</v>
      </c>
      <c r="B47" s="3"/>
      <c r="C47" s="3"/>
      <c r="D47" s="3">
        <v>11</v>
      </c>
      <c r="E47" s="3"/>
      <c r="F47" s="3"/>
      <c r="G47" s="3"/>
      <c r="H47" s="3"/>
      <c r="I47" s="3"/>
      <c r="J47" s="34">
        <f t="shared" si="0"/>
        <v>11</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c r="D48" s="3">
        <v>4.75</v>
      </c>
      <c r="E48" s="3"/>
      <c r="F48" s="3"/>
      <c r="G48" s="3"/>
      <c r="H48" s="3">
        <v>8.5</v>
      </c>
      <c r="I48" s="3"/>
      <c r="J48" s="34">
        <f t="shared" si="0"/>
        <v>13.25</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365</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42.5</v>
      </c>
      <c r="D53" s="3">
        <v>59.25</v>
      </c>
      <c r="E53" s="3">
        <v>54.17</v>
      </c>
      <c r="F53" s="3">
        <v>74</v>
      </c>
      <c r="G53" s="3"/>
      <c r="H53" s="3"/>
      <c r="I53" s="3">
        <v>14.25</v>
      </c>
      <c r="J53" s="34">
        <f t="shared" si="0"/>
        <v>244.17000000000002</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f t="shared" si="0"/>
        <v>0</v>
      </c>
      <c r="K55" s="3"/>
      <c r="L55" s="3"/>
      <c r="M55" s="3"/>
      <c r="N55" s="126"/>
      <c r="O55" s="3"/>
      <c r="P55" s="3"/>
      <c r="Q55" s="3"/>
      <c r="R55" s="3"/>
      <c r="S55" s="3"/>
      <c r="T55" s="3"/>
      <c r="U55" s="3"/>
      <c r="V55" s="3"/>
      <c r="W55" s="3"/>
      <c r="X55" s="3"/>
      <c r="Y55" s="3"/>
      <c r="Z55" s="3"/>
      <c r="AA55" s="3"/>
      <c r="AB55" s="3"/>
    </row>
    <row r="56" spans="1:28" ht="14" x14ac:dyDescent="0.2">
      <c r="A56" s="3" t="s">
        <v>21</v>
      </c>
      <c r="B56" s="3" t="s">
        <v>148</v>
      </c>
      <c r="C56" s="3">
        <v>34.18</v>
      </c>
      <c r="D56" s="3">
        <f>39.16+1.75</f>
        <v>40.909999999999997</v>
      </c>
      <c r="E56" s="3">
        <v>0.5</v>
      </c>
      <c r="F56" s="3">
        <v>23</v>
      </c>
      <c r="G56" s="3"/>
      <c r="H56" s="3"/>
      <c r="I56" s="3"/>
      <c r="J56" s="34">
        <f t="shared" si="0"/>
        <v>98.59</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5194.7400000000007</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13.09</v>
      </c>
      <c r="D64" s="3"/>
      <c r="E64" s="3"/>
      <c r="F64" s="3"/>
      <c r="G64" s="1">
        <f t="shared" ref="G64:G71" si="1">SUM(C64:F64)</f>
        <v>13.09</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161.51</v>
      </c>
      <c r="D65" s="3"/>
      <c r="E65" s="3">
        <v>36.75</v>
      </c>
      <c r="F65" s="3"/>
      <c r="G65" s="1">
        <f t="shared" si="1"/>
        <v>198.26</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16.239999999999998</v>
      </c>
      <c r="D66" s="3"/>
      <c r="E66" s="3">
        <v>0.5</v>
      </c>
      <c r="F66" s="3"/>
      <c r="G66" s="1">
        <f t="shared" si="1"/>
        <v>16.739999999999998</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70.680000000000007</v>
      </c>
      <c r="D67" s="3"/>
      <c r="E67" s="3">
        <v>7</v>
      </c>
      <c r="F67" s="3"/>
      <c r="G67" s="1">
        <f t="shared" si="1"/>
        <v>77.680000000000007</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24.99</v>
      </c>
      <c r="D68" s="3"/>
      <c r="E68" s="3">
        <v>10.45</v>
      </c>
      <c r="F68" s="3"/>
      <c r="G68" s="1">
        <f t="shared" si="1"/>
        <v>35.44</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5.69</v>
      </c>
      <c r="D71" s="3"/>
      <c r="E71" s="3">
        <v>1.5</v>
      </c>
      <c r="F71" s="3"/>
      <c r="G71" s="1">
        <f t="shared" si="1"/>
        <v>7.19</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292.2</v>
      </c>
      <c r="D72" s="1">
        <f>SUM(D63:D71)</f>
        <v>0</v>
      </c>
      <c r="E72" s="1">
        <f>SUM(E63:E71)</f>
        <v>56.2</v>
      </c>
      <c r="F72" s="1">
        <f>SUM(F63:F71)</f>
        <v>0</v>
      </c>
      <c r="G72" s="1">
        <f>SUM(C72:F72)</f>
        <v>348.4</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3893.8</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v>263.69</v>
      </c>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59.27</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402</v>
      </c>
      <c r="B95" s="18" t="s">
        <v>403</v>
      </c>
      <c r="C95" s="29"/>
      <c r="D95" s="19" t="s">
        <v>77</v>
      </c>
      <c r="E95" s="19" t="s">
        <v>376</v>
      </c>
      <c r="F95" s="20"/>
      <c r="G95" s="20"/>
      <c r="H95" s="18" t="s">
        <v>404</v>
      </c>
      <c r="I95" s="28"/>
      <c r="J95" s="28"/>
      <c r="K95" s="28"/>
      <c r="L95" s="28"/>
      <c r="M95" s="29"/>
      <c r="N95" s="3"/>
      <c r="O95" s="3"/>
      <c r="P95" s="3"/>
      <c r="Q95" s="3"/>
      <c r="R95" s="3"/>
      <c r="S95" s="3"/>
      <c r="T95" s="3"/>
      <c r="U95" s="3"/>
      <c r="V95" s="3"/>
      <c r="W95" s="3"/>
      <c r="X95" s="3"/>
      <c r="Y95" s="3"/>
      <c r="Z95" s="3"/>
      <c r="AA95" s="3"/>
      <c r="AB95" s="3"/>
    </row>
    <row r="96" spans="1:28" ht="14" x14ac:dyDescent="0.2">
      <c r="A96" s="17" t="s">
        <v>205</v>
      </c>
      <c r="B96" s="146" t="s">
        <v>70</v>
      </c>
      <c r="C96" s="154"/>
      <c r="D96" s="19" t="s">
        <v>206</v>
      </c>
      <c r="E96" s="19" t="s">
        <v>153</v>
      </c>
      <c r="F96" s="20"/>
      <c r="G96" s="20">
        <v>811.65</v>
      </c>
      <c r="H96" s="146" t="s">
        <v>388</v>
      </c>
      <c r="I96" s="155"/>
      <c r="J96" s="155"/>
      <c r="K96" s="155"/>
      <c r="L96" s="155"/>
      <c r="M96" s="29"/>
      <c r="N96" s="3"/>
      <c r="O96" s="3"/>
      <c r="P96" s="3"/>
      <c r="Q96" s="3"/>
      <c r="R96" s="3"/>
      <c r="S96" s="3"/>
      <c r="T96" s="3"/>
      <c r="U96" s="3"/>
      <c r="V96" s="3"/>
      <c r="W96" s="3"/>
      <c r="X96" s="3"/>
      <c r="Y96" s="3"/>
      <c r="Z96" s="3"/>
      <c r="AA96" s="3"/>
      <c r="AB96" s="3"/>
    </row>
    <row r="97" spans="1:28" ht="14" x14ac:dyDescent="0.2">
      <c r="A97" s="17" t="s">
        <v>389</v>
      </c>
      <c r="B97" s="146" t="s">
        <v>390</v>
      </c>
      <c r="C97" s="154"/>
      <c r="D97" s="19" t="s">
        <v>206</v>
      </c>
      <c r="E97" s="19" t="s">
        <v>283</v>
      </c>
      <c r="F97" s="20"/>
      <c r="G97" s="20"/>
      <c r="H97" s="18" t="s">
        <v>398</v>
      </c>
      <c r="I97" s="129"/>
      <c r="J97" s="129"/>
      <c r="K97" s="129"/>
      <c r="L97" s="129"/>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213</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209</v>
      </c>
      <c r="F99" s="20"/>
      <c r="G99" s="20"/>
      <c r="H99" s="146" t="s">
        <v>214</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209</v>
      </c>
      <c r="F100" s="20"/>
      <c r="G100" s="20"/>
      <c r="H100" s="146" t="s">
        <v>215</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208</v>
      </c>
      <c r="B101" s="146" t="s">
        <v>70</v>
      </c>
      <c r="C101" s="148"/>
      <c r="D101" s="19" t="s">
        <v>206</v>
      </c>
      <c r="E101" s="19" t="s">
        <v>210</v>
      </c>
      <c r="F101" s="20"/>
      <c r="G101" s="20"/>
      <c r="H101" s="146" t="s">
        <v>211</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208</v>
      </c>
      <c r="B102" s="146" t="s">
        <v>70</v>
      </c>
      <c r="C102" s="148"/>
      <c r="D102" s="19" t="s">
        <v>206</v>
      </c>
      <c r="E102" s="19" t="s">
        <v>210</v>
      </c>
      <c r="F102" s="20"/>
      <c r="G102" s="20"/>
      <c r="H102" s="146" t="s">
        <v>212</v>
      </c>
      <c r="I102" s="151"/>
      <c r="J102" s="151"/>
      <c r="K102" s="151"/>
      <c r="L102" s="151"/>
      <c r="M102" s="29"/>
      <c r="N102" s="3"/>
      <c r="O102" s="3"/>
      <c r="P102" s="3"/>
      <c r="Q102" s="3"/>
      <c r="R102" s="3"/>
      <c r="S102" s="3"/>
      <c r="T102" s="3"/>
      <c r="U102" s="3"/>
      <c r="V102" s="3"/>
      <c r="W102" s="3"/>
      <c r="X102" s="3"/>
      <c r="Y102" s="3"/>
      <c r="Z102" s="3"/>
      <c r="AA102" s="3"/>
      <c r="AB102" s="3"/>
    </row>
    <row r="103" spans="1:28" ht="14" x14ac:dyDescent="0.2">
      <c r="A103" s="17" t="s">
        <v>216</v>
      </c>
      <c r="B103" s="146" t="s">
        <v>217</v>
      </c>
      <c r="C103" s="154"/>
      <c r="D103" s="19" t="s">
        <v>206</v>
      </c>
      <c r="E103" s="19" t="s">
        <v>155</v>
      </c>
      <c r="F103" s="20"/>
      <c r="G103" s="20"/>
      <c r="H103" s="146" t="s">
        <v>218</v>
      </c>
      <c r="I103" s="151"/>
      <c r="J103" s="151"/>
      <c r="K103" s="151"/>
      <c r="L103" s="151"/>
      <c r="M103" s="29"/>
      <c r="N103" s="3"/>
      <c r="O103" s="3"/>
      <c r="P103" s="3"/>
      <c r="Q103" s="3"/>
      <c r="R103" s="3"/>
      <c r="S103" s="3"/>
      <c r="T103" s="3"/>
      <c r="U103" s="3"/>
      <c r="V103" s="3"/>
      <c r="W103" s="3"/>
      <c r="X103" s="3"/>
      <c r="Y103" s="3"/>
      <c r="Z103" s="3"/>
      <c r="AA103" s="3"/>
      <c r="AB103" s="3"/>
    </row>
    <row r="104" spans="1:28" ht="14" x14ac:dyDescent="0.2">
      <c r="A104" s="17" t="s">
        <v>391</v>
      </c>
      <c r="B104" s="146" t="s">
        <v>19</v>
      </c>
      <c r="C104" s="148"/>
      <c r="D104" s="19" t="s">
        <v>77</v>
      </c>
      <c r="E104" s="19" t="s">
        <v>392</v>
      </c>
      <c r="F104" s="20"/>
      <c r="G104" s="20"/>
      <c r="H104" s="18" t="s">
        <v>395</v>
      </c>
      <c r="I104" s="30"/>
      <c r="J104" s="30"/>
      <c r="K104" s="30"/>
      <c r="L104" s="30"/>
      <c r="M104" s="29"/>
      <c r="N104" s="3"/>
      <c r="O104" s="3"/>
      <c r="P104" s="3"/>
      <c r="Q104" s="3"/>
      <c r="R104" s="3"/>
      <c r="S104" s="3"/>
      <c r="T104" s="3"/>
      <c r="U104" s="3"/>
      <c r="V104" s="3"/>
      <c r="W104" s="3"/>
      <c r="X104" s="3"/>
      <c r="Y104" s="3"/>
      <c r="Z104" s="3"/>
      <c r="AA104" s="3"/>
      <c r="AB104" s="3"/>
    </row>
    <row r="105" spans="1:28" ht="14" x14ac:dyDescent="0.2">
      <c r="A105" s="17" t="s">
        <v>393</v>
      </c>
      <c r="B105" s="146" t="s">
        <v>19</v>
      </c>
      <c r="C105" s="148"/>
      <c r="D105" s="19" t="s">
        <v>77</v>
      </c>
      <c r="E105" s="19" t="s">
        <v>153</v>
      </c>
      <c r="F105" s="20"/>
      <c r="G105" s="20">
        <v>686.4</v>
      </c>
      <c r="H105" s="18" t="s">
        <v>394</v>
      </c>
      <c r="I105" s="28"/>
      <c r="J105" s="28"/>
      <c r="K105" s="28"/>
      <c r="L105" s="28"/>
      <c r="M105" s="29"/>
      <c r="N105" s="3"/>
      <c r="O105" s="3"/>
      <c r="P105" s="3"/>
      <c r="Q105" s="3"/>
      <c r="R105" s="3"/>
      <c r="S105" s="3"/>
      <c r="T105" s="3"/>
      <c r="U105" s="3"/>
      <c r="V105" s="3"/>
      <c r="W105" s="3"/>
      <c r="X105" s="3"/>
      <c r="Y105" s="3"/>
      <c r="Z105" s="3"/>
      <c r="AA105" s="3"/>
      <c r="AB105" s="3"/>
    </row>
    <row r="106" spans="1:28" ht="14" x14ac:dyDescent="0.2">
      <c r="A106" s="17" t="s">
        <v>374</v>
      </c>
      <c r="B106" s="18" t="s">
        <v>375</v>
      </c>
      <c r="C106" s="29"/>
      <c r="D106" s="19" t="s">
        <v>77</v>
      </c>
      <c r="E106" s="39" t="s">
        <v>376</v>
      </c>
      <c r="F106" s="20"/>
      <c r="G106" s="20">
        <v>205</v>
      </c>
      <c r="H106" s="18" t="s">
        <v>377</v>
      </c>
      <c r="I106" s="28"/>
      <c r="J106" s="28"/>
      <c r="K106" s="28"/>
      <c r="L106" s="28"/>
      <c r="M106" s="28"/>
      <c r="N106" s="3"/>
      <c r="O106" s="3"/>
      <c r="P106" s="3"/>
      <c r="Q106" s="3"/>
      <c r="R106" s="3"/>
      <c r="S106" s="3"/>
      <c r="T106" s="3"/>
      <c r="U106" s="3"/>
      <c r="V106" s="3"/>
      <c r="W106" s="3"/>
      <c r="X106" s="3"/>
      <c r="Y106" s="3"/>
      <c r="Z106" s="3"/>
      <c r="AA106" s="3"/>
      <c r="AB106" s="3"/>
    </row>
    <row r="107" spans="1:28" ht="14" x14ac:dyDescent="0.2">
      <c r="A107" s="17" t="s">
        <v>281</v>
      </c>
      <c r="B107" s="146" t="s">
        <v>282</v>
      </c>
      <c r="C107" s="154"/>
      <c r="D107" s="19" t="s">
        <v>77</v>
      </c>
      <c r="E107" s="39" t="s">
        <v>283</v>
      </c>
      <c r="F107" s="20"/>
      <c r="G107" s="20"/>
      <c r="H107" s="146" t="s">
        <v>284</v>
      </c>
      <c r="I107" s="151"/>
      <c r="J107" s="151"/>
      <c r="K107" s="151"/>
      <c r="L107" s="28"/>
      <c r="M107" s="28"/>
      <c r="N107" s="3"/>
      <c r="O107" s="3"/>
      <c r="P107" s="3"/>
      <c r="Q107" s="3"/>
      <c r="R107" s="3"/>
      <c r="S107" s="3"/>
      <c r="T107" s="3"/>
      <c r="U107" s="3"/>
      <c r="V107" s="3"/>
      <c r="W107" s="3"/>
      <c r="X107" s="3"/>
      <c r="Y107" s="3"/>
      <c r="Z107" s="3"/>
      <c r="AA107" s="3"/>
      <c r="AB107" s="3"/>
    </row>
    <row r="108" spans="1:28" ht="14" x14ac:dyDescent="0.2">
      <c r="A108" s="17" t="s">
        <v>219</v>
      </c>
      <c r="B108" s="151" t="s">
        <v>220</v>
      </c>
      <c r="C108" s="148"/>
      <c r="D108" s="19" t="s">
        <v>77</v>
      </c>
      <c r="E108" s="39" t="s">
        <v>155</v>
      </c>
      <c r="F108" s="20"/>
      <c r="G108" s="20"/>
      <c r="H108" s="146" t="s">
        <v>221</v>
      </c>
      <c r="I108" s="151"/>
      <c r="J108" s="151"/>
      <c r="K108" s="151"/>
      <c r="L108" s="154"/>
      <c r="M108" s="18"/>
      <c r="N108" s="3"/>
      <c r="O108" s="3"/>
      <c r="P108" s="3"/>
      <c r="Q108" s="3"/>
      <c r="R108" s="3"/>
      <c r="S108" s="3"/>
      <c r="T108" s="3"/>
      <c r="U108" s="3"/>
      <c r="V108" s="3"/>
      <c r="W108" s="3"/>
      <c r="X108" s="3"/>
      <c r="Y108" s="3"/>
      <c r="Z108" s="3"/>
      <c r="AA108" s="3"/>
      <c r="AB108" s="3"/>
    </row>
    <row r="109" spans="1:28" ht="14" x14ac:dyDescent="0.2">
      <c r="A109" s="24" t="s">
        <v>222</v>
      </c>
      <c r="B109" s="151" t="s">
        <v>220</v>
      </c>
      <c r="C109" s="148"/>
      <c r="D109" s="19" t="s">
        <v>77</v>
      </c>
      <c r="E109" s="39" t="s">
        <v>155</v>
      </c>
      <c r="F109" s="27"/>
      <c r="G109" s="27"/>
      <c r="H109" s="24" t="s">
        <v>326</v>
      </c>
      <c r="I109" s="25"/>
      <c r="J109" s="25"/>
      <c r="K109" s="25"/>
      <c r="L109" s="25"/>
      <c r="M109" s="25"/>
      <c r="N109" s="3"/>
      <c r="O109" s="3"/>
      <c r="P109" s="3"/>
      <c r="Q109" s="3"/>
      <c r="R109" s="3"/>
      <c r="S109" s="3"/>
      <c r="T109" s="3"/>
      <c r="U109" s="3"/>
      <c r="V109" s="3"/>
      <c r="W109" s="3"/>
      <c r="X109" s="3"/>
      <c r="Y109" s="3"/>
      <c r="Z109" s="3"/>
      <c r="AA109" s="3"/>
      <c r="AB109" s="3"/>
    </row>
    <row r="110" spans="1:28" ht="14" x14ac:dyDescent="0.2">
      <c r="A110" s="24" t="s">
        <v>224</v>
      </c>
      <c r="B110" s="151" t="s">
        <v>225</v>
      </c>
      <c r="C110" s="148"/>
      <c r="D110" s="19" t="s">
        <v>77</v>
      </c>
      <c r="E110" s="39" t="s">
        <v>155</v>
      </c>
      <c r="F110" s="27">
        <v>302</v>
      </c>
      <c r="G110" s="27"/>
      <c r="H110" s="24" t="s">
        <v>101</v>
      </c>
      <c r="I110" s="25"/>
      <c r="J110" s="25"/>
      <c r="K110" s="25"/>
      <c r="L110" s="25"/>
      <c r="M110" s="25"/>
      <c r="N110" s="3"/>
      <c r="O110" s="3"/>
      <c r="P110" s="3"/>
      <c r="Q110" s="3"/>
      <c r="R110" s="3"/>
      <c r="S110" s="3"/>
      <c r="T110" s="3"/>
      <c r="U110" s="3"/>
      <c r="V110" s="3"/>
      <c r="W110" s="3"/>
      <c r="X110" s="3"/>
      <c r="Y110" s="3"/>
      <c r="Z110" s="3"/>
      <c r="AA110" s="3"/>
      <c r="AB110" s="3"/>
    </row>
    <row r="111" spans="1:28" ht="14" x14ac:dyDescent="0.2">
      <c r="A111" s="3"/>
      <c r="B111" s="3"/>
      <c r="C111" s="3"/>
      <c r="D111" s="3"/>
      <c r="F111" s="23">
        <f>SUM(F78:F110)</f>
        <v>565.69000000000005</v>
      </c>
      <c r="G111" s="23">
        <f>SUM(G79:G110)</f>
        <v>5656.12</v>
      </c>
      <c r="H111" s="3"/>
      <c r="I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4" x14ac:dyDescent="0.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ht="14" x14ac:dyDescent="0.2">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ht="14" x14ac:dyDescent="0.2">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ht="14" x14ac:dyDescent="0.2">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sheetData>
  <mergeCells count="40">
    <mergeCell ref="B108:C108"/>
    <mergeCell ref="H108:L108"/>
    <mergeCell ref="B109:C109"/>
    <mergeCell ref="B110:C110"/>
    <mergeCell ref="B103:C103"/>
    <mergeCell ref="H103:L103"/>
    <mergeCell ref="B104:C104"/>
    <mergeCell ref="B105:C105"/>
    <mergeCell ref="B107:C107"/>
    <mergeCell ref="H107:K107"/>
    <mergeCell ref="B100:C100"/>
    <mergeCell ref="H100:L100"/>
    <mergeCell ref="B101:C101"/>
    <mergeCell ref="H101:L101"/>
    <mergeCell ref="B102:C102"/>
    <mergeCell ref="H102:L102"/>
    <mergeCell ref="H96:L96"/>
    <mergeCell ref="B97:C97"/>
    <mergeCell ref="B98:C98"/>
    <mergeCell ref="H98:L98"/>
    <mergeCell ref="B99:C99"/>
    <mergeCell ref="H99:L99"/>
    <mergeCell ref="B96:C96"/>
    <mergeCell ref="B89:C89"/>
    <mergeCell ref="B91:C91"/>
    <mergeCell ref="B92:C92"/>
    <mergeCell ref="B93:C93"/>
    <mergeCell ref="B94:C94"/>
    <mergeCell ref="B88:C88"/>
    <mergeCell ref="B77:C77"/>
    <mergeCell ref="B78:C78"/>
    <mergeCell ref="B79:C79"/>
    <mergeCell ref="B80:C80"/>
    <mergeCell ref="B81:C81"/>
    <mergeCell ref="B82:C82"/>
    <mergeCell ref="B83:C83"/>
    <mergeCell ref="B84:C84"/>
    <mergeCell ref="B85:C85"/>
    <mergeCell ref="B86:C86"/>
    <mergeCell ref="B87:C87"/>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CD72-3369-AA4E-A938-49F464968C56}">
  <sheetPr>
    <outlinePr summaryBelow="0" summaryRight="0"/>
    <pageSetUpPr fitToPage="1"/>
  </sheetPr>
  <dimension ref="A1:AB1055"/>
  <sheetViews>
    <sheetView topLeftCell="A23" zoomScale="120" zoomScaleNormal="120" workbookViewId="0">
      <selection activeCell="J35" sqref="J35:J36"/>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46054</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B9+B60+100563</f>
        <v>441376</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7310</v>
      </c>
      <c r="C4" s="35" t="s">
        <v>415</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7346.48</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36.479999999999563</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26.75</v>
      </c>
      <c r="D13" s="3">
        <v>299.58999999999997</v>
      </c>
      <c r="E13" s="3"/>
      <c r="F13" s="3">
        <v>54.46</v>
      </c>
      <c r="G13" s="3">
        <v>7.84</v>
      </c>
      <c r="H13" s="3">
        <v>2.5</v>
      </c>
      <c r="I13" s="3">
        <v>75.760000000000005</v>
      </c>
      <c r="J13" s="3">
        <v>19.5</v>
      </c>
      <c r="K13" s="3">
        <v>75.099999999999994</v>
      </c>
      <c r="L13" s="3">
        <v>3.5</v>
      </c>
      <c r="M13" s="3">
        <v>15</v>
      </c>
      <c r="N13" s="3">
        <v>21.75</v>
      </c>
      <c r="O13" s="3">
        <v>723.33</v>
      </c>
      <c r="P13" s="3">
        <v>282.25</v>
      </c>
      <c r="Q13" s="3"/>
      <c r="R13" s="3">
        <v>29.5</v>
      </c>
      <c r="S13" s="3">
        <v>22.5</v>
      </c>
      <c r="T13" s="34">
        <f>SUM(C13:S13)</f>
        <v>1659.33</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20.92</v>
      </c>
      <c r="D18" s="3">
        <v>29.83</v>
      </c>
      <c r="E18" s="3"/>
      <c r="F18" s="3">
        <v>1.25</v>
      </c>
      <c r="G18" s="3">
        <v>1.5</v>
      </c>
      <c r="H18" s="3"/>
      <c r="I18" s="3">
        <v>4.57</v>
      </c>
      <c r="J18" s="34">
        <f t="shared" si="0"/>
        <v>58.07</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t="s">
        <v>406</v>
      </c>
      <c r="M19" s="3"/>
      <c r="N19" s="126"/>
      <c r="O19" s="3" t="s">
        <v>336</v>
      </c>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t="s">
        <v>333</v>
      </c>
      <c r="M20" s="3"/>
      <c r="N20" s="126"/>
      <c r="O20" s="3" t="s">
        <v>407</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c r="D22" s="3">
        <v>6.25</v>
      </c>
      <c r="E22" s="3">
        <v>1.25</v>
      </c>
      <c r="F22" s="3"/>
      <c r="G22" s="3"/>
      <c r="H22" s="3">
        <v>0.5</v>
      </c>
      <c r="I22" s="3"/>
      <c r="J22" s="34">
        <f t="shared" si="0"/>
        <v>8</v>
      </c>
      <c r="K22" s="3"/>
      <c r="L22" s="3" t="s">
        <v>333</v>
      </c>
      <c r="M22" s="3"/>
      <c r="N22" s="125"/>
      <c r="O22" s="3" t="s">
        <v>363</v>
      </c>
      <c r="P22" s="3"/>
      <c r="Q22" s="3"/>
      <c r="R22" s="3"/>
      <c r="S22" s="3"/>
      <c r="T22" s="3"/>
      <c r="U22" s="3"/>
      <c r="V22" s="3"/>
      <c r="W22" s="3"/>
      <c r="X22" s="3"/>
      <c r="Y22" s="3"/>
      <c r="Z22" s="3"/>
      <c r="AA22" s="3"/>
      <c r="AB22" s="3"/>
    </row>
    <row r="23" spans="1:28" ht="14" x14ac:dyDescent="0.2">
      <c r="A23" s="3" t="s">
        <v>416</v>
      </c>
      <c r="B23" s="3"/>
      <c r="C23" s="3"/>
      <c r="D23" s="3"/>
      <c r="E23" s="3"/>
      <c r="F23" s="3"/>
      <c r="G23" s="3"/>
      <c r="H23" s="3"/>
      <c r="I23" s="3"/>
      <c r="J23" s="34">
        <f t="shared" si="0"/>
        <v>0</v>
      </c>
      <c r="K23" s="3"/>
      <c r="L23" s="3" t="s">
        <v>424</v>
      </c>
      <c r="M23" s="3"/>
      <c r="N23" s="125"/>
      <c r="O23" s="3" t="s">
        <v>425</v>
      </c>
      <c r="P23" s="3"/>
      <c r="Q23" s="3"/>
      <c r="R23" s="3"/>
      <c r="S23" s="3"/>
      <c r="T23" s="3"/>
      <c r="U23" s="3"/>
      <c r="V23" s="3"/>
      <c r="W23" s="3"/>
      <c r="X23" s="3"/>
      <c r="Y23" s="3"/>
      <c r="Z23" s="3"/>
      <c r="AA23" s="3"/>
      <c r="AB23" s="3"/>
    </row>
    <row r="24" spans="1:28" ht="14" x14ac:dyDescent="0.2">
      <c r="A24" s="3" t="s">
        <v>417</v>
      </c>
      <c r="B24" s="3"/>
      <c r="C24" s="3"/>
      <c r="D24" s="3"/>
      <c r="E24" s="3"/>
      <c r="F24" s="3"/>
      <c r="G24" s="3"/>
      <c r="H24" s="3"/>
      <c r="I24" s="3"/>
      <c r="J24" s="34">
        <f t="shared" si="0"/>
        <v>0</v>
      </c>
      <c r="K24" s="3"/>
      <c r="L24" s="3" t="s">
        <v>424</v>
      </c>
      <c r="M24" s="3"/>
      <c r="N24" s="125"/>
      <c r="O24" s="3" t="s">
        <v>426</v>
      </c>
      <c r="P24" s="3"/>
      <c r="Q24" s="3"/>
      <c r="R24" s="3"/>
      <c r="S24" s="3"/>
      <c r="T24" s="3"/>
      <c r="U24" s="3"/>
      <c r="V24" s="3"/>
      <c r="W24" s="3"/>
      <c r="X24" s="3"/>
      <c r="Y24" s="3"/>
      <c r="Z24" s="3"/>
      <c r="AA24" s="3"/>
      <c r="AB24" s="3"/>
    </row>
    <row r="25" spans="1:28" ht="14" x14ac:dyDescent="0.2">
      <c r="A25" s="3" t="s">
        <v>14</v>
      </c>
      <c r="B25" s="3" t="s">
        <v>133</v>
      </c>
      <c r="C25" s="3">
        <v>532.87</v>
      </c>
      <c r="D25" s="3">
        <v>308.01</v>
      </c>
      <c r="E25" s="3">
        <v>364.94</v>
      </c>
      <c r="F25" s="3">
        <v>60.33</v>
      </c>
      <c r="G25" s="3">
        <v>71.5</v>
      </c>
      <c r="H25" s="3">
        <v>4.75</v>
      </c>
      <c r="I25" s="3">
        <v>3.42</v>
      </c>
      <c r="J25" s="34">
        <f t="shared" si="0"/>
        <v>1345.82</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v>215.66</v>
      </c>
      <c r="D26" s="3">
        <v>36.17</v>
      </c>
      <c r="E26" s="3"/>
      <c r="F26" s="3">
        <v>5.25</v>
      </c>
      <c r="G26" s="3"/>
      <c r="H26" s="3">
        <v>8</v>
      </c>
      <c r="I26" s="3"/>
      <c r="J26" s="34">
        <f t="shared" si="0"/>
        <v>265.08</v>
      </c>
      <c r="K26" s="3"/>
      <c r="L26" s="3" t="s">
        <v>408</v>
      </c>
      <c r="M26" s="3"/>
      <c r="N26" s="126" t="s">
        <v>409</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f t="shared" si="0"/>
        <v>0</v>
      </c>
      <c r="K27" s="3"/>
      <c r="L27" s="3" t="s">
        <v>341</v>
      </c>
      <c r="M27" s="3"/>
      <c r="N27" s="126"/>
      <c r="O27" s="3" t="s">
        <v>427</v>
      </c>
      <c r="P27" s="3"/>
      <c r="Q27" s="3"/>
      <c r="R27" s="3"/>
      <c r="S27" s="3"/>
      <c r="T27" s="3"/>
      <c r="U27" s="3"/>
      <c r="V27" s="3"/>
      <c r="W27" s="3"/>
      <c r="X27" s="3"/>
      <c r="Y27" s="3"/>
      <c r="Z27" s="3"/>
      <c r="AA27" s="3"/>
      <c r="AB27" s="3"/>
    </row>
    <row r="28" spans="1:28" ht="14" x14ac:dyDescent="0.2">
      <c r="A28" s="3" t="s">
        <v>122</v>
      </c>
      <c r="B28" s="3" t="s">
        <v>134</v>
      </c>
      <c r="C28" s="3"/>
      <c r="D28" s="3"/>
      <c r="E28" s="3"/>
      <c r="F28" s="3"/>
      <c r="G28" s="3"/>
      <c r="H28" s="3"/>
      <c r="I28" s="3"/>
      <c r="J28" s="34">
        <f t="shared" si="0"/>
        <v>0</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v>98.01</v>
      </c>
      <c r="D29" s="3">
        <v>3.25</v>
      </c>
      <c r="E29" s="3"/>
      <c r="F29" s="3">
        <v>35.75</v>
      </c>
      <c r="G29" s="3"/>
      <c r="H29" s="3">
        <v>1.25</v>
      </c>
      <c r="I29" s="3"/>
      <c r="J29" s="34">
        <f t="shared" si="0"/>
        <v>138.26</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v>17.920000000000002</v>
      </c>
      <c r="D30" s="3">
        <v>15.5</v>
      </c>
      <c r="F30" s="3"/>
      <c r="G30" s="3"/>
      <c r="H30" s="3"/>
      <c r="I30" s="3"/>
      <c r="J30" s="34">
        <f t="shared" si="0"/>
        <v>33.42</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65.23</v>
      </c>
      <c r="D31" s="3">
        <v>47.5</v>
      </c>
      <c r="E31" s="3">
        <v>13.75</v>
      </c>
      <c r="F31" s="3">
        <v>27.25</v>
      </c>
      <c r="G31" s="3"/>
      <c r="H31" s="3"/>
      <c r="I31" s="3"/>
      <c r="J31" s="34">
        <f t="shared" si="0"/>
        <v>153.73000000000002</v>
      </c>
      <c r="K31" s="3"/>
      <c r="L31" s="3" t="s">
        <v>53</v>
      </c>
      <c r="M31" s="3"/>
      <c r="N31" s="125">
        <v>46174</v>
      </c>
      <c r="O31" s="3" t="s">
        <v>352</v>
      </c>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c r="M32" s="3"/>
      <c r="N32" s="126"/>
      <c r="O32" s="3"/>
      <c r="P32" s="3"/>
      <c r="Q32" s="3"/>
      <c r="R32" s="3"/>
      <c r="S32" s="3"/>
      <c r="T32" s="3"/>
      <c r="U32" s="3"/>
      <c r="V32" s="3"/>
      <c r="W32" s="3"/>
      <c r="X32" s="3"/>
      <c r="Y32" s="3"/>
      <c r="Z32" s="3"/>
      <c r="AA32" s="3"/>
      <c r="AB32" s="3"/>
    </row>
    <row r="33" spans="1:28" ht="14" x14ac:dyDescent="0.2">
      <c r="A33" s="3" t="s">
        <v>16</v>
      </c>
      <c r="B33" s="3" t="s">
        <v>180</v>
      </c>
      <c r="C33" s="3">
        <v>100.5</v>
      </c>
      <c r="D33" s="3">
        <v>90.91</v>
      </c>
      <c r="E33" s="3"/>
      <c r="F33" s="3">
        <v>129.37</v>
      </c>
      <c r="G33" s="3">
        <v>9</v>
      </c>
      <c r="H33" s="3">
        <v>19.75</v>
      </c>
      <c r="I33" s="3">
        <v>1.75</v>
      </c>
      <c r="J33" s="34">
        <f t="shared" si="0"/>
        <v>351.28</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v>291.66000000000003</v>
      </c>
      <c r="D34" s="3">
        <v>171.96</v>
      </c>
      <c r="E34" s="3"/>
      <c r="F34" s="3">
        <v>225.48</v>
      </c>
      <c r="G34" s="3"/>
      <c r="H34" s="3">
        <v>2.5</v>
      </c>
      <c r="I34" s="3"/>
      <c r="J34" s="34">
        <f t="shared" si="0"/>
        <v>691.6</v>
      </c>
      <c r="K34" s="3"/>
      <c r="L34" s="3" t="s">
        <v>52</v>
      </c>
      <c r="M34" s="3"/>
      <c r="N34" s="126" t="s">
        <v>98</v>
      </c>
      <c r="O34" s="3" t="s">
        <v>353</v>
      </c>
      <c r="P34" s="3"/>
      <c r="Q34" s="3"/>
      <c r="R34" s="3"/>
      <c r="S34" s="3"/>
      <c r="T34" s="3"/>
      <c r="U34" s="3"/>
      <c r="V34" s="3"/>
      <c r="W34" s="3"/>
      <c r="X34" s="3"/>
      <c r="Y34" s="3"/>
      <c r="Z34" s="3"/>
      <c r="AA34" s="3"/>
      <c r="AB34" s="3"/>
    </row>
    <row r="35" spans="1:28" ht="14" x14ac:dyDescent="0.2">
      <c r="A35" s="3" t="s">
        <v>162</v>
      </c>
      <c r="B35" s="3"/>
      <c r="C35" s="3"/>
      <c r="D35" s="3">
        <v>5.62</v>
      </c>
      <c r="E35" s="3"/>
      <c r="F35" s="3">
        <v>10</v>
      </c>
      <c r="G35" s="3"/>
      <c r="H35" s="3"/>
      <c r="I35" s="3"/>
      <c r="J35" s="34">
        <f t="shared" si="0"/>
        <v>15.620000000000001</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c r="D36" s="3"/>
      <c r="E36" s="3"/>
      <c r="F36" s="3"/>
      <c r="G36" s="3"/>
      <c r="H36" s="3"/>
      <c r="I36" s="3"/>
      <c r="J36" s="34">
        <f t="shared" si="0"/>
        <v>0</v>
      </c>
      <c r="K36" s="3"/>
      <c r="L36" s="3"/>
      <c r="M36" s="3"/>
      <c r="N36" s="126"/>
      <c r="O36" s="3"/>
      <c r="P36" s="3"/>
      <c r="Q36" s="3"/>
      <c r="R36" s="3"/>
      <c r="S36" s="3"/>
      <c r="T36" s="3"/>
      <c r="U36" s="3"/>
      <c r="V36" s="3"/>
      <c r="W36" s="3"/>
      <c r="X36" s="3"/>
      <c r="Y36" s="3"/>
      <c r="Z36" s="3"/>
      <c r="AA36" s="3"/>
      <c r="AB36" s="3"/>
    </row>
    <row r="37" spans="1:28" ht="14" x14ac:dyDescent="0.2">
      <c r="A37" s="3" t="s">
        <v>171</v>
      </c>
      <c r="B37" s="3" t="s">
        <v>181</v>
      </c>
      <c r="C37" s="3"/>
      <c r="D37" s="3">
        <v>2.25</v>
      </c>
      <c r="E37" s="3"/>
      <c r="F37" s="3"/>
      <c r="G37" s="3"/>
      <c r="H37" s="3"/>
      <c r="I37" s="3"/>
      <c r="J37" s="34">
        <f t="shared" si="0"/>
        <v>2.25</v>
      </c>
      <c r="K37" s="3"/>
      <c r="L37" s="3" t="s">
        <v>410</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141.87</v>
      </c>
      <c r="D39" s="3">
        <v>38.75</v>
      </c>
      <c r="E39" s="3">
        <v>36</v>
      </c>
      <c r="F39" s="3">
        <v>47.67</v>
      </c>
      <c r="G39" s="3"/>
      <c r="H39" s="3"/>
      <c r="I39" s="3"/>
      <c r="J39" s="34">
        <f t="shared" si="0"/>
        <v>264.29000000000002</v>
      </c>
      <c r="K39" s="3"/>
      <c r="L39" s="3" t="s">
        <v>411</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v>5.25</v>
      </c>
      <c r="E40" s="3"/>
      <c r="F40" s="3">
        <v>13.75</v>
      </c>
      <c r="G40" s="3"/>
      <c r="H40" s="3"/>
      <c r="I40" s="3"/>
      <c r="J40" s="34">
        <f t="shared" si="0"/>
        <v>19</v>
      </c>
      <c r="K40" s="3"/>
      <c r="L40" s="3" t="s">
        <v>412</v>
      </c>
      <c r="M40" s="3"/>
      <c r="N40" s="126"/>
      <c r="O40" s="3" t="s">
        <v>396</v>
      </c>
      <c r="P40" s="3"/>
      <c r="Q40" s="3"/>
      <c r="R40" s="3"/>
      <c r="S40" s="3"/>
      <c r="T40" s="3"/>
      <c r="U40" s="3"/>
      <c r="V40" s="3"/>
      <c r="W40" s="3"/>
      <c r="X40" s="3"/>
      <c r="Y40" s="3"/>
      <c r="Z40" s="3"/>
      <c r="AA40" s="3"/>
      <c r="AB40" s="3"/>
    </row>
    <row r="41" spans="1:28" ht="14" x14ac:dyDescent="0.2">
      <c r="A41" s="3" t="s">
        <v>418</v>
      </c>
      <c r="B41" s="3"/>
      <c r="C41" s="3"/>
      <c r="D41" s="3"/>
      <c r="E41" s="3"/>
      <c r="F41" s="3"/>
      <c r="G41" s="3"/>
      <c r="H41" s="3"/>
      <c r="I41" s="3"/>
      <c r="J41" s="34">
        <f t="shared" si="0"/>
        <v>0</v>
      </c>
      <c r="K41" s="3"/>
      <c r="L41" s="3" t="s">
        <v>408</v>
      </c>
      <c r="M41" s="3"/>
      <c r="N41" s="126"/>
      <c r="O41" s="3" t="s">
        <v>431</v>
      </c>
      <c r="P41" s="3"/>
      <c r="Q41" s="3"/>
      <c r="R41" s="3"/>
      <c r="S41" s="3"/>
      <c r="T41" s="3"/>
      <c r="U41" s="3"/>
      <c r="V41" s="3"/>
      <c r="W41" s="3"/>
      <c r="X41" s="3"/>
      <c r="Y41" s="3"/>
      <c r="Z41" s="3"/>
      <c r="AA41" s="3"/>
      <c r="AB41" s="3"/>
    </row>
    <row r="42" spans="1:28" ht="14" x14ac:dyDescent="0.2">
      <c r="A42" s="3" t="s">
        <v>371</v>
      </c>
      <c r="B42" s="3" t="s">
        <v>141</v>
      </c>
      <c r="C42" s="3">
        <v>13.06</v>
      </c>
      <c r="D42" s="3">
        <v>57.44</v>
      </c>
      <c r="E42" s="3"/>
      <c r="F42" s="3">
        <v>65.42</v>
      </c>
      <c r="G42" s="3"/>
      <c r="H42" s="3">
        <v>147.58000000000001</v>
      </c>
      <c r="I42" s="3"/>
      <c r="J42" s="34">
        <f t="shared" si="0"/>
        <v>283.5</v>
      </c>
      <c r="K42" s="3"/>
      <c r="L42" s="3" t="s">
        <v>34</v>
      </c>
      <c r="M42" s="3"/>
      <c r="N42" s="126" t="s">
        <v>98</v>
      </c>
      <c r="O42" s="3" t="s">
        <v>379</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436.38</v>
      </c>
      <c r="D44" s="3">
        <v>141.78</v>
      </c>
      <c r="E44" s="3">
        <v>106.5</v>
      </c>
      <c r="F44" s="3">
        <v>23.42</v>
      </c>
      <c r="G44" s="3"/>
      <c r="H44" s="3">
        <v>6.75</v>
      </c>
      <c r="I44" s="3"/>
      <c r="J44" s="34">
        <f t="shared" si="0"/>
        <v>714.82999999999993</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325.12</v>
      </c>
      <c r="D45" s="3">
        <v>87.55</v>
      </c>
      <c r="E45" s="3">
        <v>95</v>
      </c>
      <c r="F45" s="3">
        <v>162.99</v>
      </c>
      <c r="G45" s="3">
        <v>0.75</v>
      </c>
      <c r="H45" s="3"/>
      <c r="I45" s="3">
        <v>4.25</v>
      </c>
      <c r="J45" s="34">
        <f t="shared" si="0"/>
        <v>675.66000000000008</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f t="shared" si="0"/>
        <v>0</v>
      </c>
      <c r="K46" s="3"/>
      <c r="L46" s="3" t="s">
        <v>341</v>
      </c>
      <c r="M46" s="3"/>
      <c r="N46" s="126"/>
      <c r="O46" s="3" t="s">
        <v>428</v>
      </c>
      <c r="P46" s="3"/>
      <c r="Q46" s="3"/>
      <c r="R46" s="3"/>
      <c r="S46" s="3"/>
      <c r="T46" s="3"/>
      <c r="U46" s="3"/>
      <c r="V46" s="3"/>
      <c r="W46" s="3"/>
      <c r="X46" s="3"/>
      <c r="Y46" s="3"/>
      <c r="Z46" s="3"/>
      <c r="AA46" s="3"/>
      <c r="AB46" s="3"/>
    </row>
    <row r="47" spans="1:28" ht="14" x14ac:dyDescent="0.2">
      <c r="A47" s="3" t="s">
        <v>187</v>
      </c>
      <c r="B47" s="3"/>
      <c r="C47" s="3"/>
      <c r="D47" s="3">
        <v>1.75</v>
      </c>
      <c r="E47" s="3"/>
      <c r="F47" s="3"/>
      <c r="G47" s="3"/>
      <c r="H47" s="3"/>
      <c r="I47" s="3"/>
      <c r="J47" s="34">
        <f t="shared" si="0"/>
        <v>1.75</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v>43.25</v>
      </c>
      <c r="D48" s="3">
        <v>18.25</v>
      </c>
      <c r="E48" s="3"/>
      <c r="F48" s="3">
        <v>5.25</v>
      </c>
      <c r="G48" s="3"/>
      <c r="H48" s="3">
        <v>2.5</v>
      </c>
      <c r="I48" s="3"/>
      <c r="J48" s="34">
        <f t="shared" si="0"/>
        <v>69.25</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365</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68.75</v>
      </c>
      <c r="D53" s="3">
        <v>30.33</v>
      </c>
      <c r="E53" s="3">
        <v>22.5</v>
      </c>
      <c r="F53" s="3">
        <v>53</v>
      </c>
      <c r="G53" s="3"/>
      <c r="H53" s="3"/>
      <c r="I53" s="3">
        <v>13.5</v>
      </c>
      <c r="J53" s="34">
        <f t="shared" si="0"/>
        <v>188.07999999999998</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c r="G55" s="3"/>
      <c r="H55" s="3"/>
      <c r="I55" s="3"/>
      <c r="J55" s="34">
        <f t="shared" si="0"/>
        <v>0</v>
      </c>
      <c r="K55" s="3"/>
      <c r="L55" s="3" t="s">
        <v>429</v>
      </c>
      <c r="M55" s="3"/>
      <c r="N55" s="126"/>
      <c r="O55" s="3" t="s">
        <v>430</v>
      </c>
      <c r="P55" s="3"/>
      <c r="Q55" s="3"/>
      <c r="R55" s="3"/>
      <c r="S55" s="3"/>
      <c r="T55" s="3"/>
      <c r="U55" s="3"/>
      <c r="V55" s="3"/>
      <c r="W55" s="3"/>
      <c r="X55" s="3"/>
      <c r="Y55" s="3"/>
      <c r="Z55" s="3"/>
      <c r="AA55" s="3"/>
      <c r="AB55" s="3"/>
    </row>
    <row r="56" spans="1:28" ht="14" x14ac:dyDescent="0.2">
      <c r="A56" s="3" t="s">
        <v>21</v>
      </c>
      <c r="B56" s="3" t="s">
        <v>148</v>
      </c>
      <c r="C56" s="3">
        <v>44.32</v>
      </c>
      <c r="D56" s="3">
        <v>37.54</v>
      </c>
      <c r="E56" s="3"/>
      <c r="F56" s="3">
        <v>21</v>
      </c>
      <c r="G56" s="3"/>
      <c r="H56" s="3">
        <v>1</v>
      </c>
      <c r="I56" s="3">
        <v>0.25</v>
      </c>
      <c r="J56" s="34">
        <f t="shared" si="0"/>
        <v>104.11</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5383.5999999999995</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1.75</v>
      </c>
      <c r="D64" s="3"/>
      <c r="E64" s="3">
        <v>0.5</v>
      </c>
      <c r="F64" s="3"/>
      <c r="G64" s="1">
        <f t="shared" ref="G64:G71" si="1">SUM(C64:F64)</f>
        <v>2.25</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176.78</v>
      </c>
      <c r="D65" s="3"/>
      <c r="E65" s="3">
        <v>26.75</v>
      </c>
      <c r="F65" s="3"/>
      <c r="G65" s="1">
        <f t="shared" si="1"/>
        <v>203.53</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3.84</v>
      </c>
      <c r="D66" s="3"/>
      <c r="E66" s="3"/>
      <c r="F66" s="3"/>
      <c r="G66" s="1">
        <f t="shared" si="1"/>
        <v>3.84</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51.09</v>
      </c>
      <c r="D67" s="3"/>
      <c r="E67" s="3">
        <v>9.25</v>
      </c>
      <c r="F67" s="3"/>
      <c r="G67" s="1">
        <f t="shared" si="1"/>
        <v>60.34</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22.84</v>
      </c>
      <c r="D68" s="3"/>
      <c r="E68" s="3">
        <v>4.75</v>
      </c>
      <c r="F68" s="3"/>
      <c r="G68" s="1">
        <f t="shared" si="1"/>
        <v>27.59</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c r="D70" s="3"/>
      <c r="E70" s="3"/>
      <c r="F70" s="3"/>
      <c r="G70" s="1">
        <f t="shared" si="1"/>
        <v>0</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5.42</v>
      </c>
      <c r="D71" s="3"/>
      <c r="E71" s="3">
        <v>0.5</v>
      </c>
      <c r="F71" s="3">
        <v>0.08</v>
      </c>
      <c r="G71" s="1">
        <f t="shared" si="1"/>
        <v>6</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261.72000000000003</v>
      </c>
      <c r="D72" s="1">
        <f>SUM(D63:D71)</f>
        <v>0</v>
      </c>
      <c r="E72" s="1">
        <f>SUM(E63:E71)</f>
        <v>41.75</v>
      </c>
      <c r="F72" s="1">
        <f>SUM(F63:F71)</f>
        <v>0.08</v>
      </c>
      <c r="G72" s="1">
        <f>SUM(C72:F72)</f>
        <v>303.55</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3738.24</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54.37</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402</v>
      </c>
      <c r="B95" s="18" t="s">
        <v>403</v>
      </c>
      <c r="C95" s="29"/>
      <c r="D95" s="19" t="s">
        <v>77</v>
      </c>
      <c r="E95" s="19" t="s">
        <v>376</v>
      </c>
      <c r="F95" s="20"/>
      <c r="G95" s="20">
        <v>473.79</v>
      </c>
      <c r="H95" s="18" t="s">
        <v>404</v>
      </c>
      <c r="I95" s="28"/>
      <c r="J95" s="28"/>
      <c r="K95" s="28"/>
      <c r="L95" s="28"/>
      <c r="M95" s="29"/>
      <c r="N95" s="3"/>
      <c r="O95" s="3"/>
      <c r="P95" s="3"/>
      <c r="Q95" s="3"/>
      <c r="R95" s="3"/>
      <c r="S95" s="3"/>
      <c r="T95" s="3"/>
      <c r="U95" s="3"/>
      <c r="V95" s="3"/>
      <c r="W95" s="3"/>
      <c r="X95" s="3"/>
      <c r="Y95" s="3"/>
      <c r="Z95" s="3"/>
      <c r="AA95" s="3"/>
      <c r="AB95" s="3"/>
    </row>
    <row r="96" spans="1:28" ht="14" x14ac:dyDescent="0.2">
      <c r="A96" s="17" t="s">
        <v>205</v>
      </c>
      <c r="B96" s="146" t="s">
        <v>70</v>
      </c>
      <c r="C96" s="154"/>
      <c r="D96" s="19" t="s">
        <v>206</v>
      </c>
      <c r="E96" s="19" t="s">
        <v>153</v>
      </c>
      <c r="F96" s="20"/>
      <c r="G96" s="20">
        <v>721.57</v>
      </c>
      <c r="H96" s="146" t="s">
        <v>388</v>
      </c>
      <c r="I96" s="155"/>
      <c r="J96" s="155"/>
      <c r="K96" s="155"/>
      <c r="L96" s="155"/>
      <c r="M96" s="29"/>
      <c r="N96" s="3"/>
      <c r="O96" s="3"/>
      <c r="P96" s="3"/>
      <c r="Q96" s="3"/>
      <c r="R96" s="3"/>
      <c r="S96" s="3"/>
      <c r="T96" s="3"/>
      <c r="U96" s="3"/>
      <c r="V96" s="3"/>
      <c r="W96" s="3"/>
      <c r="X96" s="3"/>
      <c r="Y96" s="3"/>
      <c r="Z96" s="3"/>
      <c r="AA96" s="3"/>
      <c r="AB96" s="3"/>
    </row>
    <row r="97" spans="1:28" ht="14" x14ac:dyDescent="0.2">
      <c r="A97" s="17" t="s">
        <v>389</v>
      </c>
      <c r="B97" s="146" t="s">
        <v>390</v>
      </c>
      <c r="C97" s="154"/>
      <c r="D97" s="19" t="s">
        <v>206</v>
      </c>
      <c r="E97" s="19" t="s">
        <v>283</v>
      </c>
      <c r="F97" s="20"/>
      <c r="G97" s="20"/>
      <c r="H97" s="18" t="s">
        <v>398</v>
      </c>
      <c r="I97" s="129"/>
      <c r="J97" s="129"/>
      <c r="K97" s="129"/>
      <c r="L97" s="129"/>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213</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209</v>
      </c>
      <c r="F99" s="20"/>
      <c r="G99" s="20"/>
      <c r="H99" s="146" t="s">
        <v>214</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209</v>
      </c>
      <c r="F100" s="20"/>
      <c r="G100" s="20"/>
      <c r="H100" s="146" t="s">
        <v>215</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208</v>
      </c>
      <c r="B101" s="146" t="s">
        <v>70</v>
      </c>
      <c r="C101" s="148"/>
      <c r="D101" s="19" t="s">
        <v>206</v>
      </c>
      <c r="E101" s="19" t="s">
        <v>210</v>
      </c>
      <c r="F101" s="20"/>
      <c r="G101" s="20"/>
      <c r="H101" s="146" t="s">
        <v>211</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208</v>
      </c>
      <c r="B102" s="146" t="s">
        <v>70</v>
      </c>
      <c r="C102" s="148"/>
      <c r="D102" s="19" t="s">
        <v>206</v>
      </c>
      <c r="E102" s="19" t="s">
        <v>210</v>
      </c>
      <c r="F102" s="20"/>
      <c r="G102" s="20"/>
      <c r="H102" s="146" t="s">
        <v>212</v>
      </c>
      <c r="I102" s="151"/>
      <c r="J102" s="151"/>
      <c r="K102" s="151"/>
      <c r="L102" s="151"/>
      <c r="M102" s="29"/>
      <c r="N102" s="3"/>
      <c r="O102" s="3"/>
      <c r="P102" s="3"/>
      <c r="Q102" s="3"/>
      <c r="R102" s="3"/>
      <c r="S102" s="3"/>
      <c r="T102" s="3"/>
      <c r="U102" s="3"/>
      <c r="V102" s="3"/>
      <c r="W102" s="3"/>
      <c r="X102" s="3"/>
      <c r="Y102" s="3"/>
      <c r="Z102" s="3"/>
      <c r="AA102" s="3"/>
      <c r="AB102" s="3"/>
    </row>
    <row r="103" spans="1:28" ht="14" x14ac:dyDescent="0.2">
      <c r="A103" s="17" t="s">
        <v>216</v>
      </c>
      <c r="B103" s="146" t="s">
        <v>217</v>
      </c>
      <c r="C103" s="154"/>
      <c r="D103" s="19" t="s">
        <v>206</v>
      </c>
      <c r="E103" s="19" t="s">
        <v>155</v>
      </c>
      <c r="F103" s="20"/>
      <c r="G103" s="20"/>
      <c r="H103" s="146" t="s">
        <v>218</v>
      </c>
      <c r="I103" s="151"/>
      <c r="J103" s="151"/>
      <c r="K103" s="151"/>
      <c r="L103" s="151"/>
      <c r="M103" s="29"/>
      <c r="N103" s="3"/>
      <c r="O103" s="3"/>
      <c r="P103" s="3"/>
      <c r="Q103" s="3"/>
      <c r="R103" s="3"/>
      <c r="S103" s="3"/>
      <c r="T103" s="3"/>
      <c r="U103" s="3"/>
      <c r="V103" s="3"/>
      <c r="W103" s="3"/>
      <c r="X103" s="3"/>
      <c r="Y103" s="3"/>
      <c r="Z103" s="3"/>
      <c r="AA103" s="3"/>
      <c r="AB103" s="3"/>
    </row>
    <row r="104" spans="1:28" ht="14" x14ac:dyDescent="0.2">
      <c r="A104" s="17" t="s">
        <v>391</v>
      </c>
      <c r="B104" s="146" t="s">
        <v>19</v>
      </c>
      <c r="C104" s="148"/>
      <c r="D104" s="19" t="s">
        <v>77</v>
      </c>
      <c r="E104" s="19" t="s">
        <v>392</v>
      </c>
      <c r="F104" s="20"/>
      <c r="G104" s="20"/>
      <c r="H104" s="18" t="s">
        <v>395</v>
      </c>
      <c r="I104" s="30"/>
      <c r="J104" s="30"/>
      <c r="K104" s="30"/>
      <c r="L104" s="30"/>
      <c r="M104" s="29"/>
      <c r="N104" s="3"/>
      <c r="O104" s="3"/>
      <c r="P104" s="3"/>
      <c r="Q104" s="3"/>
      <c r="R104" s="3"/>
      <c r="S104" s="3"/>
      <c r="T104" s="3"/>
      <c r="U104" s="3"/>
      <c r="V104" s="3"/>
      <c r="W104" s="3"/>
      <c r="X104" s="3"/>
      <c r="Y104" s="3"/>
      <c r="Z104" s="3"/>
      <c r="AA104" s="3"/>
      <c r="AB104" s="3"/>
    </row>
    <row r="105" spans="1:28" ht="14" x14ac:dyDescent="0.2">
      <c r="A105" s="17" t="s">
        <v>393</v>
      </c>
      <c r="B105" s="146" t="s">
        <v>19</v>
      </c>
      <c r="C105" s="148"/>
      <c r="D105" s="19" t="s">
        <v>77</v>
      </c>
      <c r="E105" s="19" t="s">
        <v>153</v>
      </c>
      <c r="F105" s="20"/>
      <c r="G105" s="20">
        <v>686.4</v>
      </c>
      <c r="H105" s="18" t="s">
        <v>394</v>
      </c>
      <c r="I105" s="28"/>
      <c r="J105" s="28"/>
      <c r="K105" s="28"/>
      <c r="L105" s="28"/>
      <c r="M105" s="29"/>
      <c r="N105" s="3"/>
      <c r="O105" s="3"/>
      <c r="P105" s="3"/>
      <c r="Q105" s="3"/>
      <c r="R105" s="3"/>
      <c r="S105" s="3"/>
      <c r="T105" s="3"/>
      <c r="U105" s="3"/>
      <c r="V105" s="3"/>
      <c r="W105" s="3"/>
      <c r="X105" s="3"/>
      <c r="Y105" s="3"/>
      <c r="Z105" s="3"/>
      <c r="AA105" s="3"/>
      <c r="AB105" s="3"/>
    </row>
    <row r="106" spans="1:28" ht="14" x14ac:dyDescent="0.2">
      <c r="A106" s="17" t="s">
        <v>374</v>
      </c>
      <c r="B106" s="18" t="s">
        <v>375</v>
      </c>
      <c r="C106" s="29"/>
      <c r="D106" s="19" t="s">
        <v>77</v>
      </c>
      <c r="E106" s="39" t="s">
        <v>376</v>
      </c>
      <c r="F106" s="20"/>
      <c r="G106" s="20">
        <v>205</v>
      </c>
      <c r="H106" s="18" t="s">
        <v>377</v>
      </c>
      <c r="I106" s="28"/>
      <c r="J106" s="28"/>
      <c r="K106" s="28"/>
      <c r="L106" s="28"/>
      <c r="M106" s="28"/>
      <c r="N106" s="3"/>
      <c r="O106" s="3"/>
      <c r="P106" s="3"/>
      <c r="Q106" s="3"/>
      <c r="R106" s="3"/>
      <c r="S106" s="3"/>
      <c r="T106" s="3"/>
      <c r="U106" s="3"/>
      <c r="V106" s="3"/>
      <c r="W106" s="3"/>
      <c r="X106" s="3"/>
      <c r="Y106" s="3"/>
      <c r="Z106" s="3"/>
      <c r="AA106" s="3"/>
      <c r="AB106" s="3"/>
    </row>
    <row r="107" spans="1:28" ht="14" x14ac:dyDescent="0.2">
      <c r="A107" s="17" t="s">
        <v>281</v>
      </c>
      <c r="B107" s="146" t="s">
        <v>282</v>
      </c>
      <c r="C107" s="154"/>
      <c r="D107" s="19" t="s">
        <v>77</v>
      </c>
      <c r="E107" s="39" t="s">
        <v>283</v>
      </c>
      <c r="F107" s="20"/>
      <c r="G107" s="20"/>
      <c r="H107" s="146" t="s">
        <v>284</v>
      </c>
      <c r="I107" s="151"/>
      <c r="J107" s="151"/>
      <c r="K107" s="151"/>
      <c r="L107" s="28"/>
      <c r="M107" s="28"/>
      <c r="N107" s="3"/>
      <c r="O107" s="3"/>
      <c r="P107" s="3"/>
      <c r="Q107" s="3"/>
      <c r="R107" s="3"/>
      <c r="S107" s="3"/>
      <c r="T107" s="3"/>
      <c r="U107" s="3"/>
      <c r="V107" s="3"/>
      <c r="W107" s="3"/>
      <c r="X107" s="3"/>
      <c r="Y107" s="3"/>
      <c r="Z107" s="3"/>
      <c r="AA107" s="3"/>
      <c r="AB107" s="3"/>
    </row>
    <row r="108" spans="1:28" ht="14" x14ac:dyDescent="0.2">
      <c r="A108" s="17" t="s">
        <v>219</v>
      </c>
      <c r="B108" s="151" t="s">
        <v>220</v>
      </c>
      <c r="C108" s="148"/>
      <c r="D108" s="19" t="s">
        <v>77</v>
      </c>
      <c r="E108" s="39" t="s">
        <v>155</v>
      </c>
      <c r="F108" s="20"/>
      <c r="G108" s="20"/>
      <c r="H108" s="146" t="s">
        <v>221</v>
      </c>
      <c r="I108" s="151"/>
      <c r="J108" s="151"/>
      <c r="K108" s="151"/>
      <c r="L108" s="154"/>
      <c r="M108" s="18"/>
      <c r="N108" s="3"/>
      <c r="O108" s="3"/>
      <c r="P108" s="3"/>
      <c r="Q108" s="3"/>
      <c r="R108" s="3"/>
      <c r="S108" s="3"/>
      <c r="T108" s="3"/>
      <c r="U108" s="3"/>
      <c r="V108" s="3"/>
      <c r="W108" s="3"/>
      <c r="X108" s="3"/>
      <c r="Y108" s="3"/>
      <c r="Z108" s="3"/>
      <c r="AA108" s="3"/>
      <c r="AB108" s="3"/>
    </row>
    <row r="109" spans="1:28" ht="14" x14ac:dyDescent="0.2">
      <c r="A109" s="24" t="s">
        <v>222</v>
      </c>
      <c r="B109" s="151" t="s">
        <v>220</v>
      </c>
      <c r="C109" s="148"/>
      <c r="D109" s="19" t="s">
        <v>77</v>
      </c>
      <c r="E109" s="39" t="s">
        <v>155</v>
      </c>
      <c r="F109" s="27"/>
      <c r="G109" s="27"/>
      <c r="H109" s="24" t="s">
        <v>326</v>
      </c>
      <c r="I109" s="25"/>
      <c r="J109" s="25"/>
      <c r="K109" s="25"/>
      <c r="L109" s="25"/>
      <c r="M109" s="25"/>
      <c r="N109" s="3"/>
      <c r="O109" s="3"/>
      <c r="P109" s="3"/>
      <c r="Q109" s="3"/>
      <c r="R109" s="3"/>
      <c r="S109" s="3"/>
      <c r="T109" s="3"/>
      <c r="U109" s="3"/>
      <c r="V109" s="3"/>
      <c r="W109" s="3"/>
      <c r="X109" s="3"/>
      <c r="Y109" s="3"/>
      <c r="Z109" s="3"/>
      <c r="AA109" s="3"/>
      <c r="AB109" s="3"/>
    </row>
    <row r="110" spans="1:28" ht="14" x14ac:dyDescent="0.2">
      <c r="A110" s="24" t="s">
        <v>224</v>
      </c>
      <c r="B110" s="151" t="s">
        <v>225</v>
      </c>
      <c r="C110" s="148"/>
      <c r="D110" s="19" t="s">
        <v>77</v>
      </c>
      <c r="E110" s="39" t="s">
        <v>155</v>
      </c>
      <c r="F110" s="27"/>
      <c r="G110" s="27"/>
      <c r="H110" s="24" t="s">
        <v>101</v>
      </c>
      <c r="I110" s="25"/>
      <c r="J110" s="25"/>
      <c r="K110" s="25"/>
      <c r="L110" s="25"/>
      <c r="M110" s="25"/>
      <c r="N110" s="3"/>
      <c r="O110" s="3"/>
      <c r="P110" s="3"/>
      <c r="Q110" s="3"/>
      <c r="R110" s="3"/>
      <c r="S110" s="3"/>
      <c r="T110" s="3"/>
      <c r="U110" s="3"/>
      <c r="V110" s="3"/>
      <c r="W110" s="3"/>
      <c r="X110" s="3"/>
      <c r="Y110" s="3"/>
      <c r="Z110" s="3"/>
      <c r="AA110" s="3"/>
      <c r="AB110" s="3"/>
    </row>
    <row r="111" spans="1:28" ht="14" x14ac:dyDescent="0.2">
      <c r="A111" s="3"/>
      <c r="B111" s="3"/>
      <c r="C111" s="3"/>
      <c r="D111" s="3"/>
      <c r="F111" s="23">
        <f>SUM(F78:F110)</f>
        <v>0</v>
      </c>
      <c r="G111" s="23">
        <f>SUM(G79:G110)</f>
        <v>5879.369999999999</v>
      </c>
      <c r="H111" s="3"/>
      <c r="I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4" x14ac:dyDescent="0.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ht="14" x14ac:dyDescent="0.2">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ht="14" x14ac:dyDescent="0.2">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ht="14" x14ac:dyDescent="0.2">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sheetData>
  <mergeCells count="40">
    <mergeCell ref="B88:C88"/>
    <mergeCell ref="B77:C77"/>
    <mergeCell ref="B78:C78"/>
    <mergeCell ref="B79:C79"/>
    <mergeCell ref="B80:C80"/>
    <mergeCell ref="B81:C81"/>
    <mergeCell ref="B82:C82"/>
    <mergeCell ref="B83:C83"/>
    <mergeCell ref="B84:C84"/>
    <mergeCell ref="B85:C85"/>
    <mergeCell ref="B86:C86"/>
    <mergeCell ref="B87:C87"/>
    <mergeCell ref="B89:C89"/>
    <mergeCell ref="B91:C91"/>
    <mergeCell ref="B92:C92"/>
    <mergeCell ref="B93:C93"/>
    <mergeCell ref="B94:C94"/>
    <mergeCell ref="H96:L96"/>
    <mergeCell ref="B97:C97"/>
    <mergeCell ref="B98:C98"/>
    <mergeCell ref="H98:L98"/>
    <mergeCell ref="B99:C99"/>
    <mergeCell ref="H99:L99"/>
    <mergeCell ref="B96:C96"/>
    <mergeCell ref="B100:C100"/>
    <mergeCell ref="H100:L100"/>
    <mergeCell ref="B101:C101"/>
    <mergeCell ref="H101:L101"/>
    <mergeCell ref="B102:C102"/>
    <mergeCell ref="H102:L102"/>
    <mergeCell ref="B108:C108"/>
    <mergeCell ref="H108:L108"/>
    <mergeCell ref="B109:C109"/>
    <mergeCell ref="B110:C110"/>
    <mergeCell ref="B103:C103"/>
    <mergeCell ref="H103:L103"/>
    <mergeCell ref="B104:C104"/>
    <mergeCell ref="B105:C105"/>
    <mergeCell ref="B107:C107"/>
    <mergeCell ref="H107:K107"/>
  </mergeCells>
  <pageMargins left="0.70866141732283472" right="0.70866141732283472" top="0.74803149606299213" bottom="0.74803149606299213" header="0.31496062992125984" footer="0.31496062992125984"/>
  <pageSetup paperSize="9" scale="39" orientation="landscape"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3876-1AC5-3748-8C75-E7F8C91CE695}">
  <sheetPr>
    <outlinePr summaryBelow="0" summaryRight="0"/>
    <pageSetUpPr fitToPage="1"/>
  </sheetPr>
  <dimension ref="A1:AB1055"/>
  <sheetViews>
    <sheetView zoomScale="120" zoomScaleNormal="120" workbookViewId="0">
      <selection activeCell="G114" sqref="G114"/>
    </sheetView>
  </sheetViews>
  <sheetFormatPr baseColWidth="10" defaultColWidth="12.6640625" defaultRowHeight="15.75" customHeight="1" x14ac:dyDescent="0.15"/>
  <cols>
    <col min="1" max="1" width="33.33203125" customWidth="1"/>
    <col min="2" max="13" width="15.6640625" customWidth="1"/>
  </cols>
  <sheetData>
    <row r="1" spans="1:28" ht="14" x14ac:dyDescent="0.2">
      <c r="A1" s="1" t="s">
        <v>0</v>
      </c>
      <c r="B1" s="41">
        <v>46082</v>
      </c>
      <c r="C1" s="3"/>
      <c r="E1" s="3"/>
      <c r="F1" s="3"/>
      <c r="G1" s="3"/>
      <c r="H1" s="3"/>
      <c r="I1" s="3"/>
      <c r="J1" s="3"/>
      <c r="K1" s="3"/>
      <c r="L1" s="3"/>
      <c r="M1" s="3"/>
      <c r="N1" s="3"/>
      <c r="O1" s="3"/>
      <c r="P1" s="3"/>
      <c r="Q1" s="3"/>
      <c r="R1" s="3"/>
      <c r="S1" s="3"/>
      <c r="T1" s="3"/>
      <c r="U1" s="3"/>
      <c r="V1" s="3"/>
      <c r="W1" s="3"/>
      <c r="X1" s="3"/>
      <c r="Y1" s="3"/>
      <c r="Z1" s="3"/>
      <c r="AA1" s="3"/>
      <c r="AB1" s="3"/>
    </row>
    <row r="2" spans="1:28" ht="8.25" customHeight="1" x14ac:dyDescent="0.2">
      <c r="A2" s="1"/>
      <c r="B2" s="3"/>
      <c r="C2" s="3"/>
      <c r="E2" s="3"/>
      <c r="F2" s="3"/>
      <c r="G2" s="3"/>
      <c r="H2" s="3"/>
      <c r="I2" s="3"/>
      <c r="J2" s="3"/>
      <c r="K2" s="3"/>
      <c r="L2" s="3"/>
      <c r="M2" s="3"/>
      <c r="N2" s="3"/>
      <c r="O2" s="3"/>
      <c r="P2" s="3"/>
      <c r="Q2" s="3"/>
      <c r="R2" s="3"/>
      <c r="S2" s="3"/>
      <c r="T2" s="3"/>
      <c r="U2" s="3"/>
      <c r="V2" s="3"/>
      <c r="W2" s="3"/>
      <c r="X2" s="3"/>
      <c r="Y2" s="3"/>
      <c r="Z2" s="3"/>
      <c r="AA2" s="3"/>
      <c r="AB2" s="3"/>
    </row>
    <row r="3" spans="1:28" ht="14" x14ac:dyDescent="0.2">
      <c r="A3" s="1" t="s">
        <v>30</v>
      </c>
      <c r="B3" s="5">
        <f>B9+B60+100563</f>
        <v>441376</v>
      </c>
      <c r="C3" s="3"/>
      <c r="E3" s="3"/>
      <c r="F3" s="3"/>
      <c r="G3" s="3"/>
      <c r="H3" s="3"/>
      <c r="I3" s="3"/>
      <c r="J3" s="3"/>
      <c r="K3" s="3"/>
      <c r="L3" s="3"/>
      <c r="M3" s="3"/>
      <c r="N3" s="3"/>
      <c r="O3" s="3"/>
      <c r="P3" s="3"/>
      <c r="Q3" s="3"/>
      <c r="R3" s="3"/>
      <c r="S3" s="3"/>
      <c r="T3" s="3"/>
      <c r="U3" s="3"/>
      <c r="V3" s="3"/>
      <c r="W3" s="3"/>
      <c r="X3" s="3"/>
      <c r="Y3" s="3"/>
      <c r="Z3" s="3"/>
      <c r="AA3" s="3"/>
      <c r="AB3" s="3"/>
    </row>
    <row r="4" spans="1:28" ht="14" x14ac:dyDescent="0.2">
      <c r="A4" s="1" t="s">
        <v>2</v>
      </c>
      <c r="B4" s="6">
        <v>8041</v>
      </c>
      <c r="C4" s="35" t="s">
        <v>415</v>
      </c>
      <c r="E4" s="31"/>
      <c r="F4" s="3"/>
      <c r="G4" s="3"/>
      <c r="H4" s="3"/>
      <c r="I4" s="3"/>
      <c r="J4" s="3"/>
      <c r="K4" s="3"/>
      <c r="L4" s="3"/>
      <c r="M4" s="3"/>
      <c r="N4" s="3"/>
      <c r="O4" s="3"/>
      <c r="P4" s="3"/>
      <c r="Q4" s="3"/>
      <c r="R4" s="3"/>
      <c r="S4" s="3"/>
      <c r="T4" s="3"/>
      <c r="U4" s="3"/>
      <c r="V4" s="3"/>
      <c r="W4" s="3"/>
      <c r="X4" s="3"/>
      <c r="Y4" s="3"/>
      <c r="Z4" s="3"/>
      <c r="AA4" s="3"/>
      <c r="AB4" s="3"/>
    </row>
    <row r="5" spans="1:28" ht="14" x14ac:dyDescent="0.2">
      <c r="A5" s="1" t="s">
        <v>3</v>
      </c>
      <c r="B5" s="31">
        <f>SUM(G72,J57,T13)</f>
        <v>8047.0279999999993</v>
      </c>
      <c r="C5" s="3"/>
      <c r="E5" s="3"/>
      <c r="F5" s="3"/>
      <c r="G5" s="3"/>
      <c r="H5" s="3"/>
      <c r="I5" s="3"/>
      <c r="J5" s="3"/>
      <c r="K5" s="3"/>
      <c r="L5" s="3"/>
      <c r="M5" s="3"/>
      <c r="N5" s="3"/>
      <c r="O5" s="3"/>
      <c r="P5" s="3"/>
      <c r="Q5" s="3"/>
      <c r="R5" s="3"/>
      <c r="S5" s="3"/>
      <c r="T5" s="3"/>
      <c r="U5" s="3"/>
      <c r="V5" s="3"/>
      <c r="W5" s="3"/>
      <c r="X5" s="3"/>
      <c r="Y5" s="3"/>
      <c r="Z5" s="3"/>
      <c r="AA5" s="3"/>
      <c r="AB5" s="3"/>
    </row>
    <row r="6" spans="1:28" ht="14" x14ac:dyDescent="0.2">
      <c r="A6" s="1" t="s">
        <v>4</v>
      </c>
      <c r="B6" s="6">
        <f>B5-B4</f>
        <v>6.0279999999993379</v>
      </c>
      <c r="C6" s="3"/>
      <c r="E6" s="3"/>
      <c r="F6" s="3"/>
      <c r="G6" s="3"/>
      <c r="H6" s="3"/>
      <c r="I6" s="3"/>
      <c r="J6" s="3"/>
      <c r="K6" s="3"/>
      <c r="L6" s="3"/>
      <c r="M6" s="3"/>
      <c r="N6" s="3"/>
      <c r="O6" s="3"/>
      <c r="P6" s="3"/>
      <c r="Q6" s="3"/>
      <c r="R6" s="3"/>
      <c r="S6" s="3"/>
      <c r="T6" s="3"/>
      <c r="U6" s="3"/>
      <c r="V6" s="3"/>
      <c r="W6" s="3"/>
      <c r="X6" s="3"/>
      <c r="Y6" s="3"/>
      <c r="Z6" s="3"/>
      <c r="AA6" s="3"/>
      <c r="AB6" s="3"/>
    </row>
    <row r="7" spans="1:28" ht="14" x14ac:dyDescent="0.2">
      <c r="A7" s="3"/>
      <c r="B7" s="3"/>
      <c r="C7" s="3"/>
      <c r="D7" s="3"/>
      <c r="E7" s="3"/>
      <c r="F7" s="3"/>
      <c r="G7" s="3"/>
      <c r="H7" s="3"/>
      <c r="I7" s="3"/>
      <c r="J7" s="3"/>
      <c r="K7" s="3"/>
      <c r="L7" s="3"/>
      <c r="M7" s="3"/>
      <c r="N7" s="3"/>
      <c r="O7" s="3"/>
      <c r="P7" s="3"/>
      <c r="Q7" s="3"/>
      <c r="R7" s="3"/>
      <c r="S7" s="3"/>
      <c r="T7" s="3"/>
      <c r="U7" s="3"/>
      <c r="V7" s="3"/>
      <c r="W7" s="3"/>
      <c r="X7" s="3"/>
      <c r="Y7" s="3"/>
      <c r="Z7" s="3"/>
      <c r="AA7" s="3"/>
      <c r="AB7" s="3"/>
    </row>
    <row r="8" spans="1:28" ht="7.5" customHeight="1" x14ac:dyDescent="0.2">
      <c r="A8" s="7"/>
      <c r="B8" s="7"/>
      <c r="C8" s="7"/>
      <c r="D8" s="7"/>
      <c r="E8" s="7"/>
      <c r="F8" s="7"/>
      <c r="G8" s="7"/>
      <c r="H8" s="7"/>
      <c r="I8" s="7"/>
      <c r="J8" s="7"/>
      <c r="K8" s="7"/>
      <c r="L8" s="7"/>
      <c r="M8" s="7"/>
      <c r="N8" s="7"/>
      <c r="O8" s="7"/>
      <c r="P8" s="7"/>
      <c r="Q8" s="7"/>
      <c r="R8" s="7"/>
      <c r="S8" s="7"/>
      <c r="T8" s="7"/>
      <c r="U8" s="3"/>
      <c r="V8" s="3"/>
      <c r="W8" s="3"/>
      <c r="X8" s="3"/>
      <c r="Y8" s="3"/>
      <c r="Z8" s="3"/>
      <c r="AA8" s="3"/>
      <c r="AB8" s="3"/>
    </row>
    <row r="9" spans="1:28" ht="16" x14ac:dyDescent="0.2">
      <c r="A9" s="11" t="s">
        <v>32</v>
      </c>
      <c r="B9" s="12">
        <v>315839</v>
      </c>
      <c r="D9" s="3"/>
      <c r="E9" s="3"/>
      <c r="F9" s="3"/>
      <c r="G9" s="3"/>
      <c r="H9" s="3"/>
      <c r="I9" s="3"/>
      <c r="J9" s="3"/>
      <c r="K9" s="3"/>
      <c r="L9" s="3"/>
      <c r="M9" s="3"/>
      <c r="N9" s="3"/>
      <c r="O9" s="3"/>
      <c r="P9" s="3"/>
      <c r="Q9" s="3"/>
      <c r="R9" s="3"/>
      <c r="S9" s="3"/>
      <c r="T9" s="3"/>
      <c r="U9" s="3"/>
      <c r="V9" s="3"/>
      <c r="W9" s="3"/>
      <c r="X9" s="3"/>
      <c r="Y9" s="3"/>
      <c r="Z9" s="3"/>
      <c r="AA9" s="3"/>
      <c r="AB9" s="3"/>
    </row>
    <row r="10" spans="1:28" ht="14" x14ac:dyDescent="0.2">
      <c r="A10" s="3"/>
      <c r="B10" s="3"/>
      <c r="C10" s="3" t="s">
        <v>265</v>
      </c>
      <c r="D10" s="3" t="s">
        <v>265</v>
      </c>
      <c r="E10" s="3" t="s">
        <v>265</v>
      </c>
      <c r="F10" s="3" t="s">
        <v>265</v>
      </c>
      <c r="G10" s="3" t="s">
        <v>265</v>
      </c>
      <c r="H10" s="3" t="s">
        <v>265</v>
      </c>
      <c r="I10" s="3" t="s">
        <v>266</v>
      </c>
      <c r="J10" s="3" t="s">
        <v>265</v>
      </c>
      <c r="K10" s="3" t="s">
        <v>266</v>
      </c>
      <c r="L10" s="3" t="s">
        <v>266</v>
      </c>
      <c r="M10" s="3" t="s">
        <v>266</v>
      </c>
      <c r="N10" s="3" t="s">
        <v>266</v>
      </c>
      <c r="O10" s="3" t="s">
        <v>266</v>
      </c>
      <c r="P10" s="3" t="s">
        <v>266</v>
      </c>
      <c r="Q10" s="3" t="s">
        <v>266</v>
      </c>
      <c r="R10" s="3" t="s">
        <v>266</v>
      </c>
      <c r="S10" s="3" t="s">
        <v>266</v>
      </c>
      <c r="T10" s="3"/>
      <c r="U10" s="3"/>
      <c r="V10" s="3"/>
      <c r="W10" s="3"/>
      <c r="X10" s="3"/>
      <c r="Y10" s="3"/>
      <c r="Z10" s="3"/>
      <c r="AA10" s="3"/>
      <c r="AB10" s="3"/>
    </row>
    <row r="11" spans="1:28" ht="60" x14ac:dyDescent="0.2">
      <c r="A11" s="1" t="s">
        <v>33</v>
      </c>
      <c r="B11" s="8" t="s">
        <v>5</v>
      </c>
      <c r="C11" s="8" t="s">
        <v>34</v>
      </c>
      <c r="D11" s="9" t="s">
        <v>35</v>
      </c>
      <c r="E11" s="8" t="s">
        <v>36</v>
      </c>
      <c r="F11" s="8" t="s">
        <v>37</v>
      </c>
      <c r="G11" s="8" t="s">
        <v>38</v>
      </c>
      <c r="H11" s="8" t="s">
        <v>39</v>
      </c>
      <c r="I11" s="8" t="s">
        <v>40</v>
      </c>
      <c r="J11" s="8" t="s">
        <v>41</v>
      </c>
      <c r="K11" s="8" t="s">
        <v>42</v>
      </c>
      <c r="L11" s="8" t="s">
        <v>43</v>
      </c>
      <c r="M11" s="8" t="s">
        <v>44</v>
      </c>
      <c r="N11" s="8" t="s">
        <v>45</v>
      </c>
      <c r="O11" s="8" t="s">
        <v>46</v>
      </c>
      <c r="P11" s="8" t="s">
        <v>47</v>
      </c>
      <c r="Q11" s="8" t="s">
        <v>112</v>
      </c>
      <c r="R11" s="8" t="s">
        <v>48</v>
      </c>
      <c r="S11" s="8" t="s">
        <v>49</v>
      </c>
      <c r="T11" s="8" t="s">
        <v>50</v>
      </c>
      <c r="U11" s="3"/>
      <c r="V11" s="3"/>
      <c r="W11" s="3"/>
      <c r="X11" s="3"/>
      <c r="Y11" s="3"/>
      <c r="Z11" s="3"/>
      <c r="AA11" s="3"/>
      <c r="AB11" s="3"/>
    </row>
    <row r="12" spans="1:28" ht="14" x14ac:dyDescent="0.2">
      <c r="A12" s="3"/>
      <c r="B12" s="3"/>
      <c r="U12" s="3"/>
      <c r="V12" s="3"/>
      <c r="W12" s="3"/>
      <c r="X12" s="3"/>
      <c r="Y12" s="3"/>
      <c r="Z12" s="3"/>
      <c r="AA12" s="3"/>
      <c r="AB12" s="3"/>
    </row>
    <row r="13" spans="1:28" ht="14" x14ac:dyDescent="0.2">
      <c r="A13" s="3"/>
      <c r="B13" s="1"/>
      <c r="C13" s="3">
        <v>24.75</v>
      </c>
      <c r="D13" s="3">
        <v>243.94</v>
      </c>
      <c r="E13" s="3"/>
      <c r="F13" s="3">
        <v>33.387999999999998</v>
      </c>
      <c r="G13" s="3">
        <v>7.99</v>
      </c>
      <c r="H13" s="3"/>
      <c r="I13" s="3">
        <v>16.78</v>
      </c>
      <c r="J13" s="3">
        <v>13.75</v>
      </c>
      <c r="K13" s="3">
        <v>49.25</v>
      </c>
      <c r="L13" s="3">
        <v>1</v>
      </c>
      <c r="M13" s="3">
        <v>21.5</v>
      </c>
      <c r="N13" s="3">
        <v>24.5</v>
      </c>
      <c r="O13" s="3">
        <v>742.75</v>
      </c>
      <c r="P13" s="3">
        <v>463</v>
      </c>
      <c r="Q13" s="3"/>
      <c r="R13" s="3">
        <v>36.5</v>
      </c>
      <c r="S13" s="3">
        <v>260.32</v>
      </c>
      <c r="T13" s="34">
        <f>SUM(C13:S13)</f>
        <v>1939.4179999999999</v>
      </c>
      <c r="U13" s="3"/>
      <c r="V13" s="3"/>
      <c r="W13" s="3"/>
      <c r="X13" s="3"/>
      <c r="Y13" s="3"/>
      <c r="Z13" s="3"/>
      <c r="AA13" s="3"/>
      <c r="AB13" s="3"/>
    </row>
    <row r="14" spans="1:28" ht="14"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4"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60" x14ac:dyDescent="0.2">
      <c r="A16" s="1" t="s">
        <v>51</v>
      </c>
      <c r="B16" s="8" t="s">
        <v>5</v>
      </c>
      <c r="C16" s="8" t="s">
        <v>52</v>
      </c>
      <c r="D16" s="9" t="s">
        <v>35</v>
      </c>
      <c r="E16" s="8" t="s">
        <v>53</v>
      </c>
      <c r="F16" s="8" t="s">
        <v>34</v>
      </c>
      <c r="G16" s="8" t="s">
        <v>38</v>
      </c>
      <c r="H16" s="8" t="s">
        <v>36</v>
      </c>
      <c r="I16" s="8" t="s">
        <v>54</v>
      </c>
      <c r="J16" s="8" t="s">
        <v>50</v>
      </c>
      <c r="K16" s="3"/>
      <c r="L16" s="1" t="s">
        <v>331</v>
      </c>
      <c r="N16" s="1" t="s">
        <v>366</v>
      </c>
      <c r="O16" s="1" t="s">
        <v>332</v>
      </c>
      <c r="P16" s="3"/>
      <c r="Q16" s="3"/>
      <c r="R16" s="3"/>
      <c r="S16" s="3"/>
      <c r="T16" s="3"/>
      <c r="U16" s="3"/>
      <c r="V16" s="3"/>
      <c r="W16" s="3"/>
      <c r="X16" s="3"/>
      <c r="Y16" s="3"/>
      <c r="Z16" s="3"/>
      <c r="AA16" s="3"/>
      <c r="AB16" s="3"/>
    </row>
    <row r="17" spans="1:28" ht="14" x14ac:dyDescent="0.2">
      <c r="A17" s="3" t="s">
        <v>9</v>
      </c>
      <c r="B17" s="3" t="s">
        <v>129</v>
      </c>
      <c r="C17" s="3"/>
      <c r="D17" s="3"/>
      <c r="E17" s="3"/>
      <c r="F17" s="3"/>
      <c r="G17" s="3"/>
      <c r="H17" s="3"/>
      <c r="I17" s="3"/>
      <c r="J17" s="34">
        <f t="shared" ref="J17:J56" si="0">SUM(C17:I17)</f>
        <v>0</v>
      </c>
      <c r="K17" s="3"/>
      <c r="L17" s="3"/>
      <c r="O17" s="3"/>
      <c r="P17" s="3"/>
      <c r="Q17" s="3"/>
      <c r="R17" s="3"/>
      <c r="S17" s="3"/>
      <c r="T17" s="3"/>
      <c r="U17" s="3"/>
      <c r="V17" s="3"/>
      <c r="W17" s="3"/>
      <c r="X17" s="3"/>
      <c r="Y17" s="3"/>
      <c r="Z17" s="3"/>
      <c r="AA17" s="3"/>
      <c r="AB17" s="3"/>
    </row>
    <row r="18" spans="1:28" ht="15" x14ac:dyDescent="0.2">
      <c r="A18" s="3" t="s">
        <v>10</v>
      </c>
      <c r="B18" s="36" t="s">
        <v>130</v>
      </c>
      <c r="C18" s="3">
        <v>1.08</v>
      </c>
      <c r="D18" s="3">
        <v>15.75</v>
      </c>
      <c r="E18" s="3">
        <v>0.75</v>
      </c>
      <c r="F18" s="3"/>
      <c r="G18" s="3"/>
      <c r="H18" s="3"/>
      <c r="I18" s="3"/>
      <c r="J18" s="34">
        <f t="shared" si="0"/>
        <v>17.579999999999998</v>
      </c>
      <c r="K18" s="3"/>
      <c r="L18" s="3" t="s">
        <v>334</v>
      </c>
      <c r="N18" s="50"/>
      <c r="O18" s="3" t="s">
        <v>335</v>
      </c>
      <c r="P18" s="3"/>
      <c r="Q18" s="3"/>
      <c r="R18" s="3"/>
      <c r="S18" s="3"/>
      <c r="T18" s="3"/>
      <c r="U18" s="3"/>
      <c r="V18" s="3"/>
      <c r="W18" s="3"/>
      <c r="X18" s="3"/>
      <c r="Y18" s="3"/>
      <c r="Z18" s="3"/>
      <c r="AA18" s="3"/>
      <c r="AB18" s="3"/>
    </row>
    <row r="19" spans="1:28" ht="14" x14ac:dyDescent="0.2">
      <c r="A19" s="3" t="s">
        <v>287</v>
      </c>
      <c r="B19" s="36"/>
      <c r="C19" s="3"/>
      <c r="D19" s="3"/>
      <c r="E19" s="3"/>
      <c r="F19" s="3"/>
      <c r="G19" s="3"/>
      <c r="H19" s="3"/>
      <c r="I19" s="3"/>
      <c r="J19" s="34">
        <f t="shared" si="0"/>
        <v>0</v>
      </c>
      <c r="K19" s="3"/>
      <c r="L19" s="3" t="s">
        <v>406</v>
      </c>
      <c r="M19" s="3"/>
      <c r="N19" s="126"/>
      <c r="O19" s="3" t="s">
        <v>336</v>
      </c>
      <c r="P19" s="3"/>
      <c r="Q19" s="3"/>
      <c r="R19" s="3"/>
      <c r="S19" s="3"/>
      <c r="T19" s="3"/>
      <c r="U19" s="3"/>
      <c r="V19" s="3"/>
      <c r="W19" s="3"/>
      <c r="X19" s="3"/>
      <c r="Y19" s="3"/>
      <c r="Z19" s="3"/>
      <c r="AA19" s="3"/>
      <c r="AB19" s="3"/>
    </row>
    <row r="20" spans="1:28" ht="14" x14ac:dyDescent="0.2">
      <c r="A20" s="3" t="s">
        <v>11</v>
      </c>
      <c r="B20" s="3" t="s">
        <v>131</v>
      </c>
      <c r="C20" s="3"/>
      <c r="D20" s="3"/>
      <c r="E20" s="3"/>
      <c r="F20" s="3"/>
      <c r="G20" s="3"/>
      <c r="H20" s="3"/>
      <c r="I20" s="3"/>
      <c r="J20" s="34">
        <f t="shared" si="0"/>
        <v>0</v>
      </c>
      <c r="K20" s="3"/>
      <c r="L20" s="3" t="s">
        <v>333</v>
      </c>
      <c r="M20" s="3"/>
      <c r="N20" s="126"/>
      <c r="O20" s="3" t="s">
        <v>407</v>
      </c>
      <c r="P20" s="3"/>
      <c r="Q20" s="3"/>
      <c r="R20" s="3"/>
      <c r="S20" s="3"/>
      <c r="T20" s="3"/>
      <c r="U20" s="3"/>
      <c r="V20" s="3"/>
      <c r="W20" s="3"/>
      <c r="X20" s="3"/>
      <c r="Y20" s="3"/>
      <c r="Z20" s="3"/>
      <c r="AA20" s="3"/>
      <c r="AB20" s="3"/>
    </row>
    <row r="21" spans="1:28" ht="14" x14ac:dyDescent="0.2">
      <c r="A21" s="3" t="s">
        <v>12</v>
      </c>
      <c r="B21" s="3" t="s">
        <v>129</v>
      </c>
      <c r="C21" s="3"/>
      <c r="D21" s="3"/>
      <c r="E21" s="3"/>
      <c r="F21" s="3"/>
      <c r="G21" s="3"/>
      <c r="H21" s="3"/>
      <c r="I21" s="3"/>
      <c r="J21" s="34">
        <f t="shared" si="0"/>
        <v>0</v>
      </c>
      <c r="K21" s="3"/>
      <c r="L21" s="3" t="s">
        <v>333</v>
      </c>
      <c r="M21" s="3"/>
      <c r="N21" s="126"/>
      <c r="O21" s="3" t="s">
        <v>337</v>
      </c>
      <c r="P21" s="3"/>
      <c r="Q21" s="3"/>
      <c r="R21" s="3"/>
      <c r="S21" s="3"/>
      <c r="T21" s="3"/>
      <c r="U21" s="3"/>
      <c r="V21" s="3"/>
      <c r="W21" s="3"/>
      <c r="X21" s="3"/>
      <c r="Y21" s="3"/>
      <c r="Z21" s="3"/>
      <c r="AA21" s="3"/>
      <c r="AB21" s="3"/>
    </row>
    <row r="22" spans="1:28" ht="14" x14ac:dyDescent="0.2">
      <c r="A22" s="3" t="s">
        <v>186</v>
      </c>
      <c r="B22" s="3" t="s">
        <v>132</v>
      </c>
      <c r="C22" s="3">
        <v>0.75</v>
      </c>
      <c r="D22" s="3"/>
      <c r="E22" s="3"/>
      <c r="F22" s="3"/>
      <c r="G22" s="3">
        <v>2</v>
      </c>
      <c r="H22" s="3"/>
      <c r="I22" s="3"/>
      <c r="J22" s="34">
        <f t="shared" si="0"/>
        <v>2.75</v>
      </c>
      <c r="K22" s="3"/>
      <c r="L22" s="3" t="s">
        <v>333</v>
      </c>
      <c r="M22" s="3"/>
      <c r="N22" s="125"/>
      <c r="O22" s="3" t="s">
        <v>363</v>
      </c>
      <c r="P22" s="3"/>
      <c r="Q22" s="3"/>
      <c r="R22" s="3"/>
      <c r="S22" s="3"/>
      <c r="T22" s="3"/>
      <c r="U22" s="3"/>
      <c r="V22" s="3"/>
      <c r="W22" s="3"/>
      <c r="X22" s="3"/>
      <c r="Y22" s="3"/>
      <c r="Z22" s="3"/>
      <c r="AA22" s="3"/>
      <c r="AB22" s="3"/>
    </row>
    <row r="23" spans="1:28" ht="14" x14ac:dyDescent="0.2">
      <c r="A23" s="3" t="s">
        <v>416</v>
      </c>
      <c r="B23" s="3"/>
      <c r="C23" s="3">
        <v>63.75</v>
      </c>
      <c r="D23" s="3">
        <v>36.25</v>
      </c>
      <c r="E23" s="3"/>
      <c r="F23" s="3">
        <v>37.83</v>
      </c>
      <c r="G23" s="3"/>
      <c r="H23" s="3"/>
      <c r="I23" s="3"/>
      <c r="J23" s="34">
        <f t="shared" si="0"/>
        <v>137.82999999999998</v>
      </c>
      <c r="K23" s="3"/>
      <c r="L23" s="3" t="s">
        <v>424</v>
      </c>
      <c r="M23" s="3"/>
      <c r="N23" s="125"/>
      <c r="O23" s="3" t="s">
        <v>436</v>
      </c>
      <c r="P23" s="3"/>
      <c r="Q23" s="3"/>
      <c r="R23" s="3"/>
      <c r="S23" s="3"/>
      <c r="T23" s="3"/>
      <c r="U23" s="3"/>
      <c r="V23" s="3"/>
      <c r="W23" s="3"/>
      <c r="X23" s="3"/>
      <c r="Y23" s="3"/>
      <c r="Z23" s="3"/>
      <c r="AA23" s="3"/>
      <c r="AB23" s="3"/>
    </row>
    <row r="24" spans="1:28" ht="14" x14ac:dyDescent="0.2">
      <c r="A24" s="3" t="s">
        <v>417</v>
      </c>
      <c r="B24" s="3"/>
      <c r="C24" s="3">
        <v>345.83</v>
      </c>
      <c r="D24" s="3">
        <v>74.83</v>
      </c>
      <c r="E24" s="3"/>
      <c r="F24" s="3">
        <v>72.25</v>
      </c>
      <c r="G24" s="3"/>
      <c r="H24" s="3">
        <v>0.5</v>
      </c>
      <c r="I24" s="3"/>
      <c r="J24" s="34">
        <f t="shared" si="0"/>
        <v>493.40999999999997</v>
      </c>
      <c r="K24" s="3"/>
      <c r="L24" s="3" t="s">
        <v>424</v>
      </c>
      <c r="M24" s="3"/>
      <c r="N24" s="125"/>
      <c r="O24" s="3" t="s">
        <v>437</v>
      </c>
      <c r="P24" s="3"/>
      <c r="Q24" s="3"/>
      <c r="R24" s="3"/>
      <c r="S24" s="3"/>
      <c r="T24" s="3"/>
      <c r="U24" s="3"/>
      <c r="V24" s="3"/>
      <c r="W24" s="3"/>
      <c r="X24" s="3"/>
      <c r="Y24" s="3"/>
      <c r="Z24" s="3"/>
      <c r="AA24" s="3"/>
      <c r="AB24" s="3"/>
    </row>
    <row r="25" spans="1:28" ht="14" x14ac:dyDescent="0.2">
      <c r="A25" s="3" t="s">
        <v>14</v>
      </c>
      <c r="B25" s="3" t="s">
        <v>133</v>
      </c>
      <c r="C25" s="3">
        <v>629.54</v>
      </c>
      <c r="D25" s="3">
        <v>273.57</v>
      </c>
      <c r="E25" s="3">
        <v>376.75</v>
      </c>
      <c r="F25" s="3">
        <v>82.92</v>
      </c>
      <c r="G25" s="3">
        <v>78.72</v>
      </c>
      <c r="H25" s="3">
        <v>3.75</v>
      </c>
      <c r="I25" s="3">
        <v>30.5</v>
      </c>
      <c r="J25" s="34">
        <f t="shared" si="0"/>
        <v>1475.75</v>
      </c>
      <c r="K25" s="3"/>
      <c r="L25" s="3" t="s">
        <v>338</v>
      </c>
      <c r="M25" s="3"/>
      <c r="N25" s="126"/>
      <c r="O25" s="3" t="s">
        <v>339</v>
      </c>
      <c r="P25" s="3"/>
      <c r="Q25" s="3"/>
      <c r="R25" s="3"/>
      <c r="S25" s="3"/>
      <c r="T25" s="3"/>
      <c r="U25" s="3"/>
      <c r="V25" s="3"/>
      <c r="W25" s="3"/>
      <c r="X25" s="3"/>
      <c r="Y25" s="3"/>
      <c r="Z25" s="3"/>
      <c r="AA25" s="3"/>
      <c r="AB25" s="3"/>
    </row>
    <row r="26" spans="1:28" ht="14" x14ac:dyDescent="0.2">
      <c r="A26" s="3" t="s">
        <v>277</v>
      </c>
      <c r="B26" s="3"/>
      <c r="C26" s="3">
        <v>101.48</v>
      </c>
      <c r="D26" s="3">
        <v>39.25</v>
      </c>
      <c r="E26" s="3"/>
      <c r="F26" s="3">
        <v>21.33</v>
      </c>
      <c r="G26" s="3"/>
      <c r="H26" s="3">
        <v>1.75</v>
      </c>
      <c r="I26" s="3"/>
      <c r="J26" s="34">
        <f t="shared" si="0"/>
        <v>163.81</v>
      </c>
      <c r="K26" s="3"/>
      <c r="L26" s="3" t="s">
        <v>408</v>
      </c>
      <c r="M26" s="3"/>
      <c r="N26" s="126" t="s">
        <v>409</v>
      </c>
      <c r="O26" s="3" t="s">
        <v>340</v>
      </c>
      <c r="P26" s="3"/>
      <c r="Q26" s="3"/>
      <c r="R26" s="3"/>
      <c r="S26" s="3"/>
      <c r="T26" s="3"/>
      <c r="U26" s="3"/>
      <c r="V26" s="3"/>
      <c r="W26" s="3"/>
      <c r="X26" s="3"/>
      <c r="Y26" s="3"/>
      <c r="Z26" s="3"/>
      <c r="AA26" s="3"/>
      <c r="AB26" s="3"/>
    </row>
    <row r="27" spans="1:28" ht="14" x14ac:dyDescent="0.2">
      <c r="A27" s="3" t="s">
        <v>421</v>
      </c>
      <c r="B27" s="3"/>
      <c r="C27" s="3"/>
      <c r="D27" s="3"/>
      <c r="E27" s="3"/>
      <c r="F27" s="3"/>
      <c r="G27" s="3"/>
      <c r="H27" s="3"/>
      <c r="I27" s="3"/>
      <c r="J27" s="34">
        <f t="shared" si="0"/>
        <v>0</v>
      </c>
      <c r="K27" s="3"/>
      <c r="L27" s="3" t="s">
        <v>341</v>
      </c>
      <c r="M27" s="3"/>
      <c r="N27" s="126"/>
      <c r="O27" s="3" t="s">
        <v>427</v>
      </c>
      <c r="P27" s="3"/>
      <c r="Q27" s="3"/>
      <c r="R27" s="3"/>
      <c r="S27" s="3"/>
      <c r="T27" s="3"/>
      <c r="U27" s="3"/>
      <c r="V27" s="3"/>
      <c r="W27" s="3"/>
      <c r="X27" s="3"/>
      <c r="Y27" s="3"/>
      <c r="Z27" s="3"/>
      <c r="AA27" s="3"/>
      <c r="AB27" s="3"/>
    </row>
    <row r="28" spans="1:28" ht="14" x14ac:dyDescent="0.2">
      <c r="A28" s="3" t="s">
        <v>122</v>
      </c>
      <c r="B28" s="3" t="s">
        <v>134</v>
      </c>
      <c r="C28" s="3"/>
      <c r="D28" s="3"/>
      <c r="E28" s="3"/>
      <c r="F28" s="3"/>
      <c r="G28" s="3"/>
      <c r="H28" s="3"/>
      <c r="I28" s="3"/>
      <c r="J28" s="34">
        <f t="shared" si="0"/>
        <v>0</v>
      </c>
      <c r="K28" s="3"/>
      <c r="L28" s="3" t="s">
        <v>333</v>
      </c>
      <c r="M28" s="3"/>
      <c r="N28" s="126"/>
      <c r="O28" s="3" t="s">
        <v>351</v>
      </c>
      <c r="P28" s="3"/>
      <c r="Q28" s="3"/>
      <c r="R28" s="3"/>
      <c r="S28" s="3"/>
      <c r="T28" s="3"/>
      <c r="U28" s="3"/>
      <c r="V28" s="3"/>
      <c r="W28" s="3"/>
      <c r="X28" s="3"/>
      <c r="Y28" s="3"/>
      <c r="Z28" s="3"/>
      <c r="AA28" s="3"/>
      <c r="AB28" s="3"/>
    </row>
    <row r="29" spans="1:28" ht="14" x14ac:dyDescent="0.2">
      <c r="A29" s="3" t="s">
        <v>183</v>
      </c>
      <c r="B29" s="3"/>
      <c r="C29" s="3">
        <v>0.5</v>
      </c>
      <c r="D29" s="3">
        <v>1</v>
      </c>
      <c r="E29" s="3"/>
      <c r="F29" s="3">
        <v>2.5</v>
      </c>
      <c r="G29" s="3"/>
      <c r="H29" s="3">
        <v>0.5</v>
      </c>
      <c r="I29" s="3"/>
      <c r="J29" s="34">
        <f t="shared" si="0"/>
        <v>4.5</v>
      </c>
      <c r="K29" s="3"/>
      <c r="L29" s="3" t="s">
        <v>52</v>
      </c>
      <c r="M29" s="3"/>
      <c r="N29" s="125">
        <v>46204</v>
      </c>
      <c r="O29" s="3" t="s">
        <v>364</v>
      </c>
      <c r="P29" s="3"/>
      <c r="Q29" s="3"/>
      <c r="R29" s="3"/>
      <c r="S29" s="3"/>
      <c r="T29" s="3"/>
      <c r="U29" s="3"/>
      <c r="V29" s="3"/>
      <c r="W29" s="3"/>
      <c r="X29" s="3"/>
      <c r="Y29" s="3"/>
      <c r="Z29" s="3"/>
      <c r="AA29" s="3"/>
      <c r="AB29" s="3"/>
    </row>
    <row r="30" spans="1:28" ht="14" x14ac:dyDescent="0.2">
      <c r="A30" s="3" t="s">
        <v>123</v>
      </c>
      <c r="B30" s="3" t="s">
        <v>135</v>
      </c>
      <c r="C30" s="3"/>
      <c r="D30" s="3">
        <v>9</v>
      </c>
      <c r="F30" s="3">
        <v>2.5</v>
      </c>
      <c r="G30" s="3"/>
      <c r="H30" s="3">
        <v>1</v>
      </c>
      <c r="I30" s="3"/>
      <c r="J30" s="34">
        <f t="shared" si="0"/>
        <v>12.5</v>
      </c>
      <c r="K30" s="3"/>
      <c r="L30" s="3" t="s">
        <v>341</v>
      </c>
      <c r="M30" s="3"/>
      <c r="N30" s="126"/>
      <c r="O30" s="3" t="s">
        <v>342</v>
      </c>
      <c r="P30" s="3"/>
      <c r="Q30" s="3"/>
      <c r="R30" s="3"/>
      <c r="S30" s="3"/>
      <c r="T30" s="3"/>
      <c r="U30" s="3"/>
      <c r="V30" s="3"/>
      <c r="W30" s="3"/>
      <c r="X30" s="3"/>
      <c r="Y30" s="3"/>
      <c r="Z30" s="3"/>
      <c r="AA30" s="3"/>
      <c r="AB30" s="3"/>
    </row>
    <row r="31" spans="1:28" ht="14" x14ac:dyDescent="0.2">
      <c r="A31" s="3" t="s">
        <v>106</v>
      </c>
      <c r="B31" s="3" t="s">
        <v>136</v>
      </c>
      <c r="C31" s="3">
        <v>11.02</v>
      </c>
      <c r="D31" s="3">
        <v>18.25</v>
      </c>
      <c r="E31" s="3">
        <v>1.5</v>
      </c>
      <c r="F31" s="3">
        <v>2.5</v>
      </c>
      <c r="G31" s="3"/>
      <c r="H31" s="3"/>
      <c r="I31" s="3"/>
      <c r="J31" s="34">
        <f t="shared" si="0"/>
        <v>33.269999999999996</v>
      </c>
      <c r="K31" s="3"/>
      <c r="L31" s="3" t="s">
        <v>53</v>
      </c>
      <c r="M31" s="3"/>
      <c r="N31" s="125">
        <v>46174</v>
      </c>
      <c r="O31" s="3" t="s">
        <v>352</v>
      </c>
      <c r="P31" s="3"/>
      <c r="Q31" s="3"/>
      <c r="R31" s="3"/>
      <c r="S31" s="3"/>
      <c r="T31" s="3"/>
      <c r="U31" s="3"/>
      <c r="V31" s="3"/>
      <c r="W31" s="3"/>
      <c r="X31" s="3"/>
      <c r="Y31" s="3"/>
      <c r="Z31" s="3"/>
      <c r="AA31" s="3"/>
      <c r="AB31" s="3"/>
    </row>
    <row r="32" spans="1:28" ht="14" x14ac:dyDescent="0.2">
      <c r="A32" s="3" t="s">
        <v>15</v>
      </c>
      <c r="B32" s="3" t="s">
        <v>137</v>
      </c>
      <c r="C32" s="3"/>
      <c r="D32" s="3"/>
      <c r="E32" s="3"/>
      <c r="F32" s="3"/>
      <c r="G32" s="3"/>
      <c r="H32" s="3"/>
      <c r="I32" s="3"/>
      <c r="J32" s="34">
        <f t="shared" si="0"/>
        <v>0</v>
      </c>
      <c r="K32" s="3"/>
      <c r="L32" s="3" t="s">
        <v>406</v>
      </c>
      <c r="M32" s="3"/>
      <c r="N32" s="126"/>
      <c r="O32" s="3"/>
      <c r="P32" s="3"/>
      <c r="Q32" s="3"/>
      <c r="R32" s="3"/>
      <c r="S32" s="3"/>
      <c r="T32" s="3"/>
      <c r="U32" s="3"/>
      <c r="V32" s="3"/>
      <c r="W32" s="3"/>
      <c r="X32" s="3"/>
      <c r="Y32" s="3"/>
      <c r="Z32" s="3"/>
      <c r="AA32" s="3"/>
      <c r="AB32" s="3"/>
    </row>
    <row r="33" spans="1:28" ht="14" x14ac:dyDescent="0.2">
      <c r="A33" s="3" t="s">
        <v>16</v>
      </c>
      <c r="B33" s="3" t="s">
        <v>180</v>
      </c>
      <c r="C33" s="3">
        <v>51</v>
      </c>
      <c r="D33" s="3">
        <v>85</v>
      </c>
      <c r="E33" s="3">
        <v>3.7</v>
      </c>
      <c r="F33" s="3">
        <v>131</v>
      </c>
      <c r="G33" s="3">
        <v>70.599999999999994</v>
      </c>
      <c r="H33" s="3">
        <v>20.38</v>
      </c>
      <c r="I33" s="3">
        <v>2</v>
      </c>
      <c r="J33" s="34">
        <f t="shared" si="0"/>
        <v>363.67999999999995</v>
      </c>
      <c r="K33" s="3"/>
      <c r="L33" s="3" t="s">
        <v>338</v>
      </c>
      <c r="M33" s="3"/>
      <c r="N33" s="126"/>
      <c r="O33" s="3" t="s">
        <v>344</v>
      </c>
      <c r="P33" s="3"/>
      <c r="Q33" s="3"/>
      <c r="R33" s="3"/>
      <c r="S33" s="3"/>
      <c r="T33" s="3"/>
      <c r="U33" s="3"/>
      <c r="V33" s="3"/>
      <c r="W33" s="3"/>
      <c r="X33" s="3"/>
      <c r="Y33" s="3"/>
      <c r="Z33" s="3"/>
      <c r="AA33" s="3"/>
      <c r="AB33" s="3"/>
    </row>
    <row r="34" spans="1:28" ht="14" x14ac:dyDescent="0.2">
      <c r="A34" s="3" t="s">
        <v>161</v>
      </c>
      <c r="B34" s="3"/>
      <c r="C34" s="3">
        <v>588.08000000000004</v>
      </c>
      <c r="D34" s="3">
        <v>170.47</v>
      </c>
      <c r="E34" s="3"/>
      <c r="F34" s="3">
        <v>106.5</v>
      </c>
      <c r="G34" s="3"/>
      <c r="H34" s="3">
        <v>0.37</v>
      </c>
      <c r="I34" s="3"/>
      <c r="J34" s="34">
        <f t="shared" si="0"/>
        <v>865.42000000000007</v>
      </c>
      <c r="K34" s="3"/>
      <c r="L34" s="3" t="s">
        <v>52</v>
      </c>
      <c r="M34" s="3"/>
      <c r="N34" s="126" t="s">
        <v>98</v>
      </c>
      <c r="O34" s="3" t="s">
        <v>353</v>
      </c>
      <c r="P34" s="3"/>
      <c r="Q34" s="3"/>
      <c r="R34" s="3"/>
      <c r="S34" s="3"/>
      <c r="T34" s="3"/>
      <c r="U34" s="3"/>
      <c r="V34" s="3"/>
      <c r="W34" s="3"/>
      <c r="X34" s="3"/>
      <c r="Y34" s="3"/>
      <c r="Z34" s="3"/>
      <c r="AA34" s="3"/>
      <c r="AB34" s="3"/>
    </row>
    <row r="35" spans="1:28" ht="14" x14ac:dyDescent="0.2">
      <c r="A35" s="3" t="s">
        <v>162</v>
      </c>
      <c r="B35" s="3"/>
      <c r="C35" s="3"/>
      <c r="D35" s="3">
        <v>35.909999999999997</v>
      </c>
      <c r="E35" s="3"/>
      <c r="F35" s="3">
        <v>48.25</v>
      </c>
      <c r="G35" s="3"/>
      <c r="H35" s="3"/>
      <c r="I35" s="3"/>
      <c r="J35" s="34">
        <f t="shared" si="0"/>
        <v>84.16</v>
      </c>
      <c r="K35" s="3"/>
      <c r="L35" s="3" t="s">
        <v>343</v>
      </c>
      <c r="M35" s="3"/>
      <c r="N35" s="126" t="s">
        <v>98</v>
      </c>
      <c r="O35" s="3" t="s">
        <v>354</v>
      </c>
      <c r="P35" s="3"/>
      <c r="Q35" s="3"/>
      <c r="R35" s="3"/>
      <c r="S35" s="3"/>
      <c r="T35" s="3"/>
      <c r="U35" s="3"/>
      <c r="V35" s="3"/>
      <c r="W35" s="3"/>
      <c r="X35" s="3"/>
      <c r="Y35" s="3"/>
      <c r="Z35" s="3"/>
      <c r="AA35" s="3"/>
      <c r="AB35" s="3"/>
    </row>
    <row r="36" spans="1:28" ht="14" x14ac:dyDescent="0.2">
      <c r="A36" s="3" t="s">
        <v>435</v>
      </c>
      <c r="B36" s="3"/>
      <c r="C36" s="3">
        <v>57.25</v>
      </c>
      <c r="D36" s="3">
        <v>22.58</v>
      </c>
      <c r="E36" s="3"/>
      <c r="F36" s="3">
        <v>34.5</v>
      </c>
      <c r="G36" s="3"/>
      <c r="H36" s="3"/>
      <c r="I36" s="3"/>
      <c r="J36" s="34">
        <f t="shared" si="0"/>
        <v>114.33</v>
      </c>
      <c r="K36" s="3"/>
      <c r="L36" s="3"/>
      <c r="M36" s="3"/>
      <c r="N36" s="126"/>
      <c r="O36" s="3" t="s">
        <v>362</v>
      </c>
      <c r="P36" s="3"/>
      <c r="Q36" s="3"/>
      <c r="R36" s="3"/>
      <c r="S36" s="3"/>
      <c r="T36" s="3"/>
      <c r="U36" s="3"/>
      <c r="V36" s="3"/>
      <c r="W36" s="3"/>
      <c r="X36" s="3"/>
      <c r="Y36" s="3"/>
      <c r="Z36" s="3"/>
      <c r="AA36" s="3"/>
      <c r="AB36" s="3"/>
    </row>
    <row r="37" spans="1:28" ht="14" x14ac:dyDescent="0.2">
      <c r="A37" s="3" t="s">
        <v>171</v>
      </c>
      <c r="B37" s="3" t="s">
        <v>181</v>
      </c>
      <c r="C37" s="3"/>
      <c r="D37" s="3">
        <v>0.25</v>
      </c>
      <c r="E37" s="3"/>
      <c r="F37" s="3"/>
      <c r="G37" s="3"/>
      <c r="H37" s="3"/>
      <c r="I37" s="3"/>
      <c r="J37" s="34">
        <f t="shared" si="0"/>
        <v>0.25</v>
      </c>
      <c r="K37" s="3"/>
      <c r="L37" s="3" t="s">
        <v>410</v>
      </c>
      <c r="M37" s="3"/>
      <c r="N37" s="125">
        <v>46023</v>
      </c>
      <c r="O37" s="3" t="s">
        <v>345</v>
      </c>
      <c r="P37" s="3"/>
      <c r="Q37" s="3"/>
      <c r="R37" s="3"/>
      <c r="S37" s="3"/>
      <c r="T37" s="3"/>
      <c r="U37" s="3"/>
      <c r="V37" s="3"/>
      <c r="W37" s="3"/>
      <c r="X37" s="3"/>
      <c r="Y37" s="3"/>
      <c r="Z37" s="3"/>
      <c r="AA37" s="3"/>
      <c r="AB37" s="3"/>
    </row>
    <row r="38" spans="1:28" ht="14" x14ac:dyDescent="0.2">
      <c r="A38" s="3" t="s">
        <v>124</v>
      </c>
      <c r="B38" s="3" t="s">
        <v>139</v>
      </c>
      <c r="C38" s="3"/>
      <c r="D38" s="3"/>
      <c r="E38" s="3"/>
      <c r="F38" s="3"/>
      <c r="G38" s="3"/>
      <c r="H38" s="3"/>
      <c r="I38" s="3"/>
      <c r="J38" s="34">
        <f>SUM(C38:I38)</f>
        <v>0</v>
      </c>
      <c r="K38" s="3"/>
      <c r="L38" s="3"/>
      <c r="M38" s="3"/>
      <c r="N38" s="126"/>
      <c r="O38" s="3" t="s">
        <v>346</v>
      </c>
      <c r="P38" s="3"/>
      <c r="Q38" s="3"/>
      <c r="R38" s="3"/>
      <c r="S38" s="3"/>
      <c r="T38" s="3"/>
      <c r="U38" s="3"/>
      <c r="V38" s="3"/>
      <c r="W38" s="3"/>
      <c r="X38" s="3"/>
      <c r="Y38" s="3"/>
      <c r="Z38" s="3"/>
      <c r="AA38" s="3"/>
      <c r="AB38" s="3"/>
    </row>
    <row r="39" spans="1:28" ht="14" x14ac:dyDescent="0.2">
      <c r="A39" s="3" t="s">
        <v>107</v>
      </c>
      <c r="B39" s="3" t="s">
        <v>140</v>
      </c>
      <c r="C39" s="3">
        <v>118.35</v>
      </c>
      <c r="D39" s="3">
        <v>39.340000000000003</v>
      </c>
      <c r="E39" s="3">
        <v>33.17</v>
      </c>
      <c r="F39" s="3">
        <v>67.5</v>
      </c>
      <c r="G39" s="3"/>
      <c r="H39" s="3"/>
      <c r="I39" s="3"/>
      <c r="J39" s="34">
        <f t="shared" si="0"/>
        <v>258.36</v>
      </c>
      <c r="K39" s="3"/>
      <c r="L39" s="3" t="s">
        <v>411</v>
      </c>
      <c r="M39" s="3"/>
      <c r="N39" s="126" t="s">
        <v>367</v>
      </c>
      <c r="O39" s="3" t="s">
        <v>347</v>
      </c>
      <c r="P39" s="3"/>
      <c r="Q39" s="3"/>
      <c r="R39" s="3"/>
      <c r="S39" s="3"/>
      <c r="T39" s="3"/>
      <c r="U39" s="3"/>
      <c r="V39" s="3"/>
      <c r="W39" s="3"/>
      <c r="X39" s="3"/>
      <c r="Y39" s="3"/>
      <c r="Z39" s="3"/>
      <c r="AA39" s="3"/>
      <c r="AB39" s="3"/>
    </row>
    <row r="40" spans="1:28" ht="14" x14ac:dyDescent="0.2">
      <c r="A40" s="3" t="s">
        <v>165</v>
      </c>
      <c r="B40" s="3" t="s">
        <v>182</v>
      </c>
      <c r="C40" s="3"/>
      <c r="D40" s="3">
        <v>1</v>
      </c>
      <c r="E40" s="3"/>
      <c r="F40" s="3">
        <v>0.25</v>
      </c>
      <c r="G40" s="3"/>
      <c r="H40" s="3"/>
      <c r="I40" s="3"/>
      <c r="J40" s="34">
        <f t="shared" si="0"/>
        <v>1.25</v>
      </c>
      <c r="K40" s="3"/>
      <c r="L40" s="3" t="s">
        <v>412</v>
      </c>
      <c r="M40" s="3"/>
      <c r="N40" s="126"/>
      <c r="O40" s="3" t="s">
        <v>396</v>
      </c>
      <c r="P40" s="3"/>
      <c r="Q40" s="3"/>
      <c r="R40" s="3"/>
      <c r="S40" s="3"/>
      <c r="T40" s="3"/>
      <c r="U40" s="3"/>
      <c r="V40" s="3"/>
      <c r="W40" s="3"/>
      <c r="X40" s="3"/>
      <c r="Y40" s="3"/>
      <c r="Z40" s="3"/>
      <c r="AA40" s="3"/>
      <c r="AB40" s="3"/>
    </row>
    <row r="41" spans="1:28" ht="14" x14ac:dyDescent="0.2">
      <c r="A41" s="3" t="s">
        <v>418</v>
      </c>
      <c r="B41" s="3"/>
      <c r="C41" s="3">
        <v>198.14</v>
      </c>
      <c r="D41" s="3">
        <v>153</v>
      </c>
      <c r="E41" s="3"/>
      <c r="F41" s="3">
        <v>73.92</v>
      </c>
      <c r="G41" s="3">
        <v>19.36</v>
      </c>
      <c r="H41" s="3"/>
      <c r="I41" s="3"/>
      <c r="J41" s="34">
        <f t="shared" si="0"/>
        <v>444.42</v>
      </c>
      <c r="K41" s="3"/>
      <c r="L41" s="3" t="s">
        <v>408</v>
      </c>
      <c r="M41" s="3"/>
      <c r="N41" s="126"/>
      <c r="O41" s="3" t="s">
        <v>431</v>
      </c>
      <c r="P41" s="3"/>
      <c r="Q41" s="3"/>
      <c r="R41" s="3"/>
      <c r="S41" s="3"/>
      <c r="T41" s="3"/>
      <c r="U41" s="3"/>
      <c r="V41" s="3"/>
      <c r="W41" s="3"/>
      <c r="X41" s="3"/>
      <c r="Y41" s="3"/>
      <c r="Z41" s="3"/>
      <c r="AA41" s="3"/>
      <c r="AB41" s="3"/>
    </row>
    <row r="42" spans="1:28" ht="14" x14ac:dyDescent="0.2">
      <c r="A42" s="3" t="s">
        <v>371</v>
      </c>
      <c r="B42" s="3" t="s">
        <v>141</v>
      </c>
      <c r="C42" s="3"/>
      <c r="D42" s="3">
        <v>3.5</v>
      </c>
      <c r="E42" s="3"/>
      <c r="F42" s="3">
        <v>7.75</v>
      </c>
      <c r="G42" s="3"/>
      <c r="H42" s="3">
        <v>9.5</v>
      </c>
      <c r="I42" s="3"/>
      <c r="J42" s="34">
        <f t="shared" si="0"/>
        <v>20.75</v>
      </c>
      <c r="K42" s="3"/>
      <c r="L42" s="3" t="s">
        <v>406</v>
      </c>
      <c r="M42" s="3"/>
      <c r="N42" s="126" t="s">
        <v>98</v>
      </c>
      <c r="O42" s="3" t="s">
        <v>379</v>
      </c>
      <c r="P42" s="3"/>
      <c r="Q42" s="3"/>
      <c r="R42" s="3"/>
      <c r="S42" s="3"/>
      <c r="T42" s="3"/>
      <c r="U42" s="3"/>
      <c r="V42" s="3"/>
      <c r="W42" s="3"/>
      <c r="X42" s="3"/>
      <c r="Y42" s="3"/>
      <c r="Z42" s="3"/>
      <c r="AA42" s="3"/>
      <c r="AB42" s="3"/>
    </row>
    <row r="43" spans="1:28" ht="14" x14ac:dyDescent="0.2">
      <c r="A43" s="3" t="s">
        <v>17</v>
      </c>
      <c r="B43" s="3" t="s">
        <v>142</v>
      </c>
      <c r="C43" s="3"/>
      <c r="D43" s="3"/>
      <c r="E43" s="3"/>
      <c r="F43" s="3"/>
      <c r="G43" s="3"/>
      <c r="H43" s="3"/>
      <c r="I43" s="3"/>
      <c r="J43" s="34">
        <f t="shared" si="0"/>
        <v>0</v>
      </c>
      <c r="K43" s="3"/>
      <c r="L43" s="3"/>
      <c r="M43" s="3"/>
      <c r="N43" s="126"/>
      <c r="O43" s="3"/>
      <c r="P43" s="3"/>
      <c r="Q43" s="3"/>
      <c r="R43" s="3"/>
      <c r="S43" s="3"/>
      <c r="T43" s="3"/>
      <c r="U43" s="3"/>
      <c r="V43" s="3"/>
      <c r="W43" s="3"/>
      <c r="X43" s="3"/>
      <c r="Y43" s="3"/>
      <c r="Z43" s="3"/>
      <c r="AA43" s="3"/>
      <c r="AB43" s="3"/>
    </row>
    <row r="44" spans="1:28" ht="14" x14ac:dyDescent="0.2">
      <c r="A44" s="3" t="s">
        <v>18</v>
      </c>
      <c r="B44" s="3" t="s">
        <v>143</v>
      </c>
      <c r="C44" s="3">
        <v>34.25</v>
      </c>
      <c r="D44" s="3">
        <v>70.25</v>
      </c>
      <c r="E44" s="3">
        <v>121.25</v>
      </c>
      <c r="F44" s="3">
        <v>9.5</v>
      </c>
      <c r="G44" s="3"/>
      <c r="H44" s="3">
        <v>7.18</v>
      </c>
      <c r="I44" s="3"/>
      <c r="J44" s="34">
        <f t="shared" si="0"/>
        <v>242.43</v>
      </c>
      <c r="K44" s="3"/>
      <c r="L44" s="3" t="s">
        <v>338</v>
      </c>
      <c r="M44" s="3"/>
      <c r="N44" s="126"/>
      <c r="O44" s="3" t="s">
        <v>356</v>
      </c>
      <c r="P44" s="3"/>
      <c r="Q44" s="3"/>
      <c r="R44" s="3"/>
      <c r="S44" s="3"/>
      <c r="T44" s="3"/>
      <c r="U44" s="3"/>
      <c r="V44" s="3"/>
      <c r="W44" s="3"/>
      <c r="X44" s="3"/>
      <c r="Y44" s="3"/>
      <c r="Z44" s="3"/>
      <c r="AA44" s="3"/>
      <c r="AB44" s="3"/>
    </row>
    <row r="45" spans="1:28" ht="14" x14ac:dyDescent="0.2">
      <c r="A45" s="3" t="s">
        <v>19</v>
      </c>
      <c r="B45" s="3" t="s">
        <v>144</v>
      </c>
      <c r="C45" s="3">
        <v>312.12</v>
      </c>
      <c r="D45" s="3">
        <v>91.06</v>
      </c>
      <c r="E45" s="3">
        <v>119.75</v>
      </c>
      <c r="F45" s="3">
        <v>180.5</v>
      </c>
      <c r="G45" s="3">
        <v>2.2400000000000002</v>
      </c>
      <c r="H45" s="3">
        <v>6.36</v>
      </c>
      <c r="I45" s="3">
        <v>0.5</v>
      </c>
      <c r="J45" s="34">
        <f t="shared" si="0"/>
        <v>712.53000000000009</v>
      </c>
      <c r="K45" s="3"/>
      <c r="L45" s="3" t="s">
        <v>338</v>
      </c>
      <c r="M45" s="3"/>
      <c r="N45" s="126"/>
      <c r="O45" s="3" t="s">
        <v>357</v>
      </c>
      <c r="P45" s="3"/>
      <c r="Q45" s="3"/>
      <c r="R45" s="3"/>
      <c r="S45" s="3"/>
      <c r="T45" s="3"/>
      <c r="U45" s="3"/>
      <c r="V45" s="3"/>
      <c r="W45" s="3"/>
      <c r="X45" s="3"/>
      <c r="Y45" s="3"/>
      <c r="Z45" s="3"/>
      <c r="AA45" s="3"/>
      <c r="AB45" s="3"/>
    </row>
    <row r="46" spans="1:28" ht="14" x14ac:dyDescent="0.2">
      <c r="A46" s="3" t="s">
        <v>419</v>
      </c>
      <c r="B46" s="3"/>
      <c r="C46" s="3"/>
      <c r="D46" s="3"/>
      <c r="E46" s="3"/>
      <c r="F46" s="3"/>
      <c r="G46" s="3"/>
      <c r="H46" s="3"/>
      <c r="I46" s="3"/>
      <c r="J46" s="34">
        <f t="shared" si="0"/>
        <v>0</v>
      </c>
      <c r="K46" s="3"/>
      <c r="L46" s="3" t="s">
        <v>341</v>
      </c>
      <c r="M46" s="3"/>
      <c r="N46" s="126"/>
      <c r="O46" s="3" t="s">
        <v>428</v>
      </c>
      <c r="P46" s="3"/>
      <c r="Q46" s="3"/>
      <c r="R46" s="3"/>
      <c r="S46" s="3"/>
      <c r="T46" s="3"/>
      <c r="U46" s="3"/>
      <c r="V46" s="3"/>
      <c r="W46" s="3"/>
      <c r="X46" s="3"/>
      <c r="Y46" s="3"/>
      <c r="Z46" s="3"/>
      <c r="AA46" s="3"/>
      <c r="AB46" s="3"/>
    </row>
    <row r="47" spans="1:28" ht="14" x14ac:dyDescent="0.2">
      <c r="A47" s="3" t="s">
        <v>187</v>
      </c>
      <c r="B47" s="3"/>
      <c r="C47" s="3"/>
      <c r="D47" s="3">
        <v>27.25</v>
      </c>
      <c r="E47" s="3"/>
      <c r="F47" s="3">
        <v>7.25</v>
      </c>
      <c r="G47" s="3">
        <v>16.91</v>
      </c>
      <c r="H47" s="3"/>
      <c r="I47" s="3"/>
      <c r="J47" s="34">
        <f t="shared" si="0"/>
        <v>51.41</v>
      </c>
      <c r="K47" s="3"/>
      <c r="L47" s="3" t="s">
        <v>34</v>
      </c>
      <c r="M47" s="3"/>
      <c r="N47" s="126"/>
      <c r="O47" s="3" t="s">
        <v>358</v>
      </c>
      <c r="P47" s="3"/>
      <c r="Q47" s="3"/>
      <c r="R47" s="3"/>
      <c r="S47" s="3"/>
      <c r="T47" s="3"/>
      <c r="U47" s="3"/>
      <c r="V47" s="3"/>
      <c r="W47" s="3"/>
      <c r="X47" s="3"/>
      <c r="Y47" s="3"/>
      <c r="Z47" s="3"/>
      <c r="AA47" s="3"/>
      <c r="AB47" s="3"/>
    </row>
    <row r="48" spans="1:28" ht="14" x14ac:dyDescent="0.2">
      <c r="A48" s="3" t="s">
        <v>288</v>
      </c>
      <c r="B48" s="3"/>
      <c r="C48" s="3">
        <v>11</v>
      </c>
      <c r="D48" s="3">
        <v>2.25</v>
      </c>
      <c r="E48" s="3"/>
      <c r="F48" s="3"/>
      <c r="G48" s="3"/>
      <c r="H48" s="3"/>
      <c r="I48" s="3"/>
      <c r="J48" s="34">
        <f t="shared" si="0"/>
        <v>13.25</v>
      </c>
      <c r="K48" s="3"/>
      <c r="L48" s="3" t="s">
        <v>34</v>
      </c>
      <c r="M48" s="3"/>
      <c r="N48" s="126" t="s">
        <v>98</v>
      </c>
      <c r="O48" s="3" t="s">
        <v>359</v>
      </c>
      <c r="P48" s="3"/>
      <c r="Q48" s="3"/>
      <c r="R48" s="3"/>
      <c r="S48" s="3"/>
      <c r="T48" s="3"/>
      <c r="U48" s="3"/>
      <c r="V48" s="3"/>
      <c r="W48" s="3"/>
      <c r="X48" s="3"/>
      <c r="Y48" s="3"/>
      <c r="Z48" s="3"/>
      <c r="AA48" s="3"/>
      <c r="AB48" s="3"/>
    </row>
    <row r="49" spans="1:28" ht="14" x14ac:dyDescent="0.2">
      <c r="A49" s="3" t="s">
        <v>184</v>
      </c>
      <c r="B49" s="3"/>
      <c r="C49" s="3"/>
      <c r="D49" s="3"/>
      <c r="E49" s="3"/>
      <c r="F49" s="3"/>
      <c r="G49" s="3"/>
      <c r="H49" s="3"/>
      <c r="I49" s="3"/>
      <c r="J49" s="34">
        <f t="shared" si="0"/>
        <v>0</v>
      </c>
      <c r="K49" s="3"/>
      <c r="L49" s="3" t="s">
        <v>360</v>
      </c>
      <c r="M49" s="3"/>
      <c r="N49" s="126"/>
      <c r="O49" s="3" t="s">
        <v>365</v>
      </c>
      <c r="P49" s="3"/>
      <c r="Q49" s="3"/>
      <c r="R49" s="3"/>
      <c r="S49" s="3"/>
      <c r="T49" s="3"/>
      <c r="U49" s="3"/>
      <c r="V49" s="3"/>
      <c r="W49" s="3"/>
      <c r="X49" s="3"/>
      <c r="Y49" s="3"/>
      <c r="Z49" s="3"/>
      <c r="AA49" s="3"/>
      <c r="AB49" s="3"/>
    </row>
    <row r="50" spans="1:28" ht="14" x14ac:dyDescent="0.2">
      <c r="A50" s="3" t="s">
        <v>157</v>
      </c>
      <c r="B50" s="3" t="s">
        <v>159</v>
      </c>
      <c r="C50" s="3"/>
      <c r="D50" s="3"/>
      <c r="E50" s="3"/>
      <c r="F50" s="3"/>
      <c r="G50" s="3"/>
      <c r="H50" s="3"/>
      <c r="I50" s="3"/>
      <c r="J50" s="34">
        <f t="shared" si="0"/>
        <v>0</v>
      </c>
      <c r="K50" s="3"/>
      <c r="L50" s="3"/>
      <c r="M50" s="3"/>
      <c r="N50" s="126"/>
      <c r="O50" s="3"/>
      <c r="P50" s="3"/>
      <c r="Q50" s="3"/>
      <c r="R50" s="3"/>
      <c r="S50" s="3"/>
      <c r="T50" s="3"/>
      <c r="U50" s="3"/>
      <c r="V50" s="3"/>
      <c r="W50" s="3"/>
      <c r="X50" s="3"/>
      <c r="Y50" s="3"/>
      <c r="Z50" s="3"/>
      <c r="AA50" s="3"/>
      <c r="AB50" s="3"/>
    </row>
    <row r="51" spans="1:28" ht="14" x14ac:dyDescent="0.2">
      <c r="A51" s="3" t="s">
        <v>158</v>
      </c>
      <c r="B51" s="3" t="s">
        <v>160</v>
      </c>
      <c r="C51" s="3"/>
      <c r="D51" s="3"/>
      <c r="E51" s="3"/>
      <c r="F51" s="3"/>
      <c r="G51" s="3"/>
      <c r="H51" s="3"/>
      <c r="I51" s="3"/>
      <c r="J51" s="34">
        <f t="shared" si="0"/>
        <v>0</v>
      </c>
      <c r="K51" s="3"/>
      <c r="L51" s="3"/>
      <c r="M51" s="3"/>
      <c r="N51" s="126"/>
      <c r="O51" s="3"/>
      <c r="P51" s="3"/>
      <c r="Q51" s="3"/>
      <c r="R51" s="3"/>
      <c r="S51" s="3"/>
      <c r="T51" s="3"/>
      <c r="U51" s="3"/>
      <c r="V51" s="3"/>
      <c r="W51" s="3"/>
      <c r="X51" s="3"/>
      <c r="Y51" s="3"/>
      <c r="Z51" s="3"/>
      <c r="AA51" s="3"/>
      <c r="AB51" s="3"/>
    </row>
    <row r="52" spans="1:28" ht="14" x14ac:dyDescent="0.2">
      <c r="A52" s="3" t="s">
        <v>115</v>
      </c>
      <c r="B52" s="3" t="s">
        <v>145</v>
      </c>
      <c r="C52" s="3"/>
      <c r="D52" s="3"/>
      <c r="E52" s="3"/>
      <c r="F52" s="3"/>
      <c r="G52" s="3"/>
      <c r="H52" s="3"/>
      <c r="I52" s="3"/>
      <c r="J52" s="34">
        <f t="shared" si="0"/>
        <v>0</v>
      </c>
      <c r="K52" s="3"/>
      <c r="L52" s="3"/>
      <c r="M52" s="3"/>
      <c r="N52" s="126"/>
      <c r="O52" s="3"/>
      <c r="P52" s="3"/>
      <c r="Q52" s="3"/>
      <c r="R52" s="3"/>
      <c r="S52" s="3"/>
      <c r="T52" s="3"/>
      <c r="U52" s="3"/>
      <c r="V52" s="3"/>
      <c r="W52" s="3"/>
      <c r="X52" s="3"/>
      <c r="Y52" s="3"/>
      <c r="Z52" s="3"/>
      <c r="AA52" s="3"/>
      <c r="AB52" s="3"/>
    </row>
    <row r="53" spans="1:28" ht="14" x14ac:dyDescent="0.2">
      <c r="A53" s="3" t="s">
        <v>128</v>
      </c>
      <c r="B53" s="3" t="s">
        <v>146</v>
      </c>
      <c r="C53" s="3">
        <v>113.5</v>
      </c>
      <c r="D53" s="3">
        <v>20.25</v>
      </c>
      <c r="E53" s="3"/>
      <c r="F53" s="3">
        <v>31.17</v>
      </c>
      <c r="G53" s="3"/>
      <c r="H53" s="3"/>
      <c r="I53" s="3"/>
      <c r="J53" s="34">
        <f t="shared" si="0"/>
        <v>164.92000000000002</v>
      </c>
      <c r="K53" s="3"/>
      <c r="L53" s="3" t="s">
        <v>52</v>
      </c>
      <c r="M53" s="3"/>
      <c r="N53" s="125">
        <v>46113</v>
      </c>
      <c r="O53" s="3" t="s">
        <v>361</v>
      </c>
      <c r="P53" s="3"/>
      <c r="Q53" s="3"/>
      <c r="R53" s="3"/>
      <c r="S53" s="3"/>
      <c r="T53" s="3"/>
      <c r="U53" s="3"/>
      <c r="V53" s="3"/>
      <c r="W53" s="3"/>
      <c r="X53" s="3"/>
      <c r="Y53" s="3"/>
      <c r="Z53" s="3"/>
      <c r="AA53" s="3"/>
      <c r="AB53" s="3"/>
    </row>
    <row r="54" spans="1:28" ht="15" x14ac:dyDescent="0.2">
      <c r="A54" s="3" t="s">
        <v>20</v>
      </c>
      <c r="B54" s="36" t="s">
        <v>147</v>
      </c>
      <c r="C54" s="3"/>
      <c r="D54" s="3"/>
      <c r="E54" s="3"/>
      <c r="F54" s="3"/>
      <c r="G54" s="3"/>
      <c r="H54" s="3"/>
      <c r="I54" s="3"/>
      <c r="J54" s="34">
        <f t="shared" si="0"/>
        <v>0</v>
      </c>
      <c r="K54" s="3"/>
      <c r="L54" s="3"/>
      <c r="M54" s="3"/>
      <c r="N54" s="126"/>
      <c r="O54" s="3"/>
      <c r="P54" s="3"/>
      <c r="Q54" s="3"/>
      <c r="R54" s="3"/>
      <c r="S54" s="3"/>
      <c r="T54" s="3"/>
      <c r="U54" s="3"/>
      <c r="V54" s="3"/>
      <c r="W54" s="3"/>
      <c r="X54" s="3"/>
      <c r="Y54" s="3"/>
      <c r="Z54" s="3"/>
      <c r="AA54" s="3"/>
      <c r="AB54" s="3"/>
    </row>
    <row r="55" spans="1:28" ht="14" x14ac:dyDescent="0.2">
      <c r="A55" s="3" t="s">
        <v>420</v>
      </c>
      <c r="B55" s="36"/>
      <c r="C55" s="3"/>
      <c r="D55" s="3"/>
      <c r="E55" s="3"/>
      <c r="F55" s="3">
        <v>8</v>
      </c>
      <c r="G55" s="3"/>
      <c r="H55" s="3">
        <v>0.5</v>
      </c>
      <c r="I55" s="3"/>
      <c r="J55" s="34">
        <f t="shared" si="0"/>
        <v>8.5</v>
      </c>
      <c r="K55" s="3"/>
      <c r="L55" s="3" t="s">
        <v>429</v>
      </c>
      <c r="M55" s="3"/>
      <c r="N55" s="126"/>
      <c r="O55" s="3" t="s">
        <v>430</v>
      </c>
      <c r="P55" s="3"/>
      <c r="Q55" s="3"/>
      <c r="R55" s="3"/>
      <c r="S55" s="3"/>
      <c r="T55" s="3"/>
      <c r="U55" s="3"/>
      <c r="V55" s="3"/>
      <c r="W55" s="3"/>
      <c r="X55" s="3"/>
      <c r="Y55" s="3"/>
      <c r="Z55" s="3"/>
      <c r="AA55" s="3"/>
      <c r="AB55" s="3"/>
    </row>
    <row r="56" spans="1:28" ht="14" x14ac:dyDescent="0.2">
      <c r="A56" s="3" t="s">
        <v>21</v>
      </c>
      <c r="B56" s="3" t="s">
        <v>148</v>
      </c>
      <c r="C56" s="3">
        <v>6.42</v>
      </c>
      <c r="D56" s="3">
        <v>14.75</v>
      </c>
      <c r="E56" s="3"/>
      <c r="F56" s="3">
        <v>18.75</v>
      </c>
      <c r="G56" s="3"/>
      <c r="H56" s="3"/>
      <c r="I56" s="3"/>
      <c r="J56" s="34">
        <f t="shared" si="0"/>
        <v>39.92</v>
      </c>
      <c r="K56" s="3"/>
      <c r="L56" s="3" t="s">
        <v>338</v>
      </c>
      <c r="M56" s="3"/>
      <c r="N56" s="126"/>
      <c r="O56" s="3" t="s">
        <v>362</v>
      </c>
      <c r="P56" s="3"/>
      <c r="Q56" s="3"/>
      <c r="R56" s="3"/>
      <c r="S56" s="3"/>
      <c r="T56" s="3"/>
      <c r="U56" s="3"/>
      <c r="V56" s="3"/>
      <c r="W56" s="3"/>
      <c r="X56" s="3"/>
      <c r="Y56" s="3"/>
      <c r="Z56" s="3"/>
      <c r="AA56" s="3"/>
      <c r="AB56" s="3"/>
    </row>
    <row r="57" spans="1:28" ht="14" x14ac:dyDescent="0.2">
      <c r="A57" s="3"/>
      <c r="B57" s="1"/>
      <c r="C57" s="1"/>
      <c r="D57" s="1"/>
      <c r="E57" s="1"/>
      <c r="F57" s="1"/>
      <c r="G57" s="1"/>
      <c r="H57" s="1"/>
      <c r="I57" s="1"/>
      <c r="J57" s="34">
        <f>SUM(J17:J56)</f>
        <v>5726.98</v>
      </c>
      <c r="K57" s="3"/>
      <c r="L57" s="3"/>
      <c r="M57" s="3"/>
      <c r="N57" s="3"/>
      <c r="O57" s="3"/>
      <c r="P57" s="3"/>
      <c r="Q57" s="3"/>
      <c r="R57" s="3"/>
      <c r="S57" s="3"/>
      <c r="T57" s="3"/>
      <c r="U57" s="3"/>
      <c r="V57" s="3"/>
      <c r="W57" s="3"/>
      <c r="X57" s="3"/>
      <c r="Y57" s="3"/>
      <c r="Z57" s="3"/>
      <c r="AA57" s="3"/>
      <c r="AB57" s="3"/>
    </row>
    <row r="58" spans="1:28"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7.5" customHeight="1" x14ac:dyDescent="0.2">
      <c r="A59" s="7"/>
      <c r="B59" s="7"/>
      <c r="C59" s="7"/>
      <c r="D59" s="7"/>
      <c r="E59" s="7"/>
      <c r="F59" s="7"/>
      <c r="G59" s="7"/>
      <c r="H59" s="3"/>
      <c r="I59" s="3"/>
      <c r="J59" s="3"/>
      <c r="K59" s="3"/>
      <c r="L59" s="3"/>
      <c r="M59" s="3"/>
      <c r="N59" s="3"/>
      <c r="O59" s="3"/>
      <c r="P59" s="3"/>
      <c r="Q59" s="3"/>
      <c r="R59" s="3"/>
      <c r="S59" s="3"/>
      <c r="T59" s="3"/>
      <c r="U59" s="3"/>
      <c r="V59" s="3"/>
      <c r="W59" s="3"/>
      <c r="X59" s="3"/>
      <c r="Y59" s="3"/>
      <c r="Z59" s="3"/>
      <c r="AA59" s="3"/>
      <c r="AB59" s="3"/>
    </row>
    <row r="60" spans="1:28" ht="16" x14ac:dyDescent="0.2">
      <c r="A60" s="11" t="s">
        <v>55</v>
      </c>
      <c r="B60" s="12">
        <v>24974</v>
      </c>
      <c r="D60" s="3"/>
      <c r="E60" s="3"/>
      <c r="F60" s="3"/>
      <c r="G60" s="3"/>
      <c r="H60" s="3"/>
      <c r="I60" s="3"/>
      <c r="J60" s="3"/>
      <c r="K60" s="3"/>
      <c r="L60" s="3"/>
      <c r="M60" s="3"/>
      <c r="N60" s="3"/>
      <c r="O60" s="3"/>
      <c r="P60" s="3"/>
      <c r="Q60" s="3"/>
      <c r="R60" s="3"/>
      <c r="S60" s="3"/>
      <c r="T60" s="3"/>
      <c r="U60" s="3"/>
      <c r="V60" s="3"/>
      <c r="W60" s="3"/>
      <c r="X60" s="3"/>
      <c r="Y60" s="3"/>
      <c r="Z60" s="3"/>
      <c r="AA60" s="3"/>
      <c r="AB60" s="3"/>
    </row>
    <row r="61" spans="1:28" ht="14" x14ac:dyDescent="0.2">
      <c r="A61" s="1"/>
      <c r="B61" s="1"/>
      <c r="C61" s="1"/>
      <c r="D61" s="9"/>
      <c r="E61" s="1"/>
      <c r="F61" s="8"/>
      <c r="G61" s="8"/>
      <c r="H61" s="3"/>
      <c r="I61" s="3"/>
      <c r="J61" s="3"/>
      <c r="K61" s="3"/>
      <c r="L61" s="3"/>
      <c r="M61" s="3"/>
      <c r="N61" s="3"/>
      <c r="O61" s="3"/>
      <c r="P61" s="3"/>
      <c r="Q61" s="3"/>
      <c r="R61" s="3"/>
      <c r="S61" s="3"/>
      <c r="T61" s="3"/>
      <c r="U61" s="3"/>
      <c r="V61" s="3"/>
      <c r="W61" s="3"/>
      <c r="X61" s="3"/>
      <c r="Y61" s="3"/>
      <c r="Z61" s="3"/>
      <c r="AA61" s="3"/>
      <c r="AB61" s="3"/>
    </row>
    <row r="62" spans="1:28" ht="60" x14ac:dyDescent="0.2">
      <c r="A62" s="1" t="s">
        <v>22</v>
      </c>
      <c r="B62" s="8" t="s">
        <v>5</v>
      </c>
      <c r="C62" s="1" t="s">
        <v>56</v>
      </c>
      <c r="D62" s="9" t="s">
        <v>35</v>
      </c>
      <c r="E62" s="1" t="s">
        <v>57</v>
      </c>
      <c r="F62" s="8" t="s">
        <v>38</v>
      </c>
      <c r="G62" s="8" t="s">
        <v>50</v>
      </c>
      <c r="H62" s="3"/>
      <c r="I62" s="3"/>
      <c r="J62" s="3"/>
      <c r="K62" s="3"/>
      <c r="L62" s="3"/>
      <c r="M62" s="3"/>
      <c r="N62" s="3"/>
      <c r="O62" s="3"/>
      <c r="P62" s="3"/>
      <c r="Q62" s="3"/>
      <c r="R62" s="3"/>
      <c r="S62" s="3"/>
      <c r="T62" s="3"/>
      <c r="U62" s="3"/>
      <c r="V62" s="3"/>
      <c r="W62" s="3"/>
      <c r="X62" s="3"/>
      <c r="Y62" s="3"/>
      <c r="Z62" s="3"/>
      <c r="AA62" s="3"/>
      <c r="AB62" s="3"/>
    </row>
    <row r="63" spans="1:28" ht="14" x14ac:dyDescent="0.2">
      <c r="A63" s="3" t="s">
        <v>23</v>
      </c>
      <c r="B63" s="3"/>
      <c r="C63" s="3"/>
      <c r="F63" s="3"/>
      <c r="G63" s="1">
        <f>SUM(C63:F63)</f>
        <v>0</v>
      </c>
      <c r="H63" s="3"/>
      <c r="I63" s="3"/>
      <c r="J63" s="3"/>
      <c r="K63" s="3"/>
      <c r="L63" s="3"/>
      <c r="M63" s="3"/>
      <c r="N63" s="3"/>
      <c r="O63" s="3"/>
      <c r="P63" s="3"/>
      <c r="Q63" s="3"/>
      <c r="R63" s="3"/>
      <c r="S63" s="3"/>
      <c r="T63" s="3"/>
      <c r="U63" s="3"/>
      <c r="V63" s="3"/>
      <c r="W63" s="3"/>
      <c r="X63" s="3"/>
      <c r="Y63" s="3"/>
      <c r="Z63" s="3"/>
      <c r="AA63" s="3"/>
      <c r="AB63" s="3"/>
    </row>
    <row r="64" spans="1:28" ht="14" x14ac:dyDescent="0.2">
      <c r="A64" s="3" t="s">
        <v>11</v>
      </c>
      <c r="B64" s="3"/>
      <c r="C64" s="3">
        <v>9.17</v>
      </c>
      <c r="D64" s="3"/>
      <c r="E64" s="3"/>
      <c r="F64" s="3"/>
      <c r="G64" s="1">
        <f t="shared" ref="G64:G71" si="1">SUM(C64:F64)</f>
        <v>9.17</v>
      </c>
      <c r="H64" s="3"/>
      <c r="I64" s="3"/>
      <c r="J64" s="3"/>
      <c r="K64" s="3"/>
      <c r="L64" s="3"/>
      <c r="M64" s="3"/>
      <c r="N64" s="3"/>
      <c r="O64" s="3"/>
      <c r="P64" s="3"/>
      <c r="Q64" s="3"/>
      <c r="R64" s="3"/>
      <c r="S64" s="3"/>
      <c r="T64" s="3"/>
      <c r="U64" s="3"/>
      <c r="V64" s="3"/>
      <c r="W64" s="3"/>
      <c r="X64" s="3"/>
      <c r="Y64" s="3"/>
      <c r="Z64" s="3"/>
      <c r="AA64" s="3"/>
      <c r="AB64" s="3"/>
    </row>
    <row r="65" spans="1:28" ht="14" x14ac:dyDescent="0.2">
      <c r="A65" s="3" t="s">
        <v>14</v>
      </c>
      <c r="B65" s="3"/>
      <c r="C65" s="3">
        <v>144.12</v>
      </c>
      <c r="D65" s="3"/>
      <c r="E65" s="3">
        <v>58.91</v>
      </c>
      <c r="F65" s="3"/>
      <c r="G65" s="1">
        <f t="shared" si="1"/>
        <v>203.03</v>
      </c>
      <c r="H65" s="3"/>
      <c r="I65" s="3"/>
      <c r="J65" s="3"/>
      <c r="K65" s="3"/>
      <c r="L65" s="3"/>
      <c r="M65" s="3"/>
      <c r="N65" s="3"/>
      <c r="O65" s="3"/>
      <c r="P65" s="3"/>
      <c r="Q65" s="3"/>
      <c r="R65" s="3"/>
      <c r="S65" s="3"/>
      <c r="T65" s="3"/>
      <c r="U65" s="3"/>
      <c r="V65" s="3"/>
      <c r="W65" s="3"/>
      <c r="X65" s="3"/>
      <c r="Y65" s="3"/>
      <c r="Z65" s="3"/>
      <c r="AA65" s="3"/>
      <c r="AB65" s="3"/>
    </row>
    <row r="66" spans="1:28" ht="14" x14ac:dyDescent="0.2">
      <c r="A66" s="3" t="s">
        <v>278</v>
      </c>
      <c r="B66" s="3"/>
      <c r="C66" s="3">
        <v>1.51</v>
      </c>
      <c r="D66" s="3"/>
      <c r="E66" s="3"/>
      <c r="F66" s="3"/>
      <c r="G66" s="1">
        <f t="shared" si="1"/>
        <v>1.51</v>
      </c>
      <c r="H66" s="3"/>
      <c r="I66" s="3"/>
      <c r="J66" s="3"/>
      <c r="K66" s="3"/>
      <c r="L66" s="3"/>
      <c r="M66" s="3"/>
      <c r="N66" s="3"/>
      <c r="O66" s="3"/>
      <c r="P66" s="3"/>
      <c r="Q66" s="3"/>
      <c r="R66" s="3"/>
      <c r="S66" s="3"/>
      <c r="T66" s="3"/>
      <c r="U66" s="3"/>
      <c r="V66" s="3"/>
      <c r="W66" s="3"/>
      <c r="X66" s="3"/>
      <c r="Y66" s="3"/>
      <c r="Z66" s="3"/>
      <c r="AA66" s="3"/>
      <c r="AB66" s="3"/>
    </row>
    <row r="67" spans="1:28" ht="14" x14ac:dyDescent="0.2">
      <c r="A67" s="3" t="s">
        <v>18</v>
      </c>
      <c r="B67" s="3"/>
      <c r="C67" s="3">
        <v>49.1</v>
      </c>
      <c r="D67" s="3"/>
      <c r="E67" s="3">
        <v>20.66</v>
      </c>
      <c r="F67" s="3"/>
      <c r="G67" s="1">
        <f t="shared" si="1"/>
        <v>69.760000000000005</v>
      </c>
      <c r="H67" s="3"/>
      <c r="I67" s="3"/>
      <c r="J67" s="3"/>
      <c r="K67" s="3"/>
      <c r="L67" s="3"/>
      <c r="M67" s="3"/>
      <c r="N67" s="3"/>
      <c r="O67" s="3"/>
      <c r="P67" s="3"/>
      <c r="Q67" s="3"/>
      <c r="R67" s="3"/>
      <c r="S67" s="3"/>
      <c r="T67" s="3"/>
      <c r="U67" s="3"/>
      <c r="V67" s="3"/>
      <c r="W67" s="3"/>
      <c r="X67" s="3"/>
      <c r="Y67" s="3"/>
      <c r="Z67" s="3"/>
      <c r="AA67" s="3"/>
      <c r="AB67" s="3"/>
    </row>
    <row r="68" spans="1:28" ht="14" x14ac:dyDescent="0.2">
      <c r="A68" s="3" t="s">
        <v>19</v>
      </c>
      <c r="B68" s="3"/>
      <c r="C68" s="3">
        <v>29.02</v>
      </c>
      <c r="D68" s="3"/>
      <c r="E68" s="3">
        <v>9.91</v>
      </c>
      <c r="F68" s="3"/>
      <c r="G68" s="1">
        <f t="shared" si="1"/>
        <v>38.93</v>
      </c>
      <c r="H68" s="3"/>
      <c r="I68" s="3"/>
      <c r="J68" s="3"/>
      <c r="K68" s="3"/>
      <c r="L68" s="3"/>
      <c r="M68" s="3"/>
      <c r="N68" s="3"/>
      <c r="O68" s="3"/>
      <c r="P68" s="3"/>
      <c r="Q68" s="3"/>
      <c r="R68" s="3"/>
      <c r="S68" s="3"/>
      <c r="T68" s="3"/>
      <c r="U68" s="3"/>
      <c r="V68" s="3"/>
      <c r="W68" s="3"/>
      <c r="X68" s="3"/>
      <c r="Y68" s="3"/>
      <c r="Z68" s="3"/>
      <c r="AA68" s="3"/>
      <c r="AB68" s="3"/>
    </row>
    <row r="69" spans="1:28" ht="14" x14ac:dyDescent="0.2">
      <c r="A69" s="3" t="s">
        <v>24</v>
      </c>
      <c r="B69" s="3"/>
      <c r="C69" s="3"/>
      <c r="D69" s="3"/>
      <c r="E69" s="3"/>
      <c r="F69" s="3"/>
      <c r="G69" s="1">
        <f t="shared" si="1"/>
        <v>0</v>
      </c>
      <c r="H69" s="3"/>
      <c r="I69" s="3"/>
      <c r="J69" s="3"/>
      <c r="K69" s="3"/>
      <c r="L69" s="3"/>
      <c r="M69" s="3"/>
      <c r="N69" s="3"/>
      <c r="O69" s="3"/>
      <c r="P69" s="3"/>
      <c r="Q69" s="3"/>
      <c r="R69" s="3"/>
      <c r="S69" s="3"/>
      <c r="T69" s="3"/>
      <c r="U69" s="3"/>
      <c r="V69" s="3"/>
      <c r="W69" s="3"/>
      <c r="X69" s="3"/>
      <c r="Y69" s="3"/>
      <c r="Z69" s="3"/>
      <c r="AA69" s="3"/>
      <c r="AB69" s="3"/>
    </row>
    <row r="70" spans="1:28" ht="14" x14ac:dyDescent="0.2">
      <c r="A70" s="3" t="s">
        <v>433</v>
      </c>
      <c r="B70" s="3"/>
      <c r="C70" s="3">
        <v>9.32</v>
      </c>
      <c r="D70" s="3">
        <v>42</v>
      </c>
      <c r="E70" s="3">
        <v>2.25</v>
      </c>
      <c r="F70" s="3"/>
      <c r="G70" s="1">
        <f t="shared" si="1"/>
        <v>53.57</v>
      </c>
      <c r="H70" s="3"/>
      <c r="I70" s="3"/>
      <c r="J70" s="3"/>
      <c r="K70" s="3"/>
      <c r="L70" s="3"/>
      <c r="M70" s="3"/>
      <c r="N70" s="3"/>
      <c r="O70" s="3"/>
      <c r="P70" s="3"/>
      <c r="Q70" s="3"/>
      <c r="R70" s="3"/>
      <c r="S70" s="3"/>
      <c r="T70" s="3"/>
      <c r="U70" s="3"/>
      <c r="V70" s="3"/>
      <c r="W70" s="3"/>
      <c r="X70" s="3"/>
      <c r="Y70" s="3"/>
      <c r="Z70" s="3"/>
      <c r="AA70" s="3"/>
      <c r="AB70" s="3"/>
    </row>
    <row r="71" spans="1:28" ht="14" x14ac:dyDescent="0.2">
      <c r="A71" s="3" t="s">
        <v>21</v>
      </c>
      <c r="B71" s="3"/>
      <c r="C71" s="3">
        <v>3.83</v>
      </c>
      <c r="D71" s="3"/>
      <c r="E71" s="3">
        <v>0.83</v>
      </c>
      <c r="F71" s="3"/>
      <c r="G71" s="1">
        <f t="shared" si="1"/>
        <v>4.66</v>
      </c>
      <c r="H71" s="3"/>
      <c r="I71" s="3"/>
      <c r="J71" s="3"/>
      <c r="K71" s="3"/>
      <c r="L71" s="3"/>
      <c r="M71" s="3"/>
      <c r="N71" s="3"/>
      <c r="O71" s="3"/>
      <c r="P71" s="3"/>
      <c r="Q71" s="3"/>
      <c r="R71" s="3"/>
      <c r="S71" s="3"/>
      <c r="T71" s="3"/>
      <c r="U71" s="3"/>
      <c r="V71" s="3"/>
      <c r="W71" s="3"/>
      <c r="X71" s="3"/>
      <c r="Y71" s="3"/>
      <c r="Z71" s="3"/>
      <c r="AA71" s="3"/>
      <c r="AB71" s="3"/>
    </row>
    <row r="72" spans="1:28" ht="14" x14ac:dyDescent="0.2">
      <c r="A72" s="3"/>
      <c r="B72" s="1"/>
      <c r="C72" s="1">
        <f>SUM(C63:C71)</f>
        <v>246.07</v>
      </c>
      <c r="D72" s="1">
        <f>SUM(D63:D71)</f>
        <v>42</v>
      </c>
      <c r="E72" s="1">
        <f>SUM(E63:E71)</f>
        <v>92.559999999999988</v>
      </c>
      <c r="F72" s="1">
        <f>SUM(F63:F71)</f>
        <v>0</v>
      </c>
      <c r="G72" s="1">
        <f>SUM(C72:F72)</f>
        <v>380.63</v>
      </c>
      <c r="H72" s="3"/>
      <c r="I72" s="3"/>
      <c r="J72" s="3"/>
      <c r="K72" s="3"/>
      <c r="L72" s="3"/>
      <c r="M72" s="3"/>
      <c r="N72" s="3"/>
      <c r="O72" s="3"/>
      <c r="P72" s="3"/>
      <c r="Q72" s="3"/>
      <c r="R72" s="3"/>
      <c r="S72" s="3"/>
      <c r="T72" s="3"/>
      <c r="U72" s="3"/>
      <c r="V72" s="3"/>
      <c r="W72" s="3"/>
      <c r="X72" s="3"/>
      <c r="Y72" s="3"/>
      <c r="Z72" s="3"/>
      <c r="AA72" s="3"/>
      <c r="AB72" s="3"/>
    </row>
    <row r="73" spans="1:28"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7.5" customHeight="1" x14ac:dyDescent="0.2">
      <c r="A74" s="7"/>
      <c r="B74" s="7"/>
      <c r="C74" s="7"/>
      <c r="D74" s="7"/>
      <c r="E74" s="7"/>
      <c r="F74" s="7"/>
      <c r="G74" s="7"/>
      <c r="H74" s="7"/>
      <c r="I74" s="7"/>
      <c r="J74" s="7"/>
      <c r="K74" s="7"/>
      <c r="L74" s="7"/>
      <c r="M74" s="7"/>
      <c r="N74" s="3"/>
      <c r="O74" s="3"/>
      <c r="P74" s="3"/>
      <c r="Q74" s="3"/>
      <c r="R74" s="3"/>
      <c r="S74" s="3"/>
      <c r="T74" s="3"/>
      <c r="U74" s="3"/>
      <c r="V74" s="3"/>
      <c r="W74" s="3"/>
      <c r="X74" s="3"/>
      <c r="Y74" s="3"/>
      <c r="Z74" s="3"/>
      <c r="AA74" s="3"/>
      <c r="AB74" s="3"/>
    </row>
    <row r="75" spans="1:28" ht="16" x14ac:dyDescent="0.2">
      <c r="A75" s="11" t="s">
        <v>58</v>
      </c>
      <c r="B75" s="12" t="s">
        <v>59</v>
      </c>
      <c r="D75" s="3"/>
      <c r="E75" s="3"/>
      <c r="F75" s="3"/>
      <c r="G75" s="3"/>
      <c r="H75" s="3"/>
      <c r="I75" s="3"/>
      <c r="J75" s="3"/>
      <c r="K75" s="3"/>
      <c r="L75" s="3"/>
      <c r="M75" s="3"/>
      <c r="N75" s="3"/>
      <c r="O75" s="3"/>
      <c r="P75" s="3"/>
      <c r="Q75" s="3"/>
      <c r="R75" s="3"/>
      <c r="S75" s="3"/>
      <c r="T75" s="3"/>
      <c r="U75" s="3"/>
      <c r="V75" s="3"/>
      <c r="W75" s="3"/>
      <c r="X75" s="3"/>
      <c r="Y75" s="3"/>
      <c r="Z75" s="3"/>
      <c r="AA75" s="3"/>
      <c r="AB75" s="3"/>
    </row>
    <row r="76" spans="1:28"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4" x14ac:dyDescent="0.2">
      <c r="A77" s="14" t="s">
        <v>60</v>
      </c>
      <c r="B77" s="153" t="s">
        <v>61</v>
      </c>
      <c r="C77" s="148"/>
      <c r="D77" s="14" t="s">
        <v>62</v>
      </c>
      <c r="E77" s="14" t="s">
        <v>151</v>
      </c>
      <c r="F77" s="14" t="s">
        <v>63</v>
      </c>
      <c r="G77" s="14" t="s">
        <v>64</v>
      </c>
      <c r="H77" s="38" t="s">
        <v>65</v>
      </c>
      <c r="I77" s="28"/>
      <c r="J77" s="28"/>
      <c r="K77" s="28"/>
      <c r="L77" s="28"/>
      <c r="M77" s="29"/>
      <c r="N77" s="3"/>
      <c r="O77" s="3"/>
      <c r="P77" s="3"/>
      <c r="Q77" s="3"/>
      <c r="R77" s="3"/>
      <c r="S77" s="3"/>
      <c r="T77" s="3"/>
      <c r="U77" s="3"/>
      <c r="V77" s="3"/>
      <c r="W77" s="3"/>
      <c r="X77" s="3"/>
      <c r="Y77" s="3"/>
      <c r="Z77" s="3"/>
      <c r="AA77" s="3"/>
      <c r="AB77" s="3"/>
    </row>
    <row r="78" spans="1:28" ht="14" x14ac:dyDescent="0.2">
      <c r="A78" s="15"/>
      <c r="B78" s="152"/>
      <c r="C78" s="148"/>
      <c r="D78" s="15"/>
      <c r="F78" s="15"/>
      <c r="G78" s="15"/>
      <c r="H78" s="37"/>
      <c r="I78" s="28"/>
      <c r="J78" s="28"/>
      <c r="K78" s="28"/>
      <c r="L78" s="28"/>
      <c r="M78" s="29"/>
      <c r="N78" s="3"/>
      <c r="O78" s="3"/>
      <c r="P78" s="3"/>
      <c r="Q78" s="3"/>
      <c r="R78" s="3"/>
      <c r="S78" s="3"/>
      <c r="T78" s="3"/>
      <c r="U78" s="3"/>
      <c r="V78" s="3"/>
      <c r="W78" s="3"/>
      <c r="X78" s="3"/>
      <c r="Y78" s="3"/>
      <c r="Z78" s="3"/>
      <c r="AA78" s="3"/>
      <c r="AB78" s="3"/>
    </row>
    <row r="79" spans="1:28" ht="14" x14ac:dyDescent="0.2">
      <c r="A79" s="17" t="s">
        <v>66</v>
      </c>
      <c r="B79" s="146" t="s">
        <v>67</v>
      </c>
      <c r="C79" s="148"/>
      <c r="D79" s="19" t="s">
        <v>68</v>
      </c>
      <c r="E79" s="19" t="s">
        <v>153</v>
      </c>
      <c r="F79" s="20"/>
      <c r="G79" s="20"/>
      <c r="H79" s="18" t="s">
        <v>69</v>
      </c>
      <c r="I79" s="28"/>
      <c r="J79" s="28"/>
      <c r="K79" s="28"/>
      <c r="L79" s="28"/>
      <c r="M79" s="29"/>
      <c r="N79" s="3"/>
      <c r="O79" s="3"/>
      <c r="P79" s="3"/>
      <c r="Q79" s="3"/>
      <c r="R79" s="3"/>
      <c r="S79" s="3"/>
      <c r="T79" s="3"/>
      <c r="U79" s="3"/>
      <c r="V79" s="3"/>
      <c r="W79" s="3"/>
      <c r="X79" s="3"/>
      <c r="Y79" s="3"/>
      <c r="Z79" s="3"/>
      <c r="AA79" s="3"/>
      <c r="AB79" s="3"/>
    </row>
    <row r="80" spans="1:28" ht="14" x14ac:dyDescent="0.2">
      <c r="A80" s="17" t="s">
        <v>66</v>
      </c>
      <c r="B80" s="146" t="s">
        <v>70</v>
      </c>
      <c r="C80" s="148"/>
      <c r="D80" s="19" t="s">
        <v>68</v>
      </c>
      <c r="E80" s="19" t="s">
        <v>153</v>
      </c>
      <c r="F80" s="20"/>
      <c r="G80" s="20"/>
      <c r="H80" s="18" t="s">
        <v>69</v>
      </c>
      <c r="I80" s="28"/>
      <c r="J80" s="28"/>
      <c r="K80" s="28"/>
      <c r="L80" s="28"/>
      <c r="M80" s="29"/>
      <c r="N80" s="3"/>
      <c r="O80" s="3"/>
      <c r="P80" s="3"/>
      <c r="Q80" s="3"/>
      <c r="R80" s="3"/>
      <c r="S80" s="3"/>
      <c r="T80" s="3"/>
      <c r="U80" s="3"/>
      <c r="V80" s="3"/>
      <c r="W80" s="3"/>
      <c r="X80" s="3"/>
      <c r="Y80" s="3"/>
      <c r="Z80" s="3"/>
      <c r="AA80" s="3"/>
      <c r="AB80" s="3"/>
    </row>
    <row r="81" spans="1:28" ht="14" x14ac:dyDescent="0.2">
      <c r="A81" s="17" t="s">
        <v>66</v>
      </c>
      <c r="B81" s="146" t="s">
        <v>71</v>
      </c>
      <c r="C81" s="148"/>
      <c r="D81" s="19" t="s">
        <v>68</v>
      </c>
      <c r="E81" s="19" t="s">
        <v>153</v>
      </c>
      <c r="F81" s="20"/>
      <c r="G81" s="20"/>
      <c r="H81" s="18" t="s">
        <v>69</v>
      </c>
      <c r="I81" s="28"/>
      <c r="J81" s="28"/>
      <c r="K81" s="28"/>
      <c r="L81" s="28"/>
      <c r="M81" s="29"/>
      <c r="N81" s="3"/>
      <c r="O81" s="3"/>
      <c r="P81" s="3"/>
      <c r="Q81" s="3"/>
      <c r="R81" s="3"/>
      <c r="S81" s="3"/>
      <c r="T81" s="3"/>
      <c r="U81" s="3"/>
      <c r="V81" s="3"/>
      <c r="W81" s="3"/>
      <c r="X81" s="3"/>
      <c r="Y81" s="3"/>
      <c r="Z81" s="3"/>
      <c r="AA81" s="3"/>
      <c r="AB81" s="3"/>
    </row>
    <row r="82" spans="1:28" ht="14" x14ac:dyDescent="0.2">
      <c r="A82" s="17" t="s">
        <v>66</v>
      </c>
      <c r="B82" s="146" t="s">
        <v>72</v>
      </c>
      <c r="C82" s="148"/>
      <c r="D82" s="19" t="s">
        <v>68</v>
      </c>
      <c r="E82" s="19" t="s">
        <v>154</v>
      </c>
      <c r="F82" s="20"/>
      <c r="G82" s="20"/>
      <c r="H82" s="18" t="s">
        <v>69</v>
      </c>
      <c r="I82" s="28"/>
      <c r="J82" s="28"/>
      <c r="K82" s="28"/>
      <c r="L82" s="28"/>
      <c r="M82" s="29"/>
      <c r="N82" s="3"/>
      <c r="O82" s="3"/>
      <c r="P82" s="3"/>
      <c r="Q82" s="3"/>
      <c r="R82" s="3"/>
      <c r="S82" s="3"/>
      <c r="T82" s="3"/>
      <c r="U82" s="3"/>
      <c r="V82" s="3"/>
      <c r="W82" s="3"/>
      <c r="X82" s="3"/>
      <c r="Y82" s="3"/>
      <c r="Z82" s="3"/>
      <c r="AA82" s="3"/>
      <c r="AB82" s="3"/>
    </row>
    <row r="83" spans="1:28" ht="14" x14ac:dyDescent="0.2">
      <c r="A83" s="17" t="s">
        <v>66</v>
      </c>
      <c r="B83" s="146" t="s">
        <v>152</v>
      </c>
      <c r="C83" s="148"/>
      <c r="D83" s="19" t="s">
        <v>68</v>
      </c>
      <c r="E83" s="19" t="s">
        <v>153</v>
      </c>
      <c r="F83" s="20"/>
      <c r="G83" s="20"/>
      <c r="H83" s="18" t="s">
        <v>191</v>
      </c>
      <c r="I83" s="28"/>
      <c r="J83" s="28"/>
      <c r="K83" s="28"/>
      <c r="L83" s="28"/>
      <c r="M83" s="29"/>
      <c r="N83" s="3"/>
      <c r="O83" s="3"/>
      <c r="P83" s="3"/>
      <c r="Q83" s="3"/>
      <c r="R83" s="3"/>
      <c r="S83" s="3"/>
      <c r="T83" s="3"/>
      <c r="U83" s="3"/>
      <c r="V83" s="3"/>
      <c r="W83" s="3"/>
      <c r="X83" s="3"/>
      <c r="Y83" s="3"/>
      <c r="Z83" s="3"/>
      <c r="AA83" s="3"/>
      <c r="AB83" s="3"/>
    </row>
    <row r="84" spans="1:28" ht="14" x14ac:dyDescent="0.2">
      <c r="A84" s="17" t="s">
        <v>73</v>
      </c>
      <c r="B84" s="146" t="s">
        <v>18</v>
      </c>
      <c r="C84" s="148"/>
      <c r="D84" s="19" t="s">
        <v>68</v>
      </c>
      <c r="E84" s="19" t="s">
        <v>153</v>
      </c>
      <c r="F84" s="20"/>
      <c r="G84" s="20"/>
      <c r="H84" s="18" t="s">
        <v>74</v>
      </c>
      <c r="I84" s="28"/>
      <c r="J84" s="28"/>
      <c r="K84" s="28"/>
      <c r="L84" s="28"/>
      <c r="M84" s="29"/>
      <c r="N84" s="3"/>
      <c r="O84" s="3"/>
      <c r="P84" s="3"/>
      <c r="Q84" s="3"/>
      <c r="R84" s="3"/>
      <c r="S84" s="3"/>
      <c r="T84" s="3"/>
      <c r="U84" s="3"/>
      <c r="V84" s="3"/>
      <c r="W84" s="3"/>
      <c r="X84" s="3"/>
      <c r="Y84" s="3"/>
      <c r="Z84" s="3"/>
      <c r="AA84" s="3"/>
      <c r="AB84" s="3"/>
    </row>
    <row r="85" spans="1:28" ht="14" x14ac:dyDescent="0.2">
      <c r="A85" s="17" t="s">
        <v>188</v>
      </c>
      <c r="B85" s="146" t="s">
        <v>189</v>
      </c>
      <c r="C85" s="148"/>
      <c r="D85" s="19" t="s">
        <v>68</v>
      </c>
      <c r="E85" s="26" t="s">
        <v>190</v>
      </c>
      <c r="F85" s="20"/>
      <c r="G85" s="20"/>
      <c r="H85" s="18" t="s">
        <v>191</v>
      </c>
      <c r="I85" s="28"/>
      <c r="J85" s="28"/>
      <c r="K85" s="28"/>
      <c r="L85" s="28"/>
      <c r="M85" s="29"/>
      <c r="N85" s="3"/>
      <c r="O85" s="3"/>
      <c r="P85" s="3"/>
      <c r="Q85" s="3"/>
      <c r="R85" s="3"/>
      <c r="S85" s="3"/>
      <c r="T85" s="3"/>
      <c r="U85" s="3"/>
      <c r="V85" s="3"/>
      <c r="W85" s="3"/>
      <c r="X85" s="3"/>
      <c r="Y85" s="3"/>
      <c r="Z85" s="3"/>
      <c r="AA85" s="3"/>
      <c r="AB85" s="3"/>
    </row>
    <row r="86" spans="1:28" ht="14" x14ac:dyDescent="0.2">
      <c r="A86" s="17"/>
      <c r="B86" s="152"/>
      <c r="C86" s="148"/>
      <c r="D86" s="19"/>
      <c r="E86" s="26"/>
      <c r="F86" s="20"/>
      <c r="G86" s="20"/>
      <c r="H86" s="18"/>
      <c r="I86" s="28"/>
      <c r="J86" s="28"/>
      <c r="K86" s="28"/>
      <c r="L86" s="28"/>
      <c r="M86" s="29"/>
      <c r="N86" s="3"/>
      <c r="O86" s="3"/>
      <c r="P86" s="3"/>
      <c r="Q86" s="3"/>
      <c r="R86" s="3"/>
      <c r="S86" s="3"/>
      <c r="T86" s="3"/>
      <c r="U86" s="3"/>
      <c r="V86" s="3"/>
      <c r="W86" s="3"/>
      <c r="X86" s="3"/>
      <c r="Y86" s="3"/>
      <c r="Z86" s="3"/>
      <c r="AA86" s="3"/>
      <c r="AB86" s="3"/>
    </row>
    <row r="87" spans="1:28" ht="14" x14ac:dyDescent="0.2">
      <c r="A87" s="15" t="s">
        <v>192</v>
      </c>
      <c r="B87" s="152" t="s">
        <v>18</v>
      </c>
      <c r="C87" s="148"/>
      <c r="D87" s="46" t="s">
        <v>68</v>
      </c>
      <c r="E87" s="26" t="s">
        <v>155</v>
      </c>
      <c r="F87" s="22"/>
      <c r="G87" s="22">
        <v>249</v>
      </c>
      <c r="H87" s="37" t="s">
        <v>193</v>
      </c>
      <c r="I87" s="28"/>
      <c r="J87" s="28"/>
      <c r="K87" s="28"/>
      <c r="L87" s="28"/>
      <c r="M87" s="29"/>
      <c r="N87" s="3"/>
      <c r="O87" s="3"/>
      <c r="P87" s="3"/>
      <c r="Q87" s="3"/>
      <c r="R87" s="3"/>
      <c r="S87" s="3"/>
      <c r="T87" s="3"/>
      <c r="U87" s="3"/>
      <c r="V87" s="3"/>
      <c r="W87" s="3"/>
      <c r="X87" s="3"/>
      <c r="Y87" s="3"/>
      <c r="Z87" s="3"/>
      <c r="AA87" s="3"/>
      <c r="AB87" s="3"/>
    </row>
    <row r="88" spans="1:28" ht="14" x14ac:dyDescent="0.2">
      <c r="A88" s="15" t="s">
        <v>66</v>
      </c>
      <c r="B88" s="152" t="s">
        <v>285</v>
      </c>
      <c r="C88" s="156"/>
      <c r="D88" s="46" t="s">
        <v>77</v>
      </c>
      <c r="E88" s="26" t="s">
        <v>153</v>
      </c>
      <c r="F88" s="22"/>
      <c r="G88" s="22">
        <v>4605.07</v>
      </c>
      <c r="H88" s="37" t="s">
        <v>302</v>
      </c>
      <c r="I88" s="28"/>
      <c r="J88" s="28"/>
      <c r="K88" s="28"/>
      <c r="L88" s="28"/>
      <c r="M88" s="29"/>
      <c r="N88" s="3"/>
      <c r="O88" s="3"/>
      <c r="P88" s="3"/>
      <c r="Q88" s="3"/>
      <c r="R88" s="3"/>
      <c r="S88" s="3"/>
      <c r="T88" s="3"/>
      <c r="U88" s="3"/>
      <c r="V88" s="3"/>
      <c r="W88" s="3"/>
      <c r="X88" s="3"/>
      <c r="Y88" s="3"/>
      <c r="Z88" s="3"/>
      <c r="AA88" s="3"/>
      <c r="AB88" s="3"/>
    </row>
    <row r="89" spans="1:28" ht="14" x14ac:dyDescent="0.2">
      <c r="A89" s="15" t="s">
        <v>66</v>
      </c>
      <c r="B89" s="152" t="s">
        <v>194</v>
      </c>
      <c r="C89" s="148"/>
      <c r="D89" s="46" t="s">
        <v>77</v>
      </c>
      <c r="E89" s="26" t="s">
        <v>155</v>
      </c>
      <c r="F89" s="22"/>
      <c r="G89" s="22"/>
      <c r="H89" s="37" t="s">
        <v>195</v>
      </c>
      <c r="I89" s="28"/>
      <c r="J89" s="28"/>
      <c r="K89" s="28"/>
      <c r="L89" s="28"/>
      <c r="M89" s="29"/>
      <c r="N89" s="3"/>
      <c r="O89" s="3"/>
      <c r="P89" s="3"/>
      <c r="Q89" s="3"/>
      <c r="R89" s="3"/>
      <c r="S89" s="3"/>
      <c r="T89" s="3"/>
      <c r="U89" s="3"/>
      <c r="V89" s="3"/>
      <c r="W89" s="3"/>
      <c r="X89" s="3"/>
      <c r="Y89" s="3"/>
      <c r="Z89" s="3"/>
      <c r="AA89" s="3"/>
      <c r="AB89" s="3"/>
    </row>
    <row r="90" spans="1:28" ht="14" x14ac:dyDescent="0.2">
      <c r="A90" s="15" t="s">
        <v>196</v>
      </c>
      <c r="B90" s="37" t="s">
        <v>197</v>
      </c>
      <c r="C90" s="29"/>
      <c r="D90" s="46" t="s">
        <v>77</v>
      </c>
      <c r="E90" s="26" t="s">
        <v>155</v>
      </c>
      <c r="F90" s="22"/>
      <c r="G90" s="22"/>
      <c r="H90" s="37" t="s">
        <v>198</v>
      </c>
      <c r="I90" s="28"/>
      <c r="J90" s="28"/>
      <c r="K90" s="28"/>
      <c r="L90" s="28"/>
      <c r="M90" s="29"/>
      <c r="N90" s="3"/>
      <c r="O90" s="3"/>
      <c r="P90" s="3"/>
      <c r="Q90" s="3"/>
      <c r="R90" s="3"/>
      <c r="S90" s="3"/>
      <c r="T90" s="3"/>
      <c r="U90" s="3"/>
      <c r="V90" s="3"/>
      <c r="W90" s="3"/>
      <c r="X90" s="3"/>
      <c r="Y90" s="3"/>
      <c r="Z90" s="3"/>
      <c r="AA90" s="3"/>
      <c r="AB90" s="3"/>
    </row>
    <row r="91" spans="1:28" ht="14" x14ac:dyDescent="0.2">
      <c r="A91" s="15" t="s">
        <v>196</v>
      </c>
      <c r="B91" s="152" t="s">
        <v>93</v>
      </c>
      <c r="C91" s="148"/>
      <c r="D91" s="46" t="s">
        <v>77</v>
      </c>
      <c r="E91" s="26" t="s">
        <v>155</v>
      </c>
      <c r="F91" s="22"/>
      <c r="G91" s="22"/>
      <c r="H91" s="37" t="s">
        <v>198</v>
      </c>
      <c r="I91" s="28"/>
      <c r="J91" s="28"/>
      <c r="K91" s="28"/>
      <c r="L91" s="28"/>
      <c r="M91" s="29"/>
      <c r="N91" s="3"/>
      <c r="O91" s="3"/>
      <c r="P91" s="3"/>
      <c r="Q91" s="3"/>
      <c r="R91" s="3"/>
      <c r="S91" s="3"/>
      <c r="T91" s="3"/>
      <c r="U91" s="3"/>
      <c r="V91" s="3"/>
      <c r="W91" s="3"/>
      <c r="X91" s="3"/>
      <c r="Y91" s="3"/>
      <c r="Z91" s="3"/>
      <c r="AA91" s="3"/>
      <c r="AB91" s="3"/>
    </row>
    <row r="92" spans="1:28" ht="14" x14ac:dyDescent="0.2">
      <c r="A92" s="15" t="s">
        <v>199</v>
      </c>
      <c r="B92" s="152" t="s">
        <v>200</v>
      </c>
      <c r="C92" s="148"/>
      <c r="D92" s="46" t="s">
        <v>77</v>
      </c>
      <c r="E92" s="26" t="s">
        <v>155</v>
      </c>
      <c r="F92" s="22"/>
      <c r="G92" s="22"/>
      <c r="H92" s="37" t="s">
        <v>201</v>
      </c>
      <c r="I92" s="28"/>
      <c r="J92" s="28"/>
      <c r="K92" s="28"/>
      <c r="L92" s="28"/>
      <c r="M92" s="29"/>
      <c r="N92" s="3"/>
      <c r="O92" s="3"/>
      <c r="P92" s="3"/>
      <c r="Q92" s="3"/>
      <c r="R92" s="3"/>
      <c r="S92" s="3"/>
      <c r="T92" s="3"/>
      <c r="U92" s="3"/>
      <c r="V92" s="3"/>
      <c r="W92" s="3"/>
      <c r="X92" s="3"/>
      <c r="Y92" s="3"/>
      <c r="Z92" s="3"/>
      <c r="AA92" s="3"/>
      <c r="AB92" s="3"/>
    </row>
    <row r="93" spans="1:28" ht="14" x14ac:dyDescent="0.2">
      <c r="A93" s="17" t="s">
        <v>75</v>
      </c>
      <c r="B93" s="146" t="s">
        <v>76</v>
      </c>
      <c r="C93" s="148"/>
      <c r="D93" s="19" t="s">
        <v>77</v>
      </c>
      <c r="E93" s="19" t="s">
        <v>153</v>
      </c>
      <c r="F93" s="20"/>
      <c r="G93" s="20">
        <v>61.93</v>
      </c>
      <c r="H93" s="18" t="s">
        <v>78</v>
      </c>
      <c r="I93" s="28"/>
      <c r="J93" s="28"/>
      <c r="K93" s="28"/>
      <c r="L93" s="28"/>
      <c r="M93" s="29"/>
      <c r="N93" s="3"/>
      <c r="O93" s="3"/>
      <c r="P93" s="3"/>
      <c r="Q93" s="3"/>
      <c r="R93" s="3"/>
      <c r="S93" s="3"/>
      <c r="T93" s="3"/>
      <c r="U93" s="3"/>
      <c r="V93" s="3"/>
      <c r="W93" s="3"/>
      <c r="X93" s="3"/>
      <c r="Y93" s="3"/>
      <c r="Z93" s="3"/>
      <c r="AA93" s="3"/>
      <c r="AB93" s="3"/>
    </row>
    <row r="94" spans="1:28" ht="14" x14ac:dyDescent="0.2">
      <c r="A94" s="17" t="s">
        <v>108</v>
      </c>
      <c r="B94" s="146" t="s">
        <v>202</v>
      </c>
      <c r="C94" s="148"/>
      <c r="D94" s="19" t="s">
        <v>77</v>
      </c>
      <c r="E94" s="19" t="s">
        <v>203</v>
      </c>
      <c r="F94" s="20">
        <v>36951.550000000003</v>
      </c>
      <c r="G94" s="20"/>
      <c r="H94" s="18" t="s">
        <v>204</v>
      </c>
      <c r="I94" s="28"/>
      <c r="J94" s="28"/>
      <c r="K94" s="28"/>
      <c r="L94" s="28"/>
      <c r="M94" s="29"/>
      <c r="N94" s="3"/>
      <c r="O94" s="3"/>
      <c r="P94" s="3"/>
      <c r="Q94" s="3"/>
      <c r="R94" s="3"/>
      <c r="S94" s="3"/>
      <c r="T94" s="3"/>
      <c r="U94" s="3"/>
      <c r="V94" s="3"/>
      <c r="W94" s="3"/>
      <c r="X94" s="3"/>
      <c r="Y94" s="3"/>
      <c r="Z94" s="3"/>
      <c r="AA94" s="3"/>
      <c r="AB94" s="3"/>
    </row>
    <row r="95" spans="1:28" ht="14" x14ac:dyDescent="0.2">
      <c r="A95" s="17" t="s">
        <v>402</v>
      </c>
      <c r="B95" s="18" t="s">
        <v>403</v>
      </c>
      <c r="C95" s="29"/>
      <c r="D95" s="19" t="s">
        <v>77</v>
      </c>
      <c r="E95" s="19" t="s">
        <v>376</v>
      </c>
      <c r="F95" s="20"/>
      <c r="G95" s="20">
        <v>1823.07</v>
      </c>
      <c r="H95" s="18" t="s">
        <v>404</v>
      </c>
      <c r="I95" s="28"/>
      <c r="J95" s="28"/>
      <c r="K95" s="28"/>
      <c r="L95" s="28"/>
      <c r="M95" s="29"/>
      <c r="N95" s="3"/>
      <c r="O95" s="3"/>
      <c r="P95" s="3"/>
      <c r="Q95" s="3"/>
      <c r="R95" s="3"/>
      <c r="S95" s="3"/>
      <c r="T95" s="3"/>
      <c r="U95" s="3"/>
      <c r="V95" s="3"/>
      <c r="W95" s="3"/>
      <c r="X95" s="3"/>
      <c r="Y95" s="3"/>
      <c r="Z95" s="3"/>
      <c r="AA95" s="3"/>
      <c r="AB95" s="3"/>
    </row>
    <row r="96" spans="1:28" ht="14" x14ac:dyDescent="0.2">
      <c r="A96" s="17" t="s">
        <v>205</v>
      </c>
      <c r="B96" s="146" t="s">
        <v>70</v>
      </c>
      <c r="C96" s="154"/>
      <c r="D96" s="19" t="s">
        <v>206</v>
      </c>
      <c r="E96" s="19" t="s">
        <v>153</v>
      </c>
      <c r="F96" s="20"/>
      <c r="G96" s="20">
        <v>850.69</v>
      </c>
      <c r="H96" s="146" t="s">
        <v>388</v>
      </c>
      <c r="I96" s="155"/>
      <c r="J96" s="155"/>
      <c r="K96" s="155"/>
      <c r="L96" s="155"/>
      <c r="M96" s="29"/>
      <c r="N96" s="3"/>
      <c r="O96" s="3"/>
      <c r="P96" s="3"/>
      <c r="Q96" s="3"/>
      <c r="R96" s="3"/>
      <c r="S96" s="3"/>
      <c r="T96" s="3"/>
      <c r="U96" s="3"/>
      <c r="V96" s="3"/>
      <c r="W96" s="3"/>
      <c r="X96" s="3"/>
      <c r="Y96" s="3"/>
      <c r="Z96" s="3"/>
      <c r="AA96" s="3"/>
      <c r="AB96" s="3"/>
    </row>
    <row r="97" spans="1:28" ht="14" x14ac:dyDescent="0.2">
      <c r="A97" s="17" t="s">
        <v>389</v>
      </c>
      <c r="B97" s="146" t="s">
        <v>390</v>
      </c>
      <c r="C97" s="154"/>
      <c r="D97" s="19" t="s">
        <v>206</v>
      </c>
      <c r="E97" s="19" t="s">
        <v>283</v>
      </c>
      <c r="F97" s="20"/>
      <c r="G97" s="20"/>
      <c r="H97" s="18" t="s">
        <v>398</v>
      </c>
      <c r="I97" s="129"/>
      <c r="J97" s="129"/>
      <c r="K97" s="129"/>
      <c r="L97" s="129"/>
      <c r="M97" s="29"/>
      <c r="N97" s="3"/>
      <c r="O97" s="3"/>
      <c r="P97" s="3"/>
      <c r="Q97" s="3"/>
      <c r="R97" s="3"/>
      <c r="S97" s="3"/>
      <c r="T97" s="3"/>
      <c r="U97" s="3"/>
      <c r="V97" s="3"/>
      <c r="W97" s="3"/>
      <c r="X97" s="3"/>
      <c r="Y97" s="3"/>
      <c r="Z97" s="3"/>
      <c r="AA97" s="3"/>
      <c r="AB97" s="3"/>
    </row>
    <row r="98" spans="1:28" ht="14" x14ac:dyDescent="0.2">
      <c r="A98" s="17" t="s">
        <v>208</v>
      </c>
      <c r="B98" s="146" t="s">
        <v>70</v>
      </c>
      <c r="C98" s="148"/>
      <c r="D98" s="19" t="s">
        <v>206</v>
      </c>
      <c r="E98" s="19" t="s">
        <v>209</v>
      </c>
      <c r="F98" s="20"/>
      <c r="G98" s="20"/>
      <c r="H98" s="146" t="s">
        <v>213</v>
      </c>
      <c r="I98" s="151"/>
      <c r="J98" s="151"/>
      <c r="K98" s="151"/>
      <c r="L98" s="151"/>
      <c r="M98" s="29"/>
      <c r="N98" s="3"/>
      <c r="O98" s="3"/>
      <c r="P98" s="3"/>
      <c r="Q98" s="3"/>
      <c r="R98" s="3"/>
      <c r="S98" s="3"/>
      <c r="T98" s="3"/>
      <c r="U98" s="3"/>
      <c r="V98" s="3"/>
      <c r="W98" s="3"/>
      <c r="X98" s="3"/>
      <c r="Y98" s="3"/>
      <c r="Z98" s="3"/>
      <c r="AA98" s="3"/>
      <c r="AB98" s="3"/>
    </row>
    <row r="99" spans="1:28" ht="14" x14ac:dyDescent="0.2">
      <c r="A99" s="17" t="s">
        <v>208</v>
      </c>
      <c r="B99" s="146" t="s">
        <v>70</v>
      </c>
      <c r="C99" s="148"/>
      <c r="D99" s="19" t="s">
        <v>206</v>
      </c>
      <c r="E99" s="19" t="s">
        <v>209</v>
      </c>
      <c r="F99" s="20"/>
      <c r="G99" s="20"/>
      <c r="H99" s="146" t="s">
        <v>214</v>
      </c>
      <c r="I99" s="151"/>
      <c r="J99" s="151"/>
      <c r="K99" s="151"/>
      <c r="L99" s="151"/>
      <c r="M99" s="29"/>
      <c r="N99" s="3"/>
      <c r="O99" s="3"/>
      <c r="P99" s="3"/>
      <c r="Q99" s="3"/>
      <c r="R99" s="3"/>
      <c r="S99" s="3"/>
      <c r="T99" s="3"/>
      <c r="U99" s="3"/>
      <c r="V99" s="3"/>
      <c r="W99" s="3"/>
      <c r="X99" s="3"/>
      <c r="Y99" s="3"/>
      <c r="Z99" s="3"/>
      <c r="AA99" s="3"/>
      <c r="AB99" s="3"/>
    </row>
    <row r="100" spans="1:28" ht="14" x14ac:dyDescent="0.2">
      <c r="A100" s="17" t="s">
        <v>208</v>
      </c>
      <c r="B100" s="146" t="s">
        <v>70</v>
      </c>
      <c r="C100" s="148"/>
      <c r="D100" s="19" t="s">
        <v>206</v>
      </c>
      <c r="E100" s="19" t="s">
        <v>209</v>
      </c>
      <c r="F100" s="20"/>
      <c r="G100" s="20"/>
      <c r="H100" s="146" t="s">
        <v>215</v>
      </c>
      <c r="I100" s="151"/>
      <c r="J100" s="151"/>
      <c r="K100" s="151"/>
      <c r="L100" s="151"/>
      <c r="M100" s="29"/>
      <c r="N100" s="3"/>
      <c r="O100" s="3"/>
      <c r="P100" s="3"/>
      <c r="Q100" s="3"/>
      <c r="R100" s="3"/>
      <c r="S100" s="3"/>
      <c r="T100" s="3"/>
      <c r="U100" s="3"/>
      <c r="V100" s="3"/>
      <c r="W100" s="3"/>
      <c r="X100" s="3"/>
      <c r="Y100" s="3"/>
      <c r="Z100" s="3"/>
      <c r="AA100" s="3"/>
      <c r="AB100" s="3"/>
    </row>
    <row r="101" spans="1:28" ht="14" x14ac:dyDescent="0.2">
      <c r="A101" s="17" t="s">
        <v>208</v>
      </c>
      <c r="B101" s="146" t="s">
        <v>70</v>
      </c>
      <c r="C101" s="148"/>
      <c r="D101" s="19" t="s">
        <v>206</v>
      </c>
      <c r="E101" s="19" t="s">
        <v>210</v>
      </c>
      <c r="F101" s="20"/>
      <c r="G101" s="20"/>
      <c r="H101" s="146" t="s">
        <v>211</v>
      </c>
      <c r="I101" s="151"/>
      <c r="J101" s="151"/>
      <c r="K101" s="151"/>
      <c r="L101" s="151"/>
      <c r="M101" s="29"/>
      <c r="N101" s="3"/>
      <c r="O101" s="3"/>
      <c r="P101" s="3"/>
      <c r="Q101" s="3"/>
      <c r="R101" s="3"/>
      <c r="S101" s="3"/>
      <c r="T101" s="3"/>
      <c r="U101" s="3"/>
      <c r="V101" s="3"/>
      <c r="W101" s="3"/>
      <c r="X101" s="3"/>
      <c r="Y101" s="3"/>
      <c r="Z101" s="3"/>
      <c r="AA101" s="3"/>
      <c r="AB101" s="3"/>
    </row>
    <row r="102" spans="1:28" ht="14" x14ac:dyDescent="0.2">
      <c r="A102" s="17" t="s">
        <v>208</v>
      </c>
      <c r="B102" s="146" t="s">
        <v>70</v>
      </c>
      <c r="C102" s="148"/>
      <c r="D102" s="19" t="s">
        <v>206</v>
      </c>
      <c r="E102" s="19" t="s">
        <v>210</v>
      </c>
      <c r="F102" s="20"/>
      <c r="G102" s="20"/>
      <c r="H102" s="146" t="s">
        <v>212</v>
      </c>
      <c r="I102" s="151"/>
      <c r="J102" s="151"/>
      <c r="K102" s="151"/>
      <c r="L102" s="151"/>
      <c r="M102" s="29"/>
      <c r="N102" s="3"/>
      <c r="O102" s="3"/>
      <c r="P102" s="3"/>
      <c r="Q102" s="3"/>
      <c r="R102" s="3"/>
      <c r="S102" s="3"/>
      <c r="T102" s="3"/>
      <c r="U102" s="3"/>
      <c r="V102" s="3"/>
      <c r="W102" s="3"/>
      <c r="X102" s="3"/>
      <c r="Y102" s="3"/>
      <c r="Z102" s="3"/>
      <c r="AA102" s="3"/>
      <c r="AB102" s="3"/>
    </row>
    <row r="103" spans="1:28" ht="14" x14ac:dyDescent="0.2">
      <c r="A103" s="17" t="s">
        <v>216</v>
      </c>
      <c r="B103" s="146" t="s">
        <v>217</v>
      </c>
      <c r="C103" s="154"/>
      <c r="D103" s="19" t="s">
        <v>206</v>
      </c>
      <c r="E103" s="19" t="s">
        <v>155</v>
      </c>
      <c r="F103" s="20">
        <v>683.84</v>
      </c>
      <c r="G103" s="20"/>
      <c r="H103" s="146" t="s">
        <v>218</v>
      </c>
      <c r="I103" s="151"/>
      <c r="J103" s="151"/>
      <c r="K103" s="151"/>
      <c r="L103" s="151"/>
      <c r="M103" s="29"/>
      <c r="N103" s="3"/>
      <c r="O103" s="3"/>
      <c r="P103" s="3"/>
      <c r="Q103" s="3"/>
      <c r="R103" s="3"/>
      <c r="S103" s="3"/>
      <c r="T103" s="3"/>
      <c r="U103" s="3"/>
      <c r="V103" s="3"/>
      <c r="W103" s="3"/>
      <c r="X103" s="3"/>
      <c r="Y103" s="3"/>
      <c r="Z103" s="3"/>
      <c r="AA103" s="3"/>
      <c r="AB103" s="3"/>
    </row>
    <row r="104" spans="1:28" ht="14" x14ac:dyDescent="0.2">
      <c r="A104" s="17" t="s">
        <v>391</v>
      </c>
      <c r="B104" s="146" t="s">
        <v>19</v>
      </c>
      <c r="C104" s="148"/>
      <c r="D104" s="19" t="s">
        <v>77</v>
      </c>
      <c r="E104" s="19" t="s">
        <v>392</v>
      </c>
      <c r="F104" s="20"/>
      <c r="G104" s="20"/>
      <c r="H104" s="18" t="s">
        <v>395</v>
      </c>
      <c r="I104" s="30"/>
      <c r="J104" s="30"/>
      <c r="K104" s="30"/>
      <c r="L104" s="30"/>
      <c r="M104" s="29"/>
      <c r="N104" s="3"/>
      <c r="O104" s="3"/>
      <c r="P104" s="3"/>
      <c r="Q104" s="3"/>
      <c r="R104" s="3"/>
      <c r="S104" s="3"/>
      <c r="T104" s="3"/>
      <c r="U104" s="3"/>
      <c r="V104" s="3"/>
      <c r="W104" s="3"/>
      <c r="X104" s="3"/>
      <c r="Y104" s="3"/>
      <c r="Z104" s="3"/>
      <c r="AA104" s="3"/>
      <c r="AB104" s="3"/>
    </row>
    <row r="105" spans="1:28" ht="14" x14ac:dyDescent="0.2">
      <c r="A105" s="17" t="s">
        <v>393</v>
      </c>
      <c r="B105" s="146" t="s">
        <v>19</v>
      </c>
      <c r="C105" s="148"/>
      <c r="D105" s="19" t="s">
        <v>77</v>
      </c>
      <c r="E105" s="19" t="s">
        <v>153</v>
      </c>
      <c r="F105" s="20"/>
      <c r="G105" s="20">
        <v>686.4</v>
      </c>
      <c r="H105" s="18" t="s">
        <v>394</v>
      </c>
      <c r="I105" s="28"/>
      <c r="J105" s="28"/>
      <c r="K105" s="28"/>
      <c r="L105" s="28"/>
      <c r="M105" s="29"/>
      <c r="N105" s="3"/>
      <c r="O105" s="3"/>
      <c r="P105" s="3"/>
      <c r="Q105" s="3"/>
      <c r="R105" s="3"/>
      <c r="S105" s="3"/>
      <c r="T105" s="3"/>
      <c r="U105" s="3"/>
      <c r="V105" s="3"/>
      <c r="W105" s="3"/>
      <c r="X105" s="3"/>
      <c r="Y105" s="3"/>
      <c r="Z105" s="3"/>
      <c r="AA105" s="3"/>
      <c r="AB105" s="3"/>
    </row>
    <row r="106" spans="1:28" ht="14" x14ac:dyDescent="0.2">
      <c r="A106" s="17" t="s">
        <v>374</v>
      </c>
      <c r="B106" s="18" t="s">
        <v>375</v>
      </c>
      <c r="C106" s="29"/>
      <c r="D106" s="19" t="s">
        <v>77</v>
      </c>
      <c r="E106" s="39" t="s">
        <v>376</v>
      </c>
      <c r="F106" s="20"/>
      <c r="G106" s="20">
        <v>205</v>
      </c>
      <c r="H106" s="18" t="s">
        <v>377</v>
      </c>
      <c r="I106" s="28"/>
      <c r="J106" s="28"/>
      <c r="K106" s="28"/>
      <c r="L106" s="28"/>
      <c r="M106" s="28"/>
      <c r="N106" s="3"/>
      <c r="O106" s="3"/>
      <c r="P106" s="3"/>
      <c r="Q106" s="3"/>
      <c r="R106" s="3"/>
      <c r="S106" s="3"/>
      <c r="T106" s="3"/>
      <c r="U106" s="3"/>
      <c r="V106" s="3"/>
      <c r="W106" s="3"/>
      <c r="X106" s="3"/>
      <c r="Y106" s="3"/>
      <c r="Z106" s="3"/>
      <c r="AA106" s="3"/>
      <c r="AB106" s="3"/>
    </row>
    <row r="107" spans="1:28" ht="14" x14ac:dyDescent="0.2">
      <c r="A107" s="17" t="s">
        <v>281</v>
      </c>
      <c r="B107" s="146" t="s">
        <v>282</v>
      </c>
      <c r="C107" s="154"/>
      <c r="D107" s="19" t="s">
        <v>77</v>
      </c>
      <c r="E107" s="39" t="s">
        <v>283</v>
      </c>
      <c r="F107" s="20"/>
      <c r="G107" s="20"/>
      <c r="H107" s="146" t="s">
        <v>284</v>
      </c>
      <c r="I107" s="151"/>
      <c r="J107" s="151"/>
      <c r="K107" s="151"/>
      <c r="L107" s="28"/>
      <c r="M107" s="28"/>
      <c r="N107" s="3"/>
      <c r="O107" s="3"/>
      <c r="P107" s="3"/>
      <c r="Q107" s="3"/>
      <c r="R107" s="3"/>
      <c r="S107" s="3"/>
      <c r="T107" s="3"/>
      <c r="U107" s="3"/>
      <c r="V107" s="3"/>
      <c r="W107" s="3"/>
      <c r="X107" s="3"/>
      <c r="Y107" s="3"/>
      <c r="Z107" s="3"/>
      <c r="AA107" s="3"/>
      <c r="AB107" s="3"/>
    </row>
    <row r="108" spans="1:28" ht="14" x14ac:dyDescent="0.2">
      <c r="A108" s="17" t="s">
        <v>219</v>
      </c>
      <c r="B108" s="151" t="s">
        <v>220</v>
      </c>
      <c r="C108" s="148"/>
      <c r="D108" s="19" t="s">
        <v>77</v>
      </c>
      <c r="E108" s="39" t="s">
        <v>155</v>
      </c>
      <c r="F108" s="20">
        <v>1250</v>
      </c>
      <c r="G108" s="20"/>
      <c r="H108" s="146" t="s">
        <v>221</v>
      </c>
      <c r="I108" s="151"/>
      <c r="J108" s="151"/>
      <c r="K108" s="151"/>
      <c r="L108" s="154"/>
      <c r="M108" s="18"/>
      <c r="N108" s="3"/>
      <c r="O108" s="3"/>
      <c r="P108" s="3"/>
      <c r="Q108" s="3"/>
      <c r="R108" s="3"/>
      <c r="S108" s="3"/>
      <c r="T108" s="3"/>
      <c r="U108" s="3"/>
      <c r="V108" s="3"/>
      <c r="W108" s="3"/>
      <c r="X108" s="3"/>
      <c r="Y108" s="3"/>
      <c r="Z108" s="3"/>
      <c r="AA108" s="3"/>
      <c r="AB108" s="3"/>
    </row>
    <row r="109" spans="1:28" ht="14" x14ac:dyDescent="0.2">
      <c r="A109" s="24" t="s">
        <v>222</v>
      </c>
      <c r="B109" s="151" t="s">
        <v>220</v>
      </c>
      <c r="C109" s="148"/>
      <c r="D109" s="19" t="s">
        <v>77</v>
      </c>
      <c r="E109" s="39" t="s">
        <v>155</v>
      </c>
      <c r="F109" s="27"/>
      <c r="G109" s="27"/>
      <c r="H109" s="24" t="s">
        <v>326</v>
      </c>
      <c r="I109" s="25"/>
      <c r="J109" s="25"/>
      <c r="K109" s="25"/>
      <c r="L109" s="25"/>
      <c r="M109" s="25"/>
      <c r="N109" s="3"/>
      <c r="O109" s="3"/>
      <c r="P109" s="3"/>
      <c r="Q109" s="3"/>
      <c r="R109" s="3"/>
      <c r="S109" s="3"/>
      <c r="T109" s="3"/>
      <c r="U109" s="3"/>
      <c r="V109" s="3"/>
      <c r="W109" s="3"/>
      <c r="X109" s="3"/>
      <c r="Y109" s="3"/>
      <c r="Z109" s="3"/>
      <c r="AA109" s="3"/>
      <c r="AB109" s="3"/>
    </row>
    <row r="110" spans="1:28" ht="14" x14ac:dyDescent="0.2">
      <c r="A110" s="24" t="s">
        <v>224</v>
      </c>
      <c r="B110" s="151" t="s">
        <v>225</v>
      </c>
      <c r="C110" s="148"/>
      <c r="D110" s="19" t="s">
        <v>77</v>
      </c>
      <c r="E110" s="39" t="s">
        <v>155</v>
      </c>
      <c r="F110" s="27"/>
      <c r="G110" s="27"/>
      <c r="H110" s="24" t="s">
        <v>101</v>
      </c>
      <c r="I110" s="25"/>
      <c r="J110" s="25"/>
      <c r="K110" s="25"/>
      <c r="L110" s="25"/>
      <c r="M110" s="25"/>
      <c r="N110" s="3"/>
      <c r="O110" s="3"/>
      <c r="P110" s="3"/>
      <c r="Q110" s="3"/>
      <c r="R110" s="3"/>
      <c r="S110" s="3"/>
      <c r="T110" s="3"/>
      <c r="U110" s="3"/>
      <c r="V110" s="3"/>
      <c r="W110" s="3"/>
      <c r="X110" s="3"/>
      <c r="Y110" s="3"/>
      <c r="Z110" s="3"/>
      <c r="AA110" s="3"/>
      <c r="AB110" s="3"/>
    </row>
    <row r="111" spans="1:28" ht="14" x14ac:dyDescent="0.2">
      <c r="A111" s="3"/>
      <c r="B111" s="3"/>
      <c r="C111" s="3"/>
      <c r="D111" s="3"/>
      <c r="F111" s="23">
        <f>SUM(F78:F110)</f>
        <v>38885.39</v>
      </c>
      <c r="G111" s="23">
        <f>SUM(G79:G110)</f>
        <v>8481.16</v>
      </c>
      <c r="H111" s="3"/>
      <c r="I111" s="3"/>
      <c r="N111" s="3"/>
      <c r="O111" s="3"/>
      <c r="P111" s="3"/>
      <c r="Q111" s="3"/>
      <c r="R111" s="3"/>
      <c r="S111" s="3"/>
      <c r="T111" s="3"/>
      <c r="U111" s="3"/>
      <c r="V111" s="3"/>
      <c r="W111" s="3"/>
      <c r="X111" s="3"/>
      <c r="Y111" s="3"/>
      <c r="Z111" s="3"/>
      <c r="AA111" s="3"/>
      <c r="AB111" s="3"/>
    </row>
    <row r="112" spans="1:28" ht="14" x14ac:dyDescent="0.2">
      <c r="A112" s="3"/>
      <c r="B112" s="3"/>
      <c r="C112" s="3"/>
      <c r="D112" s="3"/>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spans="1:28"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4"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4"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4"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4"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4"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4"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4"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4"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4"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4"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4"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4"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4"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4"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4"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4"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4"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4"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4"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4"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4"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4"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4"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4"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4"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4"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4"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4" x14ac:dyDescent="0.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4" x14ac:dyDescent="0.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 x14ac:dyDescent="0.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4" x14ac:dyDescent="0.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4" x14ac:dyDescent="0.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 x14ac:dyDescent="0.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4" x14ac:dyDescent="0.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4" x14ac:dyDescent="0.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 x14ac:dyDescent="0.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4" x14ac:dyDescent="0.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4" x14ac:dyDescent="0.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4" x14ac:dyDescent="0.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4" x14ac:dyDescent="0.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4" x14ac:dyDescent="0.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4" x14ac:dyDescent="0.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4" x14ac:dyDescent="0.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4" x14ac:dyDescent="0.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4" x14ac:dyDescent="0.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4" x14ac:dyDescent="0.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4" x14ac:dyDescent="0.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4" x14ac:dyDescent="0.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4" x14ac:dyDescent="0.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4" x14ac:dyDescent="0.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ht="14" x14ac:dyDescent="0.2">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ht="14" x14ac:dyDescent="0.2">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ht="14" x14ac:dyDescent="0.2">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sheetData>
  <mergeCells count="40">
    <mergeCell ref="B108:C108"/>
    <mergeCell ref="H108:L108"/>
    <mergeCell ref="B109:C109"/>
    <mergeCell ref="B110:C110"/>
    <mergeCell ref="B103:C103"/>
    <mergeCell ref="H103:L103"/>
    <mergeCell ref="B104:C104"/>
    <mergeCell ref="B105:C105"/>
    <mergeCell ref="B107:C107"/>
    <mergeCell ref="H107:K107"/>
    <mergeCell ref="B100:C100"/>
    <mergeCell ref="H100:L100"/>
    <mergeCell ref="B101:C101"/>
    <mergeCell ref="H101:L101"/>
    <mergeCell ref="B102:C102"/>
    <mergeCell ref="H102:L102"/>
    <mergeCell ref="H96:L96"/>
    <mergeCell ref="B97:C97"/>
    <mergeCell ref="B98:C98"/>
    <mergeCell ref="H98:L98"/>
    <mergeCell ref="B99:C99"/>
    <mergeCell ref="H99:L99"/>
    <mergeCell ref="B96:C96"/>
    <mergeCell ref="B89:C89"/>
    <mergeCell ref="B91:C91"/>
    <mergeCell ref="B92:C92"/>
    <mergeCell ref="B93:C93"/>
    <mergeCell ref="B94:C94"/>
    <mergeCell ref="B88:C88"/>
    <mergeCell ref="B77:C77"/>
    <mergeCell ref="B78:C78"/>
    <mergeCell ref="B79:C79"/>
    <mergeCell ref="B80:C80"/>
    <mergeCell ref="B81:C81"/>
    <mergeCell ref="B82:C82"/>
    <mergeCell ref="B83:C83"/>
    <mergeCell ref="B84:C84"/>
    <mergeCell ref="B85:C85"/>
    <mergeCell ref="B86:C86"/>
    <mergeCell ref="B87:C87"/>
  </mergeCells>
  <pageMargins left="0.70866141732283472" right="0.70866141732283472" top="0.74803149606299213" bottom="0.74803149606299213" header="0.31496062992125984" footer="0.31496062992125984"/>
  <pageSetup paperSize="9" scale="3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28</vt:i4>
      </vt:variant>
      <vt:variant>
        <vt:lpstr>Named Ranges</vt:lpstr>
      </vt:variant>
      <vt:variant>
        <vt:i4>28</vt:i4>
      </vt:variant>
    </vt:vector>
  </HeadingPairs>
  <TitlesOfParts>
    <vt:vector size="56" baseType="lpstr">
      <vt:lpstr>IT Summary</vt:lpstr>
      <vt:lpstr>Summary</vt:lpstr>
      <vt:lpstr>Feb 24</vt:lpstr>
      <vt:lpstr>Mar 24</vt:lpstr>
      <vt:lpstr>Apr 24</vt:lpstr>
      <vt:lpstr>May 24</vt:lpstr>
      <vt:lpstr>Jun 24</vt:lpstr>
      <vt:lpstr>Jul 24</vt:lpstr>
      <vt:lpstr>Aug 24</vt:lpstr>
      <vt:lpstr>Sep 24</vt:lpstr>
      <vt:lpstr>Oct 24</vt:lpstr>
      <vt:lpstr>Nov 24</vt:lpstr>
      <vt:lpstr>Dec 24</vt:lpstr>
      <vt:lpstr>Jan 25</vt:lpstr>
      <vt:lpstr>Feb 25</vt:lpstr>
      <vt:lpstr>Mar 25</vt:lpstr>
      <vt:lpstr>April 25</vt:lpstr>
      <vt:lpstr>May 25</vt:lpstr>
      <vt:lpstr>June 25</vt:lpstr>
      <vt:lpstr>July 25</vt:lpstr>
      <vt:lpstr>Aug 25</vt:lpstr>
      <vt:lpstr>Sep 25</vt:lpstr>
      <vt:lpstr>Oct 25</vt:lpstr>
      <vt:lpstr>Nov 25</vt:lpstr>
      <vt:lpstr>Dec 25</vt:lpstr>
      <vt:lpstr>Jan - 26</vt:lpstr>
      <vt:lpstr>Feb - 26</vt:lpstr>
      <vt:lpstr>Mar - 26</vt:lpstr>
      <vt:lpstr>'Apr 24'!Print_Area</vt:lpstr>
      <vt:lpstr>'April 25'!Print_Area</vt:lpstr>
      <vt:lpstr>'Aug 24'!Print_Area</vt:lpstr>
      <vt:lpstr>'Aug 25'!Print_Area</vt:lpstr>
      <vt:lpstr>'Dec 24'!Print_Area</vt:lpstr>
      <vt:lpstr>'Dec 25'!Print_Area</vt:lpstr>
      <vt:lpstr>'Feb - 26'!Print_Area</vt:lpstr>
      <vt:lpstr>'Feb 24'!Print_Area</vt:lpstr>
      <vt:lpstr>'Feb 25'!Print_Area</vt:lpstr>
      <vt:lpstr>'IT Summary'!Print_Area</vt:lpstr>
      <vt:lpstr>'Jan - 26'!Print_Area</vt:lpstr>
      <vt:lpstr>'Jan 25'!Print_Area</vt:lpstr>
      <vt:lpstr>'Jul 24'!Print_Area</vt:lpstr>
      <vt:lpstr>'July 25'!Print_Area</vt:lpstr>
      <vt:lpstr>'Jun 24'!Print_Area</vt:lpstr>
      <vt:lpstr>'June 25'!Print_Area</vt:lpstr>
      <vt:lpstr>'Mar - 26'!Print_Area</vt:lpstr>
      <vt:lpstr>'Mar 24'!Print_Area</vt:lpstr>
      <vt:lpstr>'Mar 25'!Print_Area</vt:lpstr>
      <vt:lpstr>'May 24'!Print_Area</vt:lpstr>
      <vt:lpstr>'May 25'!Print_Area</vt:lpstr>
      <vt:lpstr>'Nov 24'!Print_Area</vt:lpstr>
      <vt:lpstr>'Nov 25'!Print_Area</vt:lpstr>
      <vt:lpstr>'Oct 24'!Print_Area</vt:lpstr>
      <vt:lpstr>'Oct 25'!Print_Area</vt:lpstr>
      <vt:lpstr>'Sep 24'!Print_Area</vt:lpstr>
      <vt:lpstr>'Sep 25'!Print_Area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Morrison</cp:lastModifiedBy>
  <dcterms:created xsi:type="dcterms:W3CDTF">2024-11-06T13:28:53Z</dcterms:created>
  <dcterms:modified xsi:type="dcterms:W3CDTF">2026-04-03T11:24:19Z</dcterms:modified>
</cp:coreProperties>
</file>