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updateLinks="never" codeName="ThisWorkbook" defaultThemeVersion="124226"/>
  <mc:AlternateContent xmlns:mc="http://schemas.openxmlformats.org/markup-compatibility/2006">
    <mc:Choice Requires="x15">
      <x15ac:absPath xmlns:x15ac="http://schemas.microsoft.com/office/spreadsheetml/2010/11/ac" url="https://educationgovuk-my.sharepoint.com/personal/laura_mcardle_education_gov_uk/Documents/Desktop/EOI - Elaine's Team/CSCP Archiving/Keystage 4/"/>
    </mc:Choice>
  </mc:AlternateContent>
  <xr:revisionPtr revIDLastSave="0" documentId="8_{A8F19357-FDA3-4840-86E0-4EAD89587EB8}" xr6:coauthVersionLast="47" xr6:coauthVersionMax="47" xr10:uidLastSave="{00000000-0000-0000-0000-000000000000}"/>
  <workbookProtection workbookAlgorithmName="SHA-512" workbookHashValue="kSWgRi6iM/pGL+1DdbyswVvn5CRGh3DwjiNat9xcePUUkst82U4zZ9afdJ45jbznFJGsysID0IILHV2cw4GmkQ==" workbookSaltValue="00DgNWL7LWNEmiNv38skbQ==" workbookSpinCount="100000" lockStructure="1"/>
  <bookViews>
    <workbookView xWindow="44902" yWindow="-98" windowWidth="28995" windowHeight="15796" tabRatio="643" xr2:uid="{00000000-000D-0000-FFFF-FFFF00000000}"/>
  </bookViews>
  <sheets>
    <sheet name="Guide to Ready Reckoners" sheetId="13" r:id="rId1"/>
    <sheet name="Guidance" sheetId="3" r:id="rId2"/>
    <sheet name="new drop down lookup" sheetId="14" state="hidden" r:id="rId3"/>
    <sheet name="KS2 Fine grades lookup" sheetId="12" state="hidden" r:id="rId4"/>
    <sheet name="Key stage 2 Data Input" sheetId="11" r:id="rId5"/>
    <sheet name="Single Measure Ready Reckoner" sheetId="2" r:id="rId6"/>
    <sheet name="All Measures Ready Reckoner" sheetId="10" r:id="rId7"/>
    <sheet name="Model values" sheetId="5" r:id="rId8"/>
    <sheet name="Chart Data" sheetId="6" state="hidden" r:id="rId9"/>
  </sheets>
  <externalReferences>
    <externalReference r:id="rId10"/>
    <externalReference r:id="rId11"/>
  </externalReferences>
  <definedNames>
    <definedName name="getChart" localSheetId="4">IF('[1]Ready Reckoner'!$G$9='[1]Ready Reckoner'!$S$6,INDIRECT("'Chart Data'!$C$12"),INDIRECT("'Chart Data'!$D$12"))</definedName>
    <definedName name="getChart" localSheetId="3">IF('[1]Ready Reckoner'!$G$9='[1]Ready Reckoner'!$S$6,INDIRECT("'Chart Data'!$C$12"),INDIRECT("'Chart Data'!$D$12"))</definedName>
    <definedName name="getChart" localSheetId="2">IF('[2]Single Measure Ready Reckoner'!#REF!='[2]Single Measure Ready Reckoner'!$S$6,INDIRECT("'Chart Data'!$C$12"),INDIRECT("'Chart Data'!$D$12"))</definedName>
    <definedName name="getChart">IF('Single Measure Ready Reckoner'!$G$9='Single Measure Ready Reckoner'!$X$6,INDIRECT("'Chart Data'!$C$12"),INDIRECT("'Chart Data'!$D$12"))</definedName>
    <definedName name="getChart2" localSheetId="4">IF('[1]Ready Reckoner'!$G$9='[1]Ready Reckoner'!$S$6,INDIRECT("'Chart Data'!$D$24"),INDIRECT("'Chart Data'!$C$24"))</definedName>
    <definedName name="getChart2" localSheetId="3">IF('[1]Ready Reckoner'!$G$9='[1]Ready Reckoner'!$S$6,INDIRECT("'Chart Data'!$D$24"),INDIRECT("'Chart Data'!$C$24"))</definedName>
    <definedName name="getChart2" localSheetId="2">IF('[2]Single Measure Ready Reckoner'!#REF!='[2]Single Measure Ready Reckoner'!$S$6,INDIRECT("'Chart Data'!$D$24"),INDIRECT("'Chart Data'!$C$24"))</definedName>
    <definedName name="getChart2">IF('Single Measure Ready Reckoner'!$G$9='Single Measure Ready Reckoner'!$X$6,INDIRECT("'Chart Data'!$D$24"),INDIRECT("'Chart Data'!$C$24"))</definedName>
    <definedName name="_xlnm.Print_Area" localSheetId="6">'All Measures Ready Reckoner'!$A$1:$O$26</definedName>
    <definedName name="_xlnm.Print_Area" localSheetId="4">'Key stage 2 Data Input'!$A$1:$H$32</definedName>
    <definedName name="_xlnm.Print_Area" localSheetId="5">'Single Measure Ready Reckoner'!$A$1:$R$33</definedName>
    <definedName name="Scores" localSheetId="4">OFFSET('[1]Ready Reckoner'!$T$1,0,0,SUM('[1]Ready Reckoner'!#REF!),1)</definedName>
    <definedName name="Scores" localSheetId="3">OFFSET('[1]Ready Reckoner'!$T$1,0,0,SUM('[1]Ready Reckoner'!#REF!),1)</definedName>
    <definedName name="Scores" localSheetId="2">OFFSET('[2]Single Measure Ready Reckoner'!$T$1,0,0,SUM('[2]Single Measure Ready Reckoner'!#REF!),1)</definedName>
    <definedName name="Scores">OFFSET('Single Measure Ready Reckoner'!$Y$1,0,0,SUM('Single Measure Ready Reckoner'!$AE$1:$AE$566),1)</definedName>
    <definedName name="years" localSheetId="2">#REF!</definedName>
    <definedName name="yea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 i="12" l="1"/>
  <c r="A16" i="12"/>
  <c r="A16" i="14"/>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17" i="12" l="1"/>
  <c r="E12" i="12"/>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11" i="14"/>
  <c r="N12" i="14"/>
  <c r="N13" i="14"/>
  <c r="N14" i="14"/>
  <c r="N15" i="14"/>
  <c r="N16" i="14"/>
  <c r="N17" i="14"/>
  <c r="N18" i="14"/>
  <c r="N10"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11" i="14"/>
  <c r="G12" i="14"/>
  <c r="G13" i="14"/>
  <c r="G14" i="14"/>
  <c r="G15" i="14"/>
  <c r="G16" i="14"/>
  <c r="G17" i="14"/>
  <c r="G18" i="14"/>
  <c r="G19" i="14"/>
  <c r="G20" i="14"/>
  <c r="G21" i="14"/>
  <c r="G10" i="14"/>
  <c r="E13" i="12" l="1"/>
  <c r="A18" i="12"/>
  <c r="U10" i="14"/>
  <c r="S10" i="14"/>
  <c r="P11" i="14"/>
  <c r="R11" i="14"/>
  <c r="P12" i="14"/>
  <c r="R12" i="14"/>
  <c r="P13" i="14"/>
  <c r="R13" i="14"/>
  <c r="P14" i="14"/>
  <c r="R14" i="14"/>
  <c r="P15" i="14"/>
  <c r="R15" i="14"/>
  <c r="P16" i="14"/>
  <c r="R16" i="14"/>
  <c r="R10" i="14"/>
  <c r="P10" i="14"/>
  <c r="A19" i="12" l="1"/>
  <c r="E14" i="12"/>
  <c r="E20" i="11"/>
  <c r="F16" i="14"/>
  <c r="F15" i="14"/>
  <c r="F14" i="14"/>
  <c r="F13" i="14"/>
  <c r="F12" i="14"/>
  <c r="E12" i="14" s="1"/>
  <c r="J13" i="11" s="1"/>
  <c r="H11" i="14"/>
  <c r="F11" i="14"/>
  <c r="M10" i="14"/>
  <c r="F10" i="14"/>
  <c r="H10" i="12" l="1"/>
  <c r="E15" i="12"/>
  <c r="A20" i="12"/>
  <c r="E16" i="14"/>
  <c r="J17" i="11" s="1"/>
  <c r="E10" i="14"/>
  <c r="L10" i="14"/>
  <c r="E11" i="14"/>
  <c r="J12" i="11" s="1"/>
  <c r="E13" i="14"/>
  <c r="J14" i="11" s="1"/>
  <c r="R17" i="14"/>
  <c r="P17" i="14"/>
  <c r="M11" i="14"/>
  <c r="L11" i="14" s="1"/>
  <c r="K12" i="11" s="1"/>
  <c r="S11" i="14"/>
  <c r="U11" i="14"/>
  <c r="E14" i="14"/>
  <c r="J15" i="11" s="1"/>
  <c r="E15" i="14"/>
  <c r="J16" i="11" s="1"/>
  <c r="F17" i="14"/>
  <c r="E17" i="14" s="1"/>
  <c r="J18" i="11" s="1"/>
  <c r="H12" i="14"/>
  <c r="A21" i="12" l="1"/>
  <c r="E16" i="12"/>
  <c r="J11" i="11"/>
  <c r="H11" i="12"/>
  <c r="K11" i="11"/>
  <c r="G20" i="11"/>
  <c r="G14" i="11"/>
  <c r="G13" i="11"/>
  <c r="P18" i="14"/>
  <c r="R18" i="14"/>
  <c r="U12" i="14"/>
  <c r="S12" i="14"/>
  <c r="H13" i="14"/>
  <c r="M12" i="14"/>
  <c r="L12" i="14" s="1"/>
  <c r="K13" i="11" s="1"/>
  <c r="F18" i="14"/>
  <c r="E18" i="14" s="1"/>
  <c r="J19" i="11" s="1"/>
  <c r="G21" i="11"/>
  <c r="E21" i="11"/>
  <c r="E17" i="12" l="1"/>
  <c r="H12" i="12"/>
  <c r="A22" i="12"/>
  <c r="U13" i="14"/>
  <c r="S13" i="14"/>
  <c r="P19" i="14"/>
  <c r="R19" i="14"/>
  <c r="F19" i="14"/>
  <c r="E19" i="14" s="1"/>
  <c r="M13" i="14"/>
  <c r="L13" i="14" s="1"/>
  <c r="K14" i="11" s="1"/>
  <c r="H14" i="14"/>
  <c r="A23" i="12" l="1"/>
  <c r="J20" i="11"/>
  <c r="H13" i="12"/>
  <c r="E18" i="12"/>
  <c r="G18" i="12" s="1"/>
  <c r="T13" i="14"/>
  <c r="U14" i="14"/>
  <c r="S14" i="14"/>
  <c r="P20" i="14"/>
  <c r="R20" i="14"/>
  <c r="H15" i="14"/>
  <c r="M14" i="14"/>
  <c r="L14" i="14" s="1"/>
  <c r="K15" i="11" s="1"/>
  <c r="F20" i="14"/>
  <c r="E20" i="14" s="1"/>
  <c r="J21" i="11" s="1"/>
  <c r="G14" i="12"/>
  <c r="G15" i="12"/>
  <c r="G16" i="12"/>
  <c r="G17" i="12"/>
  <c r="G13" i="12"/>
  <c r="G11" i="12"/>
  <c r="T11" i="14" s="1"/>
  <c r="G12" i="12"/>
  <c r="T12" i="14" s="1"/>
  <c r="G10" i="12"/>
  <c r="T10" i="14" s="1"/>
  <c r="C11" i="12"/>
  <c r="D11" i="12" s="1"/>
  <c r="C12" i="12"/>
  <c r="D12" i="12" s="1"/>
  <c r="C13" i="12"/>
  <c r="D13" i="12" s="1"/>
  <c r="C14" i="12"/>
  <c r="D14" i="12" s="1"/>
  <c r="C15" i="12"/>
  <c r="D15" i="12" s="1"/>
  <c r="C16" i="12"/>
  <c r="D16" i="12" s="1"/>
  <c r="C17" i="12"/>
  <c r="D17" i="12" s="1"/>
  <c r="C18" i="12"/>
  <c r="D18" i="12" s="1"/>
  <c r="C19" i="12"/>
  <c r="D19" i="12" s="1"/>
  <c r="C20" i="12"/>
  <c r="D20" i="12" s="1"/>
  <c r="C21" i="12"/>
  <c r="C22" i="12"/>
  <c r="C23" i="12"/>
  <c r="C10" i="12"/>
  <c r="D10" i="12" s="1"/>
  <c r="H14" i="12" l="1"/>
  <c r="T14" i="14"/>
  <c r="E19" i="12"/>
  <c r="A24" i="12"/>
  <c r="Q15" i="14"/>
  <c r="P21" i="14"/>
  <c r="R21" i="14"/>
  <c r="Q18" i="14"/>
  <c r="Q14" i="14"/>
  <c r="Q20" i="14"/>
  <c r="Q11" i="14"/>
  <c r="Q17" i="14"/>
  <c r="Q13" i="14"/>
  <c r="Q10" i="14"/>
  <c r="Q16" i="14"/>
  <c r="Q12" i="14"/>
  <c r="U15" i="14"/>
  <c r="S15" i="14"/>
  <c r="Q19" i="14"/>
  <c r="F21" i="14"/>
  <c r="E21" i="14" s="1"/>
  <c r="M15" i="14"/>
  <c r="L15" i="14" s="1"/>
  <c r="K16" i="11" s="1"/>
  <c r="H16" i="14"/>
  <c r="X8" i="2"/>
  <c r="D21" i="12" l="1"/>
  <c r="H15" i="12"/>
  <c r="T15" i="14"/>
  <c r="A25" i="12"/>
  <c r="C24" i="12"/>
  <c r="J22" i="11"/>
  <c r="E20" i="12"/>
  <c r="G19" i="12"/>
  <c r="R22" i="14"/>
  <c r="P22" i="14"/>
  <c r="Q21" i="14"/>
  <c r="S16" i="14"/>
  <c r="U16" i="14"/>
  <c r="M16" i="14"/>
  <c r="L16" i="14" s="1"/>
  <c r="K17" i="11" s="1"/>
  <c r="H17" i="14"/>
  <c r="F22" i="14"/>
  <c r="J13" i="2"/>
  <c r="K22" i="2" s="1"/>
  <c r="D15" i="10"/>
  <c r="J9" i="2"/>
  <c r="B15" i="2"/>
  <c r="F15" i="10"/>
  <c r="H15" i="10"/>
  <c r="H16" i="12" l="1"/>
  <c r="E22" i="14"/>
  <c r="D22" i="12"/>
  <c r="A26" i="12"/>
  <c r="C25" i="12"/>
  <c r="E21" i="12"/>
  <c r="G20" i="12"/>
  <c r="T16" i="14"/>
  <c r="R23" i="14"/>
  <c r="P23" i="14"/>
  <c r="Q22" i="14"/>
  <c r="S17" i="14"/>
  <c r="U17" i="14"/>
  <c r="H18" i="14"/>
  <c r="M17" i="14"/>
  <c r="L17" i="14" s="1"/>
  <c r="K18" i="11" s="1"/>
  <c r="F23" i="14"/>
  <c r="T17" i="14" l="1"/>
  <c r="E23" i="14"/>
  <c r="J24" i="11" s="1"/>
  <c r="D23" i="12"/>
  <c r="T18" i="14"/>
  <c r="A27" i="12"/>
  <c r="C26" i="12"/>
  <c r="J23" i="11"/>
  <c r="E13" i="11"/>
  <c r="E14" i="11"/>
  <c r="E22" i="12"/>
  <c r="G21" i="12"/>
  <c r="H17" i="12"/>
  <c r="P24" i="14"/>
  <c r="R24" i="14"/>
  <c r="Q23" i="14"/>
  <c r="U18" i="14"/>
  <c r="S18" i="14"/>
  <c r="F24" i="14"/>
  <c r="M18" i="14"/>
  <c r="L18" i="14" s="1"/>
  <c r="K19" i="11" s="1"/>
  <c r="H19" i="14"/>
  <c r="E23" i="12" l="1"/>
  <c r="G22" i="12"/>
  <c r="A28" i="12"/>
  <c r="C27" i="12"/>
  <c r="E24" i="14"/>
  <c r="J25" i="11" s="1"/>
  <c r="D24" i="12"/>
  <c r="H18" i="12"/>
  <c r="U19" i="14"/>
  <c r="S19" i="14"/>
  <c r="R25" i="14"/>
  <c r="P25" i="14"/>
  <c r="Q24" i="14"/>
  <c r="F25" i="14"/>
  <c r="H20" i="14"/>
  <c r="M19" i="14"/>
  <c r="L19" i="14" s="1"/>
  <c r="K20" i="11" s="1"/>
  <c r="E24" i="12" l="1"/>
  <c r="G23" i="12"/>
  <c r="A29" i="12"/>
  <c r="C28" i="12"/>
  <c r="T19" i="14"/>
  <c r="H19" i="12"/>
  <c r="E25" i="14"/>
  <c r="J26" i="11" s="1"/>
  <c r="D25" i="12"/>
  <c r="Q25" i="14"/>
  <c r="S20" i="14"/>
  <c r="U20" i="14"/>
  <c r="R26" i="14"/>
  <c r="P26" i="14"/>
  <c r="H21" i="14"/>
  <c r="M20" i="14"/>
  <c r="L20" i="14" s="1"/>
  <c r="K21" i="11" s="1"/>
  <c r="F26" i="14"/>
  <c r="T20" i="14" l="1"/>
  <c r="A30" i="12"/>
  <c r="C29" i="12"/>
  <c r="E26" i="14"/>
  <c r="J27" i="11" s="1"/>
  <c r="D26" i="12"/>
  <c r="H20" i="12"/>
  <c r="E25" i="12"/>
  <c r="G24" i="12"/>
  <c r="R27" i="14"/>
  <c r="P27" i="14"/>
  <c r="Q26" i="14"/>
  <c r="S21" i="14"/>
  <c r="U21" i="14"/>
  <c r="H22" i="14"/>
  <c r="M21" i="14"/>
  <c r="L21" i="14" s="1"/>
  <c r="K22" i="11" s="1"/>
  <c r="F27" i="14"/>
  <c r="E27" i="14" l="1"/>
  <c r="J28" i="11" s="1"/>
  <c r="D27" i="12"/>
  <c r="H21" i="12"/>
  <c r="E26" i="12"/>
  <c r="G25" i="12"/>
  <c r="T21" i="14"/>
  <c r="A31" i="12"/>
  <c r="C30" i="12"/>
  <c r="P28" i="14"/>
  <c r="R28" i="14"/>
  <c r="U22" i="14"/>
  <c r="S22" i="14"/>
  <c r="Q27" i="14"/>
  <c r="F28" i="14"/>
  <c r="M22" i="14"/>
  <c r="L22" i="14" s="1"/>
  <c r="K23" i="11" s="1"/>
  <c r="H23" i="14"/>
  <c r="E28" i="14" l="1"/>
  <c r="J29" i="11" s="1"/>
  <c r="D28" i="12"/>
  <c r="A32" i="12"/>
  <c r="C31" i="12"/>
  <c r="H22" i="12"/>
  <c r="E27" i="12"/>
  <c r="G26" i="12"/>
  <c r="T22" i="14"/>
  <c r="Q28" i="14"/>
  <c r="P29" i="14"/>
  <c r="R29" i="14"/>
  <c r="U23" i="14"/>
  <c r="S23" i="14"/>
  <c r="H24" i="14"/>
  <c r="M23" i="14"/>
  <c r="T23" i="14" s="1"/>
  <c r="L23" i="14"/>
  <c r="K24" i="11" s="1"/>
  <c r="F29" i="14"/>
  <c r="H23" i="12" l="1"/>
  <c r="E28" i="12"/>
  <c r="G27" i="12"/>
  <c r="A33" i="12"/>
  <c r="C32" i="12"/>
  <c r="E29" i="14"/>
  <c r="J30" i="11" s="1"/>
  <c r="D29" i="12"/>
  <c r="R30" i="14"/>
  <c r="P30" i="14"/>
  <c r="Q29" i="14"/>
  <c r="S24" i="14"/>
  <c r="U24" i="14"/>
  <c r="F30" i="14"/>
  <c r="H25" i="14"/>
  <c r="M24" i="14"/>
  <c r="H24" i="12" s="1"/>
  <c r="T24" i="14" l="1"/>
  <c r="E29" i="12"/>
  <c r="G28" i="12"/>
  <c r="E30" i="14"/>
  <c r="J31" i="11" s="1"/>
  <c r="D30" i="12"/>
  <c r="A34" i="12"/>
  <c r="C33" i="12"/>
  <c r="S25" i="14"/>
  <c r="U25" i="14"/>
  <c r="P31" i="14"/>
  <c r="R31" i="14"/>
  <c r="Q30" i="14"/>
  <c r="L24" i="14"/>
  <c r="K25" i="11" s="1"/>
  <c r="H26" i="14"/>
  <c r="M25" i="14"/>
  <c r="T25" i="14" s="1"/>
  <c r="F31" i="14"/>
  <c r="H25" i="12" l="1"/>
  <c r="E30" i="12"/>
  <c r="G29" i="12"/>
  <c r="Q31" i="14"/>
  <c r="D31" i="12"/>
  <c r="A35" i="12"/>
  <c r="C34" i="12"/>
  <c r="E31" i="14"/>
  <c r="J32" i="11" s="1"/>
  <c r="L25" i="14"/>
  <c r="K26" i="11" s="1"/>
  <c r="P32" i="14"/>
  <c r="R32" i="14"/>
  <c r="U26" i="14"/>
  <c r="S26" i="14"/>
  <c r="F32" i="14"/>
  <c r="M26" i="14"/>
  <c r="L26" i="14" s="1"/>
  <c r="K27" i="11" s="1"/>
  <c r="H27" i="14"/>
  <c r="H26" i="12" l="1"/>
  <c r="E32" i="14"/>
  <c r="J33" i="11" s="1"/>
  <c r="D32" i="12"/>
  <c r="A36" i="12"/>
  <c r="C35" i="12"/>
  <c r="T26" i="14"/>
  <c r="Q32" i="14"/>
  <c r="E31" i="12"/>
  <c r="G30" i="12"/>
  <c r="P33" i="14"/>
  <c r="R33" i="14"/>
  <c r="U27" i="14"/>
  <c r="S27" i="14"/>
  <c r="H28" i="14"/>
  <c r="M27" i="14"/>
  <c r="H27" i="12" s="1"/>
  <c r="L27" i="14"/>
  <c r="K28" i="11" s="1"/>
  <c r="F33" i="14"/>
  <c r="T27" i="14" l="1"/>
  <c r="E32" i="12"/>
  <c r="G31" i="12"/>
  <c r="A37" i="12"/>
  <c r="C36" i="12"/>
  <c r="E33" i="14"/>
  <c r="J34" i="11" s="1"/>
  <c r="D33" i="12"/>
  <c r="S28" i="14"/>
  <c r="U28" i="14"/>
  <c r="R34" i="14"/>
  <c r="P34" i="14"/>
  <c r="Q33" i="14"/>
  <c r="F34" i="14"/>
  <c r="H29" i="14"/>
  <c r="M28" i="14"/>
  <c r="L28" i="14" s="1"/>
  <c r="K29" i="11" s="1"/>
  <c r="A38" i="12" l="1"/>
  <c r="C37" i="12"/>
  <c r="H28" i="12"/>
  <c r="E33" i="12"/>
  <c r="G32" i="12"/>
  <c r="E34" i="14"/>
  <c r="J35" i="11" s="1"/>
  <c r="D34" i="12"/>
  <c r="T28" i="14"/>
  <c r="S29" i="14"/>
  <c r="U29" i="14"/>
  <c r="P35" i="14"/>
  <c r="R35" i="14"/>
  <c r="Q34" i="14"/>
  <c r="F35" i="14"/>
  <c r="E35" i="14" s="1"/>
  <c r="J36" i="11" s="1"/>
  <c r="H30" i="14"/>
  <c r="M29" i="14"/>
  <c r="H29" i="12" s="1"/>
  <c r="T29" i="14" l="1"/>
  <c r="E34" i="12"/>
  <c r="G33" i="12"/>
  <c r="Q35" i="14"/>
  <c r="D35" i="12"/>
  <c r="A39" i="12"/>
  <c r="C38" i="12"/>
  <c r="L29" i="14"/>
  <c r="K30" i="11" s="1"/>
  <c r="U30" i="14"/>
  <c r="S30" i="14"/>
  <c r="P36" i="14"/>
  <c r="R36" i="14"/>
  <c r="M30" i="14"/>
  <c r="L30" i="14" s="1"/>
  <c r="K31" i="11" s="1"/>
  <c r="H31" i="14"/>
  <c r="F36" i="14"/>
  <c r="H30" i="12" l="1"/>
  <c r="T30" i="14"/>
  <c r="E35" i="12"/>
  <c r="G34" i="12"/>
  <c r="E36" i="14"/>
  <c r="J37" i="11" s="1"/>
  <c r="D36" i="12"/>
  <c r="A40" i="12"/>
  <c r="C39" i="12"/>
  <c r="P37" i="14"/>
  <c r="R37" i="14"/>
  <c r="Q36" i="14"/>
  <c r="U31" i="14"/>
  <c r="S31" i="14"/>
  <c r="H32" i="14"/>
  <c r="M31" i="14"/>
  <c r="L31" i="14" s="1"/>
  <c r="K32" i="11" s="1"/>
  <c r="F37" i="14"/>
  <c r="E37" i="14" s="1"/>
  <c r="J38" i="11" s="1"/>
  <c r="H31" i="12" l="1"/>
  <c r="E36" i="12"/>
  <c r="G35" i="12"/>
  <c r="Q37" i="14"/>
  <c r="D37" i="12"/>
  <c r="T31" i="14"/>
  <c r="A41" i="12"/>
  <c r="C40" i="12"/>
  <c r="R38" i="14"/>
  <c r="P38" i="14"/>
  <c r="S32" i="14"/>
  <c r="U32" i="14"/>
  <c r="F38" i="14"/>
  <c r="H33" i="14"/>
  <c r="M32" i="14"/>
  <c r="H32" i="12" s="1"/>
  <c r="T32" i="14" l="1"/>
  <c r="A42" i="12"/>
  <c r="C41" i="12"/>
  <c r="E37" i="12"/>
  <c r="G36" i="12"/>
  <c r="E38" i="14"/>
  <c r="J39" i="11" s="1"/>
  <c r="D38" i="12"/>
  <c r="Q38" i="14"/>
  <c r="S33" i="14"/>
  <c r="U33" i="14"/>
  <c r="R39" i="14"/>
  <c r="P39" i="14"/>
  <c r="L32" i="14"/>
  <c r="K33" i="11" s="1"/>
  <c r="H34" i="14"/>
  <c r="M33" i="14"/>
  <c r="T33" i="14" s="1"/>
  <c r="F39" i="14"/>
  <c r="E39" i="14" l="1"/>
  <c r="J40" i="11" s="1"/>
  <c r="D39" i="12"/>
  <c r="E38" i="12"/>
  <c r="G37" i="12"/>
  <c r="H33" i="12"/>
  <c r="A43" i="12"/>
  <c r="C42" i="12"/>
  <c r="P40" i="14"/>
  <c r="R40" i="14"/>
  <c r="L33" i="14"/>
  <c r="K34" i="11" s="1"/>
  <c r="Q39" i="14"/>
  <c r="U34" i="14"/>
  <c r="S34" i="14"/>
  <c r="F40" i="14"/>
  <c r="M34" i="14"/>
  <c r="L34" i="14" s="1"/>
  <c r="K35" i="11" s="1"/>
  <c r="H35" i="14"/>
  <c r="T34" i="14" l="1"/>
  <c r="E39" i="12"/>
  <c r="G38" i="12"/>
  <c r="E40" i="14"/>
  <c r="J41" i="11" s="1"/>
  <c r="D40" i="12"/>
  <c r="A44" i="12"/>
  <c r="C43" i="12"/>
  <c r="H34" i="12"/>
  <c r="U35" i="14"/>
  <c r="S35" i="14"/>
  <c r="Q40" i="14"/>
  <c r="R41" i="14"/>
  <c r="P41" i="14"/>
  <c r="H36" i="14"/>
  <c r="M35" i="14"/>
  <c r="T35" i="14" s="1"/>
  <c r="F41" i="14"/>
  <c r="H35" i="12" l="1"/>
  <c r="A45" i="12"/>
  <c r="C44" i="12"/>
  <c r="E40" i="12"/>
  <c r="G39" i="12"/>
  <c r="E41" i="14"/>
  <c r="J42" i="11" s="1"/>
  <c r="D41" i="12"/>
  <c r="R42" i="14"/>
  <c r="P42" i="14"/>
  <c r="L35" i="14"/>
  <c r="K36" i="11" s="1"/>
  <c r="Q41" i="14"/>
  <c r="S36" i="14"/>
  <c r="U36" i="14"/>
  <c r="F42" i="14"/>
  <c r="H37" i="14"/>
  <c r="M36" i="14"/>
  <c r="T36" i="14" s="1"/>
  <c r="H36" i="12" l="1"/>
  <c r="E42" i="14"/>
  <c r="J43" i="11" s="1"/>
  <c r="D42" i="12"/>
  <c r="E41" i="12"/>
  <c r="G40" i="12"/>
  <c r="A46" i="12"/>
  <c r="C45" i="12"/>
  <c r="S37" i="14"/>
  <c r="U37" i="14"/>
  <c r="L36" i="14"/>
  <c r="K37" i="11" s="1"/>
  <c r="Q42" i="14"/>
  <c r="R43" i="14"/>
  <c r="P43" i="14"/>
  <c r="F43" i="14"/>
  <c r="E43" i="14"/>
  <c r="J44" i="11" s="1"/>
  <c r="H38" i="14"/>
  <c r="M37" i="14"/>
  <c r="T37" i="14" s="1"/>
  <c r="H37" i="12" l="1"/>
  <c r="Q43" i="14"/>
  <c r="D43" i="12"/>
  <c r="E42" i="12"/>
  <c r="G41" i="12"/>
  <c r="A47" i="12"/>
  <c r="C46" i="12"/>
  <c r="U38" i="14"/>
  <c r="S38" i="14"/>
  <c r="L37" i="14"/>
  <c r="K38" i="11" s="1"/>
  <c r="P44" i="14"/>
  <c r="R44" i="14"/>
  <c r="M38" i="14"/>
  <c r="L38" i="14" s="1"/>
  <c r="K39" i="11" s="1"/>
  <c r="H39" i="14"/>
  <c r="F44" i="14"/>
  <c r="H38" i="12" l="1"/>
  <c r="T38" i="14"/>
  <c r="E43" i="12"/>
  <c r="G42" i="12"/>
  <c r="E44" i="14"/>
  <c r="J45" i="11" s="1"/>
  <c r="D44" i="12"/>
  <c r="A48" i="12"/>
  <c r="C47" i="12"/>
  <c r="P45" i="14"/>
  <c r="R45" i="14"/>
  <c r="Q44" i="14"/>
  <c r="U39" i="14"/>
  <c r="S39" i="14"/>
  <c r="H40" i="14"/>
  <c r="M39" i="14"/>
  <c r="L39" i="14" s="1"/>
  <c r="K40" i="11" s="1"/>
  <c r="F45" i="14"/>
  <c r="H39" i="12" l="1"/>
  <c r="T39" i="14"/>
  <c r="Q45" i="14"/>
  <c r="D45" i="12"/>
  <c r="E44" i="12"/>
  <c r="G43" i="12"/>
  <c r="C48" i="12"/>
  <c r="R46" i="14"/>
  <c r="P46" i="14"/>
  <c r="E45" i="14"/>
  <c r="J46" i="11" s="1"/>
  <c r="S40" i="14"/>
  <c r="U40" i="14"/>
  <c r="F46" i="14"/>
  <c r="H41" i="14"/>
  <c r="M40" i="14"/>
  <c r="L40" i="14" s="1"/>
  <c r="K41" i="11" s="1"/>
  <c r="H40" i="12" l="1"/>
  <c r="T40" i="14"/>
  <c r="E46" i="14"/>
  <c r="J47" i="11" s="1"/>
  <c r="D46" i="12"/>
  <c r="E45" i="12"/>
  <c r="G44" i="12"/>
  <c r="H41" i="12"/>
  <c r="P47" i="14"/>
  <c r="R47" i="14"/>
  <c r="Q46" i="14"/>
  <c r="S41" i="14"/>
  <c r="U41" i="14"/>
  <c r="H42" i="14"/>
  <c r="M41" i="14"/>
  <c r="L41" i="14" s="1"/>
  <c r="K42" i="11" s="1"/>
  <c r="F47" i="14"/>
  <c r="E47" i="14" l="1"/>
  <c r="J48" i="11" s="1"/>
  <c r="D47" i="12"/>
  <c r="E46" i="12"/>
  <c r="G45" i="12"/>
  <c r="T41" i="14"/>
  <c r="R48" i="14"/>
  <c r="P48" i="14"/>
  <c r="Q47" i="14"/>
  <c r="U42" i="14"/>
  <c r="S42" i="14"/>
  <c r="F48" i="14"/>
  <c r="M42" i="14"/>
  <c r="L42" i="14" s="1"/>
  <c r="K43" i="11" s="1"/>
  <c r="H43" i="14"/>
  <c r="H42" i="12" l="1"/>
  <c r="T42" i="14"/>
  <c r="E47" i="12"/>
  <c r="G46" i="12"/>
  <c r="E48" i="14"/>
  <c r="J49" i="11" s="1"/>
  <c r="D48" i="12"/>
  <c r="U43" i="14"/>
  <c r="S43" i="14"/>
  <c r="Q48" i="14"/>
  <c r="H44" i="14"/>
  <c r="M43" i="14"/>
  <c r="L43" i="14" s="1"/>
  <c r="K44" i="11" s="1"/>
  <c r="H43" i="12" l="1"/>
  <c r="T43" i="14"/>
  <c r="E48" i="12"/>
  <c r="G47" i="12"/>
  <c r="S44" i="14"/>
  <c r="U44" i="14"/>
  <c r="H45" i="14"/>
  <c r="M44" i="14"/>
  <c r="L44" i="14" s="1"/>
  <c r="K45" i="11" s="1"/>
  <c r="E49" i="12" l="1"/>
  <c r="G48" i="12"/>
  <c r="H44" i="12"/>
  <c r="H45" i="12"/>
  <c r="T44" i="14"/>
  <c r="E26" i="11"/>
  <c r="J50" i="11"/>
  <c r="S45" i="14"/>
  <c r="U45" i="14"/>
  <c r="H46" i="14"/>
  <c r="M45" i="14"/>
  <c r="L45" i="14" s="1"/>
  <c r="K46" i="11" s="1"/>
  <c r="T45" i="14" l="1"/>
  <c r="E50" i="12"/>
  <c r="G49" i="12"/>
  <c r="U46" i="14"/>
  <c r="S46" i="14"/>
  <c r="M46" i="14"/>
  <c r="L46" i="14" s="1"/>
  <c r="K47" i="11" s="1"/>
  <c r="H47" i="14"/>
  <c r="H46" i="12" l="1"/>
  <c r="E51" i="12"/>
  <c r="G50" i="12"/>
  <c r="T46" i="14"/>
  <c r="U47" i="14"/>
  <c r="S47" i="14"/>
  <c r="H48" i="14"/>
  <c r="M47" i="14"/>
  <c r="L47" i="14" s="1"/>
  <c r="K48" i="11" s="1"/>
  <c r="H47" i="12" l="1"/>
  <c r="E52" i="12"/>
  <c r="G51" i="12"/>
  <c r="T47" i="14"/>
  <c r="S48" i="14"/>
  <c r="U48" i="14"/>
  <c r="H49" i="14"/>
  <c r="M48" i="14"/>
  <c r="L48" i="14" s="1"/>
  <c r="K49" i="11" s="1"/>
  <c r="E53" i="12" l="1"/>
  <c r="G52" i="12"/>
  <c r="H48" i="12"/>
  <c r="T48" i="14"/>
  <c r="S49" i="14"/>
  <c r="U49" i="14"/>
  <c r="H50" i="14"/>
  <c r="M49" i="14"/>
  <c r="L49" i="14" s="1"/>
  <c r="K50" i="11" s="1"/>
  <c r="T49" i="14" l="1"/>
  <c r="H49" i="12"/>
  <c r="E54" i="12"/>
  <c r="G53" i="12"/>
  <c r="U50" i="14"/>
  <c r="S50" i="14"/>
  <c r="H51" i="14"/>
  <c r="M50" i="14"/>
  <c r="L50" i="14" s="1"/>
  <c r="K51" i="11" s="1"/>
  <c r="E55" i="12" l="1"/>
  <c r="G54" i="12"/>
  <c r="H50" i="12"/>
  <c r="T50" i="14"/>
  <c r="U51" i="14"/>
  <c r="S51" i="14"/>
  <c r="M51" i="14"/>
  <c r="L51" i="14" s="1"/>
  <c r="K52" i="11" s="1"/>
  <c r="H52" i="14"/>
  <c r="H51" i="12" l="1"/>
  <c r="T51" i="14"/>
  <c r="E56" i="12"/>
  <c r="G55" i="12"/>
  <c r="S52" i="14"/>
  <c r="U52" i="14"/>
  <c r="M52" i="14"/>
  <c r="T52" i="14" s="1"/>
  <c r="H53" i="14"/>
  <c r="L52" i="14" l="1"/>
  <c r="K53" i="11" s="1"/>
  <c r="H52" i="12"/>
  <c r="E57" i="12"/>
  <c r="G56" i="12"/>
  <c r="S53" i="14"/>
  <c r="U53" i="14"/>
  <c r="H54" i="14"/>
  <c r="M53" i="14"/>
  <c r="L53" i="14" s="1"/>
  <c r="K54" i="11" s="1"/>
  <c r="H53" i="12" l="1"/>
  <c r="E58" i="12"/>
  <c r="G57" i="12"/>
  <c r="T53" i="14"/>
  <c r="U54" i="14"/>
  <c r="S54" i="14"/>
  <c r="H55" i="14"/>
  <c r="M54" i="14"/>
  <c r="L54" i="14" s="1"/>
  <c r="K55" i="11" s="1"/>
  <c r="H54" i="12" l="1"/>
  <c r="E59" i="12"/>
  <c r="G58" i="12"/>
  <c r="T54" i="14"/>
  <c r="U55" i="14"/>
  <c r="S55" i="14"/>
  <c r="M55" i="14"/>
  <c r="L55" i="14" s="1"/>
  <c r="K56" i="11" s="1"/>
  <c r="H56" i="14"/>
  <c r="E60" i="12" l="1"/>
  <c r="G59" i="12"/>
  <c r="H55" i="12"/>
  <c r="T55" i="14"/>
  <c r="S56" i="14"/>
  <c r="U56" i="14"/>
  <c r="M56" i="14"/>
  <c r="L56" i="14" s="1"/>
  <c r="K57" i="11" s="1"/>
  <c r="H57" i="14"/>
  <c r="T56" i="14" l="1"/>
  <c r="H56" i="12"/>
  <c r="E61" i="12"/>
  <c r="G60" i="12"/>
  <c r="S57" i="14"/>
  <c r="U57" i="14"/>
  <c r="H58" i="14"/>
  <c r="M57" i="14"/>
  <c r="T57" i="14" s="1"/>
  <c r="H57" i="12" l="1"/>
  <c r="E62" i="12"/>
  <c r="G61" i="12"/>
  <c r="L57" i="14"/>
  <c r="K58" i="11" s="1"/>
  <c r="U58" i="14"/>
  <c r="S58" i="14"/>
  <c r="H59" i="14"/>
  <c r="M58" i="14"/>
  <c r="L58" i="14" s="1"/>
  <c r="K59" i="11" s="1"/>
  <c r="H58" i="12" l="1"/>
  <c r="E63" i="12"/>
  <c r="G62" i="12"/>
  <c r="T58" i="14"/>
  <c r="U59" i="14"/>
  <c r="S59" i="14"/>
  <c r="M59" i="14"/>
  <c r="L59" i="14" s="1"/>
  <c r="K60" i="11" s="1"/>
  <c r="H60" i="14"/>
  <c r="H59" i="12" l="1"/>
  <c r="E64" i="12"/>
  <c r="G63" i="12"/>
  <c r="T59" i="14"/>
  <c r="S60" i="14"/>
  <c r="U60" i="14"/>
  <c r="M60" i="14"/>
  <c r="L60" i="14" s="1"/>
  <c r="K61" i="11" s="1"/>
  <c r="H61" i="14"/>
  <c r="T60" i="14" l="1"/>
  <c r="H60" i="12"/>
  <c r="E65" i="12"/>
  <c r="G64" i="12"/>
  <c r="S61" i="14"/>
  <c r="U61" i="14"/>
  <c r="H62" i="14"/>
  <c r="M61" i="14"/>
  <c r="L61" i="14" s="1"/>
  <c r="K62" i="11" s="1"/>
  <c r="H61" i="12" l="1"/>
  <c r="E66" i="12"/>
  <c r="G65" i="12"/>
  <c r="T61" i="14"/>
  <c r="U62" i="14"/>
  <c r="S62" i="14"/>
  <c r="H63" i="14"/>
  <c r="M62" i="14"/>
  <c r="L62" i="14" s="1"/>
  <c r="K63" i="11" s="1"/>
  <c r="H62" i="12" l="1"/>
  <c r="E67" i="12"/>
  <c r="G66" i="12"/>
  <c r="T62" i="14"/>
  <c r="U63" i="14"/>
  <c r="S63" i="14"/>
  <c r="M63" i="14"/>
  <c r="L63" i="14" s="1"/>
  <c r="K64" i="11" s="1"/>
  <c r="H64" i="14"/>
  <c r="E68" i="12" l="1"/>
  <c r="G67" i="12"/>
  <c r="H63" i="12"/>
  <c r="T63" i="14"/>
  <c r="S64" i="14"/>
  <c r="U64" i="14"/>
  <c r="M64" i="14"/>
  <c r="L64" i="14" s="1"/>
  <c r="K65" i="11" s="1"/>
  <c r="H65" i="14"/>
  <c r="T64" i="14" l="1"/>
  <c r="H64" i="12"/>
  <c r="E69" i="12"/>
  <c r="G68" i="12"/>
  <c r="S65" i="14"/>
  <c r="U65" i="14"/>
  <c r="H66" i="14"/>
  <c r="M65" i="14"/>
  <c r="L65" i="14" s="1"/>
  <c r="K66" i="11" s="1"/>
  <c r="E70" i="12" l="1"/>
  <c r="G69" i="12"/>
  <c r="H65" i="12"/>
  <c r="T65" i="14"/>
  <c r="U66" i="14"/>
  <c r="S66" i="14"/>
  <c r="H67" i="14"/>
  <c r="M66" i="14"/>
  <c r="L66" i="14" s="1"/>
  <c r="K67" i="11" s="1"/>
  <c r="H66" i="12" l="1"/>
  <c r="T66" i="14"/>
  <c r="E71" i="12"/>
  <c r="G70" i="12"/>
  <c r="U67" i="14"/>
  <c r="S67" i="14"/>
  <c r="M67" i="14"/>
  <c r="L67" i="14" s="1"/>
  <c r="K68" i="11" s="1"/>
  <c r="H68" i="14"/>
  <c r="H67" i="12" l="1"/>
  <c r="E72" i="12"/>
  <c r="G71" i="12"/>
  <c r="T67" i="14"/>
  <c r="S68" i="14"/>
  <c r="U68" i="14"/>
  <c r="M68" i="14"/>
  <c r="L68" i="14" s="1"/>
  <c r="K69" i="11" s="1"/>
  <c r="H69" i="14"/>
  <c r="E73" i="12" l="1"/>
  <c r="G72" i="12"/>
  <c r="H68" i="12"/>
  <c r="T68" i="14"/>
  <c r="S69" i="14"/>
  <c r="U69" i="14"/>
  <c r="H70" i="14"/>
  <c r="M69" i="14"/>
  <c r="L69" i="14" s="1"/>
  <c r="K70" i="11" s="1"/>
  <c r="T69" i="14" l="1"/>
  <c r="H69" i="12"/>
  <c r="E74" i="12"/>
  <c r="G73" i="12"/>
  <c r="U70" i="14"/>
  <c r="S70" i="14"/>
  <c r="H71" i="14"/>
  <c r="M70" i="14"/>
  <c r="L70" i="14" s="1"/>
  <c r="K71" i="11" s="1"/>
  <c r="H70" i="12" l="1"/>
  <c r="E75" i="12"/>
  <c r="G74" i="12"/>
  <c r="T70" i="14"/>
  <c r="U71" i="14"/>
  <c r="S71" i="14"/>
  <c r="H72" i="14"/>
  <c r="M71" i="14"/>
  <c r="L71" i="14" s="1"/>
  <c r="K72" i="11" s="1"/>
  <c r="H71" i="12" l="1"/>
  <c r="E76" i="12"/>
  <c r="G75" i="12"/>
  <c r="T71" i="14"/>
  <c r="S72" i="14"/>
  <c r="U72" i="14"/>
  <c r="H73" i="14"/>
  <c r="M72" i="14"/>
  <c r="T72" i="14" s="1"/>
  <c r="E77" i="12" l="1"/>
  <c r="G76" i="12"/>
  <c r="H72" i="12"/>
  <c r="L72" i="14"/>
  <c r="K73" i="11" s="1"/>
  <c r="S73" i="14"/>
  <c r="U73" i="14"/>
  <c r="H74" i="14"/>
  <c r="M73" i="14"/>
  <c r="T73" i="14" s="1"/>
  <c r="H73" i="12" l="1"/>
  <c r="E78" i="12"/>
  <c r="G77" i="12"/>
  <c r="U74" i="14"/>
  <c r="S74" i="14"/>
  <c r="L73" i="14"/>
  <c r="K74" i="11" s="1"/>
  <c r="H75" i="14"/>
  <c r="M74" i="14"/>
  <c r="L74" i="14" s="1"/>
  <c r="K75" i="11" s="1"/>
  <c r="T74" i="14" l="1"/>
  <c r="H74" i="12"/>
  <c r="E79" i="12"/>
  <c r="G78" i="12"/>
  <c r="U75" i="14"/>
  <c r="S75" i="14"/>
  <c r="M75" i="14"/>
  <c r="L75" i="14" s="1"/>
  <c r="K76" i="11" s="1"/>
  <c r="H76" i="14"/>
  <c r="H75" i="12" l="1"/>
  <c r="E80" i="12"/>
  <c r="G79" i="12"/>
  <c r="T75" i="14"/>
  <c r="S76" i="14"/>
  <c r="U76" i="14"/>
  <c r="H77" i="14"/>
  <c r="M76" i="14"/>
  <c r="H76" i="12" s="1"/>
  <c r="T76" i="14" l="1"/>
  <c r="L76" i="14"/>
  <c r="K77" i="11" s="1"/>
  <c r="E81" i="12"/>
  <c r="G80" i="12"/>
  <c r="S77" i="14"/>
  <c r="U77" i="14"/>
  <c r="H78" i="14"/>
  <c r="M77" i="14"/>
  <c r="L77" i="14" s="1"/>
  <c r="K78" i="11" s="1"/>
  <c r="E82" i="12" l="1"/>
  <c r="G81" i="12"/>
  <c r="T78" i="14"/>
  <c r="H77" i="12"/>
  <c r="T77" i="14"/>
  <c r="U78" i="14"/>
  <c r="S78" i="14"/>
  <c r="H79" i="14"/>
  <c r="M78" i="14"/>
  <c r="L78" i="14" s="1"/>
  <c r="K79" i="11" s="1"/>
  <c r="H78" i="12" l="1"/>
  <c r="E83" i="12"/>
  <c r="G82" i="12"/>
  <c r="U79" i="14"/>
  <c r="S79" i="14"/>
  <c r="M79" i="14"/>
  <c r="L79" i="14" s="1"/>
  <c r="K80" i="11" s="1"/>
  <c r="H80" i="14"/>
  <c r="E84" i="12" l="1"/>
  <c r="G83" i="12"/>
  <c r="H79" i="12"/>
  <c r="T79" i="14"/>
  <c r="S80" i="14"/>
  <c r="U80" i="14"/>
  <c r="H81" i="14"/>
  <c r="M80" i="14"/>
  <c r="H80" i="12" s="1"/>
  <c r="L80" i="14"/>
  <c r="K81" i="11" s="1"/>
  <c r="T80" i="14" l="1"/>
  <c r="E85" i="12"/>
  <c r="G84" i="12"/>
  <c r="S81" i="14"/>
  <c r="U81" i="14"/>
  <c r="H82" i="14"/>
  <c r="M81" i="14"/>
  <c r="L81" i="14" s="1"/>
  <c r="K82" i="11" s="1"/>
  <c r="E86" i="12" l="1"/>
  <c r="G85" i="12"/>
  <c r="H81" i="12"/>
  <c r="T81" i="14"/>
  <c r="U82" i="14"/>
  <c r="S82" i="14"/>
  <c r="H83" i="14"/>
  <c r="M82" i="14"/>
  <c r="L82" i="14" s="1"/>
  <c r="K83" i="11" s="1"/>
  <c r="T82" i="14" l="1"/>
  <c r="H82" i="12"/>
  <c r="E87" i="12"/>
  <c r="G86" i="12"/>
  <c r="U83" i="14"/>
  <c r="S83" i="14"/>
  <c r="M83" i="14"/>
  <c r="L83" i="14" s="1"/>
  <c r="K84" i="11" s="1"/>
  <c r="H84" i="14"/>
  <c r="E88" i="12" l="1"/>
  <c r="G87" i="12"/>
  <c r="H83" i="12"/>
  <c r="T83" i="14"/>
  <c r="S84" i="14"/>
  <c r="U84" i="14"/>
  <c r="H85" i="14"/>
  <c r="M84" i="14"/>
  <c r="L84" i="14" s="1"/>
  <c r="K85" i="11" s="1"/>
  <c r="T84" i="14" l="1"/>
  <c r="H84" i="12"/>
  <c r="E89" i="12"/>
  <c r="G88" i="12"/>
  <c r="S85" i="14"/>
  <c r="U85" i="14"/>
  <c r="H86" i="14"/>
  <c r="M85" i="14"/>
  <c r="T85" i="14" s="1"/>
  <c r="H85" i="12" l="1"/>
  <c r="E90" i="12"/>
  <c r="G89" i="12"/>
  <c r="L85" i="14"/>
  <c r="K86" i="11" s="1"/>
  <c r="U86" i="14"/>
  <c r="S86" i="14"/>
  <c r="H87" i="14"/>
  <c r="M86" i="14"/>
  <c r="L86" i="14" s="1"/>
  <c r="K87" i="11" s="1"/>
  <c r="H86" i="12" l="1"/>
  <c r="E91" i="12"/>
  <c r="G90" i="12"/>
  <c r="T86" i="14"/>
  <c r="U87" i="14"/>
  <c r="S87" i="14"/>
  <c r="M87" i="14"/>
  <c r="L87" i="14" s="1"/>
  <c r="K88" i="11" s="1"/>
  <c r="H88" i="14"/>
  <c r="E92" i="12" l="1"/>
  <c r="G91" i="12"/>
  <c r="H87" i="12"/>
  <c r="T87" i="14"/>
  <c r="S88" i="14"/>
  <c r="U88" i="14"/>
  <c r="H89" i="14"/>
  <c r="M88" i="14"/>
  <c r="L88" i="14" s="1"/>
  <c r="K89" i="11" s="1"/>
  <c r="T88" i="14" l="1"/>
  <c r="H88" i="12"/>
  <c r="E93" i="12"/>
  <c r="G92" i="12"/>
  <c r="S89" i="14"/>
  <c r="U89" i="14"/>
  <c r="H90" i="14"/>
  <c r="M89" i="14"/>
  <c r="L89" i="14" s="1"/>
  <c r="K90" i="11" s="1"/>
  <c r="E94" i="12" l="1"/>
  <c r="G93" i="12"/>
  <c r="H89" i="12"/>
  <c r="T89" i="14"/>
  <c r="U90" i="14"/>
  <c r="S90" i="14"/>
  <c r="H91" i="14"/>
  <c r="M90" i="14"/>
  <c r="L90" i="14" s="1"/>
  <c r="K91" i="11" s="1"/>
  <c r="H90" i="12" l="1"/>
  <c r="T90" i="14"/>
  <c r="E95" i="12"/>
  <c r="G94" i="12"/>
  <c r="U91" i="14"/>
  <c r="S91" i="14"/>
  <c r="M91" i="14"/>
  <c r="L91" i="14" s="1"/>
  <c r="K92" i="11" s="1"/>
  <c r="H92" i="14"/>
  <c r="H91" i="12" l="1"/>
  <c r="G95" i="12"/>
  <c r="T91" i="14"/>
  <c r="S92" i="14"/>
  <c r="U92" i="14"/>
  <c r="H93" i="14"/>
  <c r="M92" i="14"/>
  <c r="T92" i="14" s="1"/>
  <c r="H92" i="12" l="1"/>
  <c r="L92" i="14"/>
  <c r="K93" i="11" s="1"/>
  <c r="S93" i="14"/>
  <c r="U93" i="14"/>
  <c r="H94" i="14"/>
  <c r="M93" i="14"/>
  <c r="L93" i="14" s="1"/>
  <c r="K94" i="11" s="1"/>
  <c r="H93" i="12" l="1"/>
  <c r="T93" i="14"/>
  <c r="U94" i="14"/>
  <c r="S94" i="14"/>
  <c r="H95" i="14"/>
  <c r="M94" i="14"/>
  <c r="T94" i="14" s="1"/>
  <c r="L94" i="14" l="1"/>
  <c r="K95" i="11" s="1"/>
  <c r="H94" i="12"/>
  <c r="U95" i="14"/>
  <c r="S95" i="14"/>
  <c r="M95" i="14"/>
  <c r="T95" i="14" s="1"/>
  <c r="H95" i="12" l="1"/>
  <c r="L95" i="14"/>
  <c r="K96" i="11" s="1"/>
  <c r="G26" i="11"/>
  <c r="F32" i="11" s="1"/>
  <c r="G32" i="11" l="1"/>
  <c r="E32" i="11"/>
  <c r="F35" i="11"/>
  <c r="D25" i="2" l="1"/>
  <c r="H14" i="10" s="1"/>
  <c r="H16" i="10" s="1"/>
  <c r="F14" i="10" l="1"/>
  <c r="F16" i="10" s="1"/>
  <c r="G25" i="2"/>
  <c r="H27" i="2" s="1"/>
  <c r="D14" i="10"/>
  <c r="D16" i="10" s="1"/>
  <c r="H33" i="2" l="1"/>
  <c r="G32" i="2"/>
</calcChain>
</file>

<file path=xl/sharedStrings.xml><?xml version="1.0" encoding="utf-8"?>
<sst xmlns="http://schemas.openxmlformats.org/spreadsheetml/2006/main" count="351" uniqueCount="183">
  <si>
    <t>N</t>
  </si>
  <si>
    <t>LEVEL 1</t>
  </si>
  <si>
    <t>LEVEL 2</t>
  </si>
  <si>
    <t>LEVEL 3</t>
  </si>
  <si>
    <t>LEVEL 4</t>
  </si>
  <si>
    <t>LEVEL 5</t>
  </si>
  <si>
    <t>LEVEL 6</t>
  </si>
  <si>
    <t>tot_2M</t>
  </si>
  <si>
    <t>K2LEV_M</t>
  </si>
  <si>
    <t>-</t>
  </si>
  <si>
    <t>Mathematics</t>
  </si>
  <si>
    <t>Science</t>
  </si>
  <si>
    <t>lower</t>
  </si>
  <si>
    <t>upper</t>
  </si>
  <si>
    <t>INPUT SHEET GUIDANCE</t>
  </si>
  <si>
    <t>CALCULATION CELL</t>
  </si>
  <si>
    <t>DATA INPUT CELL</t>
  </si>
  <si>
    <t>NOT APPLICABLE</t>
  </si>
  <si>
    <t>CELL COLOUR GUIDE:</t>
  </si>
  <si>
    <t>=</t>
  </si>
  <si>
    <t>FROM 'KS2 DATA INPUT' SHEET</t>
  </si>
  <si>
    <t>VALUE ADDED SCORE</t>
  </si>
  <si>
    <t>HOW TO USE THE READY RECKONER</t>
  </si>
  <si>
    <t xml:space="preserve">Step 1)    </t>
  </si>
  <si>
    <t>Step 2)</t>
  </si>
  <si>
    <t>Step 3)</t>
  </si>
  <si>
    <t>Step 4)</t>
  </si>
  <si>
    <t>Step 5)</t>
  </si>
  <si>
    <t>USE FINE POINT SCORE</t>
  </si>
  <si>
    <t>To All Measures Ready Reckoner  ---&gt;</t>
  </si>
  <si>
    <t>Step 6)</t>
  </si>
  <si>
    <t>Best 8 including English &amp; mathematics</t>
  </si>
  <si>
    <t>A - Absent</t>
  </si>
  <si>
    <t>M - Missing</t>
  </si>
  <si>
    <t>Q - Disregard</t>
  </si>
  <si>
    <t>X - Lost</t>
  </si>
  <si>
    <t>T - No access to test</t>
  </si>
  <si>
    <t>B - Working below level of test</t>
  </si>
  <si>
    <t>N - Not awarded test level</t>
  </si>
  <si>
    <t>OTHER (e.g. A, D, F etc)</t>
  </si>
  <si>
    <t>Back to Single Measure Ready Reckoner  &lt;---</t>
  </si>
  <si>
    <t>Back to Ready Reckoner Guidance &lt;---</t>
  </si>
  <si>
    <t>English Baccalaureate - English subject area</t>
  </si>
  <si>
    <t>English Baccalaureate - mathematics subject area</t>
  </si>
  <si>
    <t>English Baccalaureate - science subject area</t>
  </si>
  <si>
    <t>English Baccalaureate - humanities subject area</t>
  </si>
  <si>
    <t>English Baccalaureate - languages subject area</t>
  </si>
  <si>
    <t xml:space="preserve">Pupil value added score (calculated)      </t>
  </si>
  <si>
    <t>Maths</t>
  </si>
  <si>
    <t>Humanities</t>
  </si>
  <si>
    <t>Languages</t>
  </si>
  <si>
    <t>Prior Attainment Band</t>
  </si>
  <si>
    <t>KS2 Prior band</t>
  </si>
  <si>
    <t>Less than or equal to 1.5</t>
  </si>
  <si>
    <t>Between 1.6 and 2.0</t>
  </si>
  <si>
    <t>Prior attainment shown in table</t>
  </si>
  <si>
    <t>All other prior attainment scores in the table have not been banded</t>
  </si>
  <si>
    <t>Where few pupils achieved a certain prior attainment score, banding had been applied to produce more accurate predicted values</t>
  </si>
  <si>
    <t xml:space="preserve">Table 1 </t>
  </si>
  <si>
    <t>The groupings used for this banding can be seen in table 1</t>
  </si>
  <si>
    <t>Between 2.1 and 2.5</t>
  </si>
  <si>
    <t>Band includes pupils with prior attainment scores</t>
  </si>
  <si>
    <t>Between 2.6 and 2.8</t>
  </si>
  <si>
    <t>key stage 2 teacher assessment outcome can be used instead.</t>
  </si>
  <si>
    <t xml:space="preserve">These cells convert the key stage 2 test mark entered above to </t>
  </si>
  <si>
    <t>2) ACTUAL KEY STAGE 4 ATTAINMENT</t>
  </si>
  <si>
    <t>3) ESTIMATED KEY STAGE 4 ATTAINMENT</t>
  </si>
  <si>
    <t>To complete this sheet, you need to enter the pupil's actual key stage 4 attainment for the various measures</t>
  </si>
  <si>
    <r>
      <t>Please enter</t>
    </r>
    <r>
      <rPr>
        <i/>
        <sz val="13"/>
        <rFont val="Arial"/>
        <family val="2"/>
      </rPr>
      <t xml:space="preserve"> the pupil's actual key stage 4 attainment</t>
    </r>
  </si>
  <si>
    <t>Pupil's estimated key stage 4 attainment (calculated)</t>
  </si>
  <si>
    <t>INDIVIDUAL PUPIL KS2 DATA INPUT SHEET</t>
  </si>
  <si>
    <t>--Select--</t>
  </si>
  <si>
    <t>This sheet is the data input sheet. Its purpose is to calculate a pupil's key stage 2 fine level</t>
  </si>
  <si>
    <t>KS2 SUBJECTS</t>
  </si>
  <si>
    <r>
      <t xml:space="preserve">KS2 </t>
    </r>
    <r>
      <rPr>
        <b/>
        <sz val="10"/>
        <rFont val="Arial"/>
        <family val="2"/>
      </rPr>
      <t>MATHEMATICS</t>
    </r>
    <r>
      <rPr>
        <sz val="10"/>
        <rFont val="Arial"/>
        <family val="2"/>
      </rPr>
      <t xml:space="preserve"> TEST OUTCOME</t>
    </r>
  </si>
  <si>
    <t>A,M,Q,S,T,X</t>
  </si>
  <si>
    <t>B,N</t>
  </si>
  <si>
    <t>W - Working towards Level 1</t>
  </si>
  <si>
    <r>
      <t xml:space="preserve">KS2 </t>
    </r>
    <r>
      <rPr>
        <b/>
        <sz val="10"/>
        <rFont val="Arial"/>
        <family val="2"/>
      </rPr>
      <t>MATHEMATICS</t>
    </r>
    <r>
      <rPr>
        <sz val="10"/>
        <rFont val="Arial"/>
        <family val="2"/>
      </rPr>
      <t xml:space="preserve"> TEACHER ASSESSMENT DATA</t>
    </r>
  </si>
  <si>
    <r>
      <t>Please enter</t>
    </r>
    <r>
      <rPr>
        <i/>
        <sz val="12"/>
        <rFont val="Arial"/>
        <family val="2"/>
      </rPr>
      <t xml:space="preserve"> key stage 2 teacher assessment levels if a pupil does not have an outcome in one or both of their key stage 2 tests or they have scored a </t>
    </r>
  </si>
  <si>
    <t>level 2 in one or both of their key stage 2 tests.</t>
  </si>
  <si>
    <r>
      <t xml:space="preserve">KS2 </t>
    </r>
    <r>
      <rPr>
        <b/>
        <sz val="10"/>
        <rFont val="Arial"/>
        <family val="2"/>
      </rPr>
      <t>MATHEMATICS</t>
    </r>
    <r>
      <rPr>
        <sz val="10"/>
        <rFont val="Arial"/>
        <family val="2"/>
      </rPr>
      <t xml:space="preserve"> POINT SCORE USED TO CALCULATE KS2 APS</t>
    </r>
  </si>
  <si>
    <t>The appropriate test or teacher assessment score is selected for each subject.</t>
  </si>
  <si>
    <t>This cell calculates the banded KS2 fine level based on the key stage 2 fine grade.</t>
  </si>
  <si>
    <t>1) WHICH PROGRESS MEASURE?</t>
  </si>
  <si>
    <t>Using the drop down box, please select the key stage 2 to 4 English Baccalaureate progress measure you wish to view</t>
  </si>
  <si>
    <t>Estimated KS4 outcome</t>
  </si>
  <si>
    <t>KS2 information</t>
  </si>
  <si>
    <t>Please enter the pupil's score</t>
  </si>
  <si>
    <t>Qualifications which count towards the EBacc</t>
  </si>
  <si>
    <t>Greater than or equal to 5.8</t>
  </si>
  <si>
    <t>Then enter the pupils actual key stage 4 attainment for the progress measure in question (see screenshot below). Further information on the subjects which count in the EBacc can be accessed</t>
  </si>
  <si>
    <t>from the link 'Qualifications which count towards the EBacc'.</t>
  </si>
  <si>
    <r>
      <t xml:space="preserve">It is also possible to calculate progress scores for all three measures at the same time. To do this, go to the </t>
    </r>
    <r>
      <rPr>
        <b/>
        <sz val="12"/>
        <color indexed="18"/>
        <rFont val="Arial"/>
        <family val="2"/>
      </rPr>
      <t>'All Measures Ready Reckoner'</t>
    </r>
    <r>
      <rPr>
        <sz val="12"/>
        <color indexed="18"/>
        <rFont val="Arial"/>
        <family val="2"/>
      </rPr>
      <t xml:space="preserve"> sheet.</t>
    </r>
  </si>
  <si>
    <t>This ready reckoner allows the user to calculate a value added score for an individual pupil for the following measures:</t>
  </si>
  <si>
    <t>1) English Baccalaureate - science subject area</t>
  </si>
  <si>
    <t>2) English Baccalaureate - humanities subject area</t>
  </si>
  <si>
    <t>3) English Baccalaureate - language subject area</t>
  </si>
  <si>
    <t>The following steps explain how to use the ready reckoner…</t>
  </si>
  <si>
    <r>
      <t xml:space="preserve">Once the key stage 2 prior attainment data is complete, go to the </t>
    </r>
    <r>
      <rPr>
        <b/>
        <sz val="12"/>
        <color indexed="18"/>
        <rFont val="Arial"/>
        <family val="2"/>
      </rPr>
      <t>'Single Measure Ready Reckoner'</t>
    </r>
    <r>
      <rPr>
        <sz val="12"/>
        <color indexed="18"/>
        <rFont val="Arial"/>
        <family val="2"/>
      </rPr>
      <t xml:space="preserve"> sheet.</t>
    </r>
  </si>
  <si>
    <r>
      <t xml:space="preserve">In the </t>
    </r>
    <r>
      <rPr>
        <b/>
        <sz val="12"/>
        <color indexed="18"/>
        <rFont val="Arial"/>
        <family val="2"/>
      </rPr>
      <t>'Single Measure Ready Reckoner'</t>
    </r>
    <r>
      <rPr>
        <sz val="12"/>
        <color indexed="18"/>
        <rFont val="Arial"/>
        <family val="2"/>
      </rPr>
      <t xml:space="preserve"> sheet, select the progress measure you wish to use. See screenshot below showing the drop down box to use.</t>
    </r>
  </si>
  <si>
    <r>
      <t xml:space="preserve">The pupil's progress score will then be shown in the dark blue box at the bottom of the </t>
    </r>
    <r>
      <rPr>
        <b/>
        <sz val="12"/>
        <color indexed="18"/>
        <rFont val="Arial"/>
        <family val="2"/>
      </rPr>
      <t>'Single Measure Ready Reckoner'</t>
    </r>
    <r>
      <rPr>
        <sz val="12"/>
        <color indexed="18"/>
        <rFont val="Arial"/>
        <family val="2"/>
      </rPr>
      <t xml:space="preserve"> sheet. There is also a chart comparing the pupil's actual</t>
    </r>
  </si>
  <si>
    <t>Note:</t>
  </si>
  <si>
    <t xml:space="preserve">There were significant changes to KS2 assessments in 2012 where schools were no longer required to administer a writing test and submit this for external marking. </t>
  </si>
  <si>
    <t xml:space="preserve">The 2011 English (combined reading and writing) test results (marked out of 100) and level thresholds cannot be applied to 2012 reading test (marked out of 50).  </t>
  </si>
  <si>
    <t>To Key stage 2 Data Input Sheet  ---&gt;</t>
  </si>
  <si>
    <t>To Single Measure Ready Reckoner  ---&gt;</t>
  </si>
  <si>
    <t>INDIVIDUAL PUPIL KEY STAGE 2 TO 4 EBACC PROGRESS MEASURE READY RECKONER</t>
  </si>
  <si>
    <t>measure you would like to use and then enter the pupil's actual key stage 4 attainment for the measure you have chosen.</t>
  </si>
  <si>
    <t xml:space="preserve">This sheet is the ready reckoner for the key stage 2 to 4 EBacc progress measures. To calculate a pupil's value added score, you need to first choose the </t>
  </si>
  <si>
    <t>in your chosen EBacc progress measure</t>
  </si>
  <si>
    <t>This section estimates the pupil's key stage 4 outcome based on their key stage 2 prior attainment.</t>
  </si>
  <si>
    <t>INDIVIDUAL PUPIL KEY STAGE 2 - 4 EBACC SUBJECTS READY RECKONER - ALL MEASURES</t>
  </si>
  <si>
    <t>The purpose of this sheet is to allow the user to calculate the value added scores for all three key stage 2  to 4 EBacc progress measures at the same time.</t>
  </si>
  <si>
    <t>The input for this sheet is still the 'Key stage 2 Data Input' sheet.</t>
  </si>
  <si>
    <t>Key stage 2 to 4 progress measures</t>
  </si>
  <si>
    <t>Back to Key stage 2 Data Input
&lt;---</t>
  </si>
  <si>
    <t>To All Measures Ready Reckoner ---&gt;</t>
  </si>
  <si>
    <t>Back to All Measures Ready Reckoner &lt;---</t>
  </si>
  <si>
    <t>4) PUPIL VALUE ADDED SCORE</t>
  </si>
  <si>
    <t>VA SCORE (ACTUAL - ESTIMATED)</t>
  </si>
  <si>
    <t>There are four key stage 2 to 4 ready reckoners.</t>
  </si>
  <si>
    <t xml:space="preserve">These value added scores can be copied and pasted directly from the pupil level file on the </t>
  </si>
  <si>
    <t>To Guidance  ---&gt;</t>
  </si>
  <si>
    <t xml:space="preserve">The ready reckoner allows the user to input, for an individual pupil, their key stage 2 prior attainment and key stage 4 attainment in any of the three subject areas in the English Baccalaureate. </t>
  </si>
  <si>
    <r>
      <rPr>
        <b/>
        <sz val="10"/>
        <rFont val="Arial"/>
        <family val="2"/>
      </rPr>
      <t>This ready reckoner is the EBacc subject pupil ready reckoner</t>
    </r>
    <r>
      <rPr>
        <sz val="10"/>
        <rFont val="Arial"/>
        <family val="2"/>
      </rPr>
      <t xml:space="preserve">. The aim is to help the user to understand how we arrive at a value added score for their pupil. </t>
    </r>
  </si>
  <si>
    <r>
      <t xml:space="preserve">The aim of the </t>
    </r>
    <r>
      <rPr>
        <b/>
        <sz val="10"/>
        <rFont val="Arial"/>
        <family val="2"/>
      </rPr>
      <t>EBacc subject school ready reckoner</t>
    </r>
    <r>
      <rPr>
        <sz val="10"/>
        <rFont val="Arial"/>
        <family val="2"/>
      </rPr>
      <t xml:space="preserve"> is to help the user understand how we arrive at a value added score for their school. </t>
    </r>
  </si>
  <si>
    <t xml:space="preserve">The ready reckoner allows the user to input the value added scores in any of the three subject areas in the English Baccalaureate, for all pupils in their school. </t>
  </si>
  <si>
    <t xml:space="preserve">The ready reckoner allows the user to input, for an individual pupil, their key stage 2 prior attainment and key stage 4 outcome in Attainment 8 or any of its elements. </t>
  </si>
  <si>
    <r>
      <t xml:space="preserve">The aim of the </t>
    </r>
    <r>
      <rPr>
        <b/>
        <sz val="10"/>
        <rFont val="Arial"/>
        <family val="2"/>
      </rPr>
      <t xml:space="preserve">Progress 8 element breakdown pupil ready reckoner </t>
    </r>
    <r>
      <rPr>
        <sz val="10"/>
        <rFont val="Arial"/>
        <family val="2"/>
      </rPr>
      <t xml:space="preserve">is to help the user to understand how we arrive at a value added score for their pupil. </t>
    </r>
  </si>
  <si>
    <t xml:space="preserve">The ready reckoner allows the user to input the value added scores in Progress 8 or any of its elements, for all pupils in their school. </t>
  </si>
  <si>
    <r>
      <t xml:space="preserve">The aim of the </t>
    </r>
    <r>
      <rPr>
        <b/>
        <sz val="10"/>
        <rFont val="Arial"/>
        <family val="2"/>
      </rPr>
      <t xml:space="preserve">Progress 8 element breakdown school ready reckoner </t>
    </r>
    <r>
      <rPr>
        <sz val="10"/>
        <rFont val="Arial"/>
        <family val="2"/>
      </rPr>
      <t xml:space="preserve">is to help the user understand how we arrive at a value added score for their school. </t>
    </r>
  </si>
  <si>
    <r>
      <t xml:space="preserve">Go to sheet </t>
    </r>
    <r>
      <rPr>
        <b/>
        <sz val="12"/>
        <color indexed="18"/>
        <rFont val="Arial"/>
        <family val="2"/>
      </rPr>
      <t>'Key stage 2 data input'</t>
    </r>
    <r>
      <rPr>
        <sz val="12"/>
        <color indexed="18"/>
        <rFont val="Arial"/>
        <family val="2"/>
      </rPr>
      <t xml:space="preserve"> and enter the pupil's key stage 2 prior attainment in key stage 2 reading and mathematics. If a pupil is missing a valid key stage 2 test outcome, then their </t>
    </r>
  </si>
  <si>
    <r>
      <t xml:space="preserve">KS2 </t>
    </r>
    <r>
      <rPr>
        <b/>
        <sz val="10"/>
        <rFont val="Arial"/>
        <family val="2"/>
      </rPr>
      <t>READING</t>
    </r>
    <r>
      <rPr>
        <sz val="10"/>
        <rFont val="Arial"/>
        <family val="2"/>
      </rPr>
      <t xml:space="preserve"> TEST OUTCOME</t>
    </r>
  </si>
  <si>
    <r>
      <t xml:space="preserve">KS2 </t>
    </r>
    <r>
      <rPr>
        <b/>
        <sz val="10"/>
        <rFont val="Arial"/>
        <family val="2"/>
      </rPr>
      <t>READING</t>
    </r>
    <r>
      <rPr>
        <sz val="10"/>
        <rFont val="Arial"/>
        <family val="2"/>
      </rPr>
      <t xml:space="preserve"> TEACHER ASSESSMENT DATA</t>
    </r>
  </si>
  <si>
    <r>
      <t xml:space="preserve">KS2 </t>
    </r>
    <r>
      <rPr>
        <b/>
        <sz val="10"/>
        <rFont val="Arial"/>
        <family val="2"/>
      </rPr>
      <t>READING</t>
    </r>
    <r>
      <rPr>
        <sz val="10"/>
        <rFont val="Arial"/>
        <family val="2"/>
      </rPr>
      <t xml:space="preserve"> POINT SCORE USED TO CALCULATE KS2 APS</t>
    </r>
  </si>
  <si>
    <t>This cell calculates the key stage 2 average point score based on key stage 2 reading and mathematics.</t>
  </si>
  <si>
    <t>using their key stage 2 test and teacher assessment outcomes in reading and mathematics.</t>
  </si>
  <si>
    <t>Key stage 2 reading and maths score in fine level</t>
  </si>
  <si>
    <t>Reading</t>
  </si>
  <si>
    <t>tot_2r</t>
  </si>
  <si>
    <t>K2LEV_r</t>
  </si>
  <si>
    <t>fine grades for each subject.</t>
  </si>
  <si>
    <t>These cells convert the key stage 2 asessment outcomes entered above to key stage 2 grades.</t>
  </si>
  <si>
    <t>reading</t>
  </si>
  <si>
    <t>Reading fine grade lookup</t>
  </si>
  <si>
    <t>Maths fine grade lookup</t>
  </si>
  <si>
    <t>Mark</t>
  </si>
  <si>
    <t>Level</t>
  </si>
  <si>
    <t>Bottom</t>
  </si>
  <si>
    <t>Top</t>
  </si>
  <si>
    <t>Drop down list?</t>
  </si>
  <si>
    <t>Fine grade</t>
  </si>
  <si>
    <r>
      <t>Please enter</t>
    </r>
    <r>
      <rPr>
        <i/>
        <sz val="12"/>
        <rFont val="Arial"/>
        <family val="2"/>
      </rPr>
      <t xml:space="preserve"> the pupil's key stage 2 test mark for each subject. This is the number on the left in the options in the drop down menu - if you don't know the test mark, but do know the fine grade, then select from the drop down menu based on the fine grade.</t>
    </r>
  </si>
  <si>
    <t>Calculations are completed based on attainment estimates to 2 decimal places.</t>
  </si>
  <si>
    <t>Checking site.</t>
  </si>
  <si>
    <r>
      <t xml:space="preserve">Note: it is not possible to access key stage 2 test marks on the </t>
    </r>
    <r>
      <rPr>
        <b/>
        <sz val="12"/>
        <color indexed="10"/>
        <rFont val="Arial"/>
        <family val="2"/>
      </rPr>
      <t>Checking website</t>
    </r>
    <r>
      <rPr>
        <sz val="12"/>
        <color indexed="10"/>
        <rFont val="Arial"/>
        <family val="2"/>
      </rPr>
      <t xml:space="preserve"> but these are given along with their corresponding fine point score in the drop down box</t>
    </r>
  </si>
  <si>
    <r>
      <t xml:space="preserve">The fine point score can be found in the pupil level data file under the </t>
    </r>
    <r>
      <rPr>
        <b/>
        <sz val="12"/>
        <color indexed="10"/>
        <rFont val="Arial"/>
        <family val="2"/>
      </rPr>
      <t xml:space="preserve">Guidance/Documents </t>
    </r>
    <r>
      <rPr>
        <sz val="12"/>
        <color indexed="10"/>
        <rFont val="Arial"/>
        <family val="2"/>
      </rPr>
      <t xml:space="preserve">tab. </t>
    </r>
  </si>
  <si>
    <r>
      <t xml:space="preserve">Note: key stage 4 attainment can be found on the </t>
    </r>
    <r>
      <rPr>
        <b/>
        <sz val="12"/>
        <color indexed="10"/>
        <rFont val="Arial"/>
        <family val="2"/>
      </rPr>
      <t>Checking website</t>
    </r>
    <r>
      <rPr>
        <sz val="12"/>
        <color indexed="10"/>
        <rFont val="Arial"/>
        <family val="2"/>
      </rPr>
      <t xml:space="preserve"> in the pupil level data file under the </t>
    </r>
    <r>
      <rPr>
        <b/>
        <sz val="12"/>
        <color indexed="10"/>
        <rFont val="Arial"/>
        <family val="2"/>
      </rPr>
      <t>Guidance/Documents</t>
    </r>
    <r>
      <rPr>
        <sz val="12"/>
        <color indexed="10"/>
        <rFont val="Arial"/>
        <family val="2"/>
      </rPr>
      <t xml:space="preserve"> tab.</t>
    </r>
  </si>
  <si>
    <t>Fine Grade</t>
  </si>
  <si>
    <t>check</t>
  </si>
  <si>
    <t>checking</t>
  </si>
  <si>
    <t>Predicted Values 2018</t>
  </si>
  <si>
    <t xml:space="preserve">GUIDE TO 2019 KEY STAGE 2 TO 4 READY RECKONERS </t>
  </si>
  <si>
    <t>2019 KEY STAGE 2 TO 4 INDIVIDUAL PUPIL READY RECKONER GUIDANCE</t>
  </si>
  <si>
    <t>Please note that all attainment estimates and calculations relate to 2019 only.</t>
  </si>
  <si>
    <t xml:space="preserve">The ready reckoner only provides correct calculations for pupils reaching the end of key stage 4 in 2019 who took their key stage 2 tests in 2014. </t>
  </si>
  <si>
    <t>Model Values - 2019 Predicted Scores by Prior Attainment</t>
  </si>
  <si>
    <t>This sheet shows the 2019 predicted point score in each subject area for pupils with the same prior attainment</t>
  </si>
  <si>
    <t>2014 Key Stage 2 Thresholds</t>
  </si>
  <si>
    <t>The thresholds for Reading have changed slightly in 2014 with L3 beginning at 12 marks rather than 11 last year. Level 4 ends at 31 rather than 35 last year. Level 5 now begins at 32 points which is 4 marks lower than last year. In maths, Level 3 ends at 45 which is 1 higher than last year. Level 4 now begins at 46 marks which is 1 mark higher than last year. A number of schools’ results will be affected by these shifts.</t>
  </si>
  <si>
    <t>key stage 4 attainment against their estimated key stage 4 attainment in 2019.</t>
  </si>
  <si>
    <t xml:space="preserve">Maths </t>
  </si>
  <si>
    <t>Mark range</t>
  </si>
  <si>
    <t>0-11</t>
  </si>
  <si>
    <t>0-14</t>
  </si>
  <si>
    <t>15-17</t>
  </si>
  <si>
    <t>12-18</t>
  </si>
  <si>
    <t>18-45</t>
  </si>
  <si>
    <t>19-31</t>
  </si>
  <si>
    <t>46-78</t>
  </si>
  <si>
    <t>32-50</t>
  </si>
  <si>
    <t>79-100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</si>
</sst>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0.00&quot; Points&quot;"/>
    <numFmt numFmtId="167" formatCode="0.0000"/>
    <numFmt numFmtId="168" formatCode="0.000"/>
    <numFmt numFmtId="169" formatCode="0.000000"/>
  </numFmts>
  <fonts count="77" x14ac:knownFonts="1">
    <font>
      <sz val="10"/>
      <name val="Arial"/>
    </font>
    <font>
      <sz val="11"/>
      <color theme="1"/>
      <name val="Calibri"/>
      <family val="2"/>
      <scheme val="minor"/>
    </font>
    <font>
      <sz val="11"/>
      <color theme="1"/>
      <name val="Calibri"/>
      <family val="2"/>
      <scheme val="minor"/>
    </font>
    <font>
      <b/>
      <sz val="10"/>
      <name val="Arial"/>
      <family val="2"/>
    </font>
    <font>
      <b/>
      <sz val="14"/>
      <name val="Arial"/>
      <family val="2"/>
    </font>
    <font>
      <sz val="8"/>
      <name val="Arial"/>
      <family val="2"/>
    </font>
    <font>
      <b/>
      <sz val="12"/>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name val="Arial"/>
      <family val="2"/>
    </font>
    <font>
      <b/>
      <sz val="8"/>
      <color indexed="12"/>
      <name val="Arial"/>
      <family val="2"/>
    </font>
    <font>
      <sz val="8"/>
      <color indexed="12"/>
      <name val="Arial"/>
      <family val="2"/>
    </font>
    <font>
      <b/>
      <sz val="10"/>
      <color indexed="8"/>
      <name val="ARIAL"/>
      <family val="2"/>
    </font>
    <font>
      <sz val="12"/>
      <name val="Arial"/>
      <family val="2"/>
    </font>
    <font>
      <b/>
      <sz val="16"/>
      <name val="Arial"/>
      <family val="2"/>
    </font>
    <font>
      <b/>
      <sz val="14"/>
      <color indexed="9"/>
      <name val="Arial"/>
      <family val="2"/>
    </font>
    <font>
      <sz val="12"/>
      <name val="Arial"/>
      <family val="2"/>
    </font>
    <font>
      <sz val="10"/>
      <color indexed="22"/>
      <name val="Arial"/>
      <family val="2"/>
    </font>
    <font>
      <b/>
      <sz val="14"/>
      <color indexed="18"/>
      <name val="Arial"/>
      <family val="2"/>
    </font>
    <font>
      <sz val="10"/>
      <color indexed="8"/>
      <name val="Arial"/>
      <family val="2"/>
    </font>
    <font>
      <sz val="10"/>
      <color indexed="9"/>
      <name val="Arial"/>
      <family val="2"/>
    </font>
    <font>
      <sz val="10"/>
      <color indexed="10"/>
      <name val="Arial"/>
      <family val="2"/>
    </font>
    <font>
      <sz val="12"/>
      <color indexed="10"/>
      <name val="Arial"/>
      <family val="2"/>
    </font>
    <font>
      <b/>
      <sz val="8"/>
      <color indexed="8"/>
      <name val="Arial"/>
      <family val="2"/>
    </font>
    <font>
      <sz val="8"/>
      <color indexed="8"/>
      <name val="Arial"/>
      <family val="2"/>
    </font>
    <font>
      <b/>
      <u/>
      <sz val="14"/>
      <color indexed="18"/>
      <name val="Arial"/>
      <family val="2"/>
    </font>
    <font>
      <b/>
      <sz val="10"/>
      <color indexed="10"/>
      <name val="Arial"/>
      <family val="2"/>
    </font>
    <font>
      <sz val="12"/>
      <color indexed="8"/>
      <name val="Arial"/>
      <family val="2"/>
    </font>
    <font>
      <sz val="12"/>
      <color indexed="8"/>
      <name val="Arial"/>
      <family val="2"/>
    </font>
    <font>
      <i/>
      <sz val="12"/>
      <color indexed="8"/>
      <name val="Arial"/>
      <family val="2"/>
    </font>
    <font>
      <i/>
      <sz val="12"/>
      <name val="Arial"/>
      <family val="2"/>
    </font>
    <font>
      <b/>
      <sz val="12"/>
      <color indexed="18"/>
      <name val="Arial"/>
      <family val="2"/>
    </font>
    <font>
      <sz val="12"/>
      <color indexed="18"/>
      <name val="Arial"/>
      <family val="2"/>
    </font>
    <font>
      <sz val="10"/>
      <color indexed="18"/>
      <name val="Arial"/>
      <family val="2"/>
    </font>
    <font>
      <b/>
      <sz val="13"/>
      <color indexed="8"/>
      <name val="Arial"/>
      <family val="2"/>
    </font>
    <font>
      <sz val="10"/>
      <color indexed="9"/>
      <name val="Arial"/>
      <family val="2"/>
    </font>
    <font>
      <b/>
      <i/>
      <sz val="12"/>
      <name val="Arial"/>
      <family val="2"/>
    </font>
    <font>
      <b/>
      <i/>
      <sz val="11"/>
      <color indexed="48"/>
      <name val="Arial"/>
      <family val="2"/>
    </font>
    <font>
      <sz val="11"/>
      <name val="Arial"/>
      <family val="2"/>
    </font>
    <font>
      <sz val="14"/>
      <name val="Arial"/>
      <family val="2"/>
    </font>
    <font>
      <b/>
      <i/>
      <sz val="13"/>
      <name val="Arial"/>
      <family val="2"/>
    </font>
    <font>
      <i/>
      <sz val="13"/>
      <name val="Arial"/>
      <family val="2"/>
    </font>
    <font>
      <b/>
      <sz val="12"/>
      <color indexed="10"/>
      <name val="Arial"/>
      <family val="2"/>
    </font>
    <font>
      <sz val="10"/>
      <name val="Arial"/>
      <family val="2"/>
    </font>
    <font>
      <sz val="10"/>
      <name val="Arial"/>
      <family val="2"/>
    </font>
    <font>
      <sz val="16"/>
      <name val="Arial"/>
      <family val="2"/>
    </font>
    <font>
      <sz val="10"/>
      <color theme="0"/>
      <name val="Arial"/>
      <family val="2"/>
    </font>
    <font>
      <b/>
      <sz val="10"/>
      <color rgb="FFFF0000"/>
      <name val="Arial"/>
      <family val="2"/>
    </font>
    <font>
      <b/>
      <sz val="14"/>
      <color theme="1"/>
      <name val="Arial"/>
      <family val="2"/>
    </font>
    <font>
      <b/>
      <sz val="11"/>
      <color theme="1"/>
      <name val="Calibri"/>
      <family val="2"/>
      <scheme val="minor"/>
    </font>
    <font>
      <sz val="8.25"/>
      <color rgb="FF000000"/>
      <name val="Arial"/>
      <family val="2"/>
    </font>
    <font>
      <b/>
      <sz val="16"/>
      <color theme="0"/>
      <name val="Arial"/>
      <family val="2"/>
    </font>
    <font>
      <sz val="11"/>
      <color rgb="FF333333"/>
      <name val="Arial"/>
      <family val="2"/>
    </font>
    <font>
      <i/>
      <sz val="8"/>
      <color rgb="FF7030A0"/>
      <name val="Arial"/>
      <family val="2"/>
    </font>
    <font>
      <i/>
      <sz val="11"/>
      <color rgb="FF7030A0"/>
      <name val="Calibri"/>
      <family val="2"/>
      <scheme val="minor"/>
    </font>
    <font>
      <sz val="8"/>
      <color theme="1"/>
      <name val="Arial"/>
      <family val="2"/>
    </font>
    <font>
      <sz val="10"/>
      <color theme="1"/>
      <name val="Arial"/>
      <family val="2"/>
    </font>
    <font>
      <b/>
      <sz val="12"/>
      <color rgb="FF0D0D0D"/>
      <name val="Arial"/>
      <family val="2"/>
    </font>
    <font>
      <sz val="12"/>
      <color rgb="FF0D0D0D"/>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18"/>
        <bgColor indexed="64"/>
      </patternFill>
    </fill>
    <fill>
      <patternFill patternType="solid">
        <fgColor indexed="44"/>
        <bgColor indexed="64"/>
      </patternFill>
    </fill>
    <fill>
      <patternFill patternType="solid">
        <fgColor indexed="55"/>
        <bgColor indexed="64"/>
      </patternFill>
    </fill>
    <fill>
      <patternFill patternType="solid">
        <fgColor indexed="62"/>
        <bgColor indexed="64"/>
      </patternFill>
    </fill>
    <fill>
      <patternFill patternType="solid">
        <fgColor indexed="49"/>
        <bgColor indexed="64"/>
      </patternFill>
    </fill>
    <fill>
      <patternFill patternType="solid">
        <fgColor theme="0"/>
        <bgColor indexed="64"/>
      </patternFill>
    </fill>
    <fill>
      <patternFill patternType="solid">
        <fgColor theme="9" tint="0.59996337778862885"/>
        <bgColor indexed="64"/>
      </patternFill>
    </fill>
    <fill>
      <patternFill patternType="solid">
        <fgColor rgb="FF99CCFF"/>
        <bgColor indexed="64"/>
      </patternFill>
    </fill>
    <fill>
      <patternFill patternType="solid">
        <fgColor theme="9" tint="0.59999389629810485"/>
        <bgColor indexed="64"/>
      </patternFill>
    </fill>
    <fill>
      <patternFill patternType="solid">
        <fgColor rgb="FFCCFFFF"/>
        <bgColor indexed="64"/>
      </patternFill>
    </fill>
    <fill>
      <patternFill patternType="solid">
        <fgColor rgb="FF000080"/>
        <bgColor indexed="64"/>
      </patternFill>
    </fill>
    <fill>
      <patternFill patternType="solid">
        <fgColor rgb="FF33CCCC"/>
        <bgColor indexed="64"/>
      </patternFill>
    </fill>
    <fill>
      <patternFill patternType="solid">
        <fgColor rgb="FFFFFF00"/>
        <bgColor indexed="64"/>
      </patternFill>
    </fill>
    <fill>
      <patternFill patternType="solid">
        <fgColor rgb="FFCFDCE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thin">
        <color auto="1"/>
      </right>
      <top/>
      <bottom/>
      <diagonal/>
    </border>
  </borders>
  <cellStyleXfs count="4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3" fillId="0" borderId="0"/>
    <xf numFmtId="0" fontId="13" fillId="0" borderId="0" applyNumberFormat="0" applyFill="0" applyBorder="0" applyAlignment="0" applyProtection="0"/>
    <xf numFmtId="0" fontId="13" fillId="23" borderId="7" applyNumberFormat="0" applyFont="0" applyAlignment="0" applyProtection="0"/>
    <xf numFmtId="0" fontId="23" fillId="20" borderId="8" applyNumberFormat="0" applyAlignment="0" applyProtection="0"/>
    <xf numFmtId="9" fontId="6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0" fontId="2" fillId="0" borderId="0"/>
    <xf numFmtId="0" fontId="1" fillId="0" borderId="0"/>
  </cellStyleXfs>
  <cellXfs count="355">
    <xf numFmtId="0" fontId="0" fillId="0" borderId="0" xfId="0"/>
    <xf numFmtId="0" fontId="7" fillId="0" borderId="0" xfId="0" applyFont="1"/>
    <xf numFmtId="0" fontId="28" fillId="0" borderId="0" xfId="39" applyFont="1"/>
    <xf numFmtId="0" fontId="27" fillId="0" borderId="0" xfId="39" applyFont="1"/>
    <xf numFmtId="0" fontId="29" fillId="0" borderId="0" xfId="39" applyFont="1"/>
    <xf numFmtId="4" fontId="29" fillId="0" borderId="0" xfId="0" applyNumberFormat="1" applyFont="1"/>
    <xf numFmtId="0" fontId="29" fillId="0" borderId="0" xfId="0" applyFont="1"/>
    <xf numFmtId="0" fontId="27" fillId="0" borderId="0" xfId="0" applyFont="1"/>
    <xf numFmtId="0" fontId="4" fillId="0" borderId="0" xfId="0" applyFont="1" applyAlignment="1">
      <alignment horizontal="left"/>
    </xf>
    <xf numFmtId="0" fontId="32" fillId="0" borderId="0" xfId="0" applyFont="1" applyAlignment="1">
      <alignment horizontal="left"/>
    </xf>
    <xf numFmtId="0" fontId="4" fillId="0" borderId="0" xfId="0" applyFont="1"/>
    <xf numFmtId="0" fontId="6" fillId="0" borderId="0" xfId="0" applyFont="1" applyAlignment="1">
      <alignment vertical="center" wrapText="1"/>
    </xf>
    <xf numFmtId="0" fontId="31" fillId="0" borderId="0" xfId="0" applyFont="1" applyAlignment="1"/>
    <xf numFmtId="0" fontId="0" fillId="0" borderId="0" xfId="0" applyAlignment="1">
      <alignment vertical="center" wrapText="1"/>
    </xf>
    <xf numFmtId="0" fontId="0" fillId="0" borderId="0" xfId="0" applyBorder="1"/>
    <xf numFmtId="0" fontId="36" fillId="0" borderId="0" xfId="0" applyFont="1"/>
    <xf numFmtId="0" fontId="0" fillId="0" borderId="0" xfId="0" applyAlignment="1"/>
    <xf numFmtId="0" fontId="34" fillId="0" borderId="0" xfId="0" applyFont="1"/>
    <xf numFmtId="0" fontId="34" fillId="0" borderId="0" xfId="0" applyFont="1" applyAlignment="1"/>
    <xf numFmtId="0" fontId="0" fillId="0" borderId="0" xfId="0" applyBorder="1" applyAlignment="1"/>
    <xf numFmtId="0" fontId="6" fillId="0" borderId="0" xfId="0" applyFont="1" applyAlignment="1">
      <alignment horizontal="center"/>
    </xf>
    <xf numFmtId="0" fontId="38" fillId="0" borderId="0" xfId="0" applyFont="1"/>
    <xf numFmtId="2" fontId="38" fillId="0" borderId="0" xfId="0" applyNumberFormat="1" applyFont="1" applyAlignment="1">
      <alignment horizontal="center"/>
    </xf>
    <xf numFmtId="0" fontId="39" fillId="0" borderId="0" xfId="0" applyFont="1" applyBorder="1"/>
    <xf numFmtId="0" fontId="40" fillId="0" borderId="0" xfId="0" applyFont="1"/>
    <xf numFmtId="0" fontId="41" fillId="0" borderId="0" xfId="39" applyFont="1"/>
    <xf numFmtId="0" fontId="42" fillId="0" borderId="0" xfId="39" applyFont="1"/>
    <xf numFmtId="2" fontId="42" fillId="0" borderId="0" xfId="0" applyNumberFormat="1" applyFont="1"/>
    <xf numFmtId="4" fontId="42" fillId="0" borderId="0" xfId="0" applyNumberFormat="1" applyFont="1"/>
    <xf numFmtId="0" fontId="42" fillId="0" borderId="0" xfId="0" applyFont="1"/>
    <xf numFmtId="2" fontId="42" fillId="0" borderId="0" xfId="39" applyNumberFormat="1" applyFont="1"/>
    <xf numFmtId="0" fontId="42" fillId="0" borderId="0" xfId="0" applyFont="1" applyAlignment="1">
      <alignment horizontal="center"/>
    </xf>
    <xf numFmtId="0" fontId="37" fillId="0" borderId="0" xfId="0" applyFont="1" applyBorder="1" applyAlignment="1">
      <alignment horizontal="center"/>
    </xf>
    <xf numFmtId="0" fontId="35" fillId="0" borderId="0" xfId="0" applyFont="1" applyBorder="1" applyAlignment="1">
      <alignment horizontal="center"/>
    </xf>
    <xf numFmtId="0" fontId="4" fillId="0" borderId="0" xfId="0" applyFont="1" applyAlignment="1">
      <alignment horizontal="left" vertical="center"/>
    </xf>
    <xf numFmtId="0" fontId="43" fillId="0" borderId="0" xfId="0" applyFont="1"/>
    <xf numFmtId="0" fontId="44" fillId="0" borderId="0" xfId="0" applyFont="1" applyBorder="1" applyAlignment="1">
      <alignment horizontal="center"/>
    </xf>
    <xf numFmtId="1" fontId="0" fillId="0" borderId="0" xfId="0" applyNumberFormat="1" applyAlignment="1">
      <alignment horizontal="center"/>
    </xf>
    <xf numFmtId="0" fontId="46" fillId="0" borderId="0" xfId="0" applyFont="1"/>
    <xf numFmtId="0" fontId="7" fillId="0" borderId="0" xfId="0" applyFont="1" applyAlignment="1">
      <alignment horizontal="right" indent="1"/>
    </xf>
    <xf numFmtId="0" fontId="43" fillId="0" borderId="0" xfId="0" applyFont="1" applyAlignment="1"/>
    <xf numFmtId="0" fontId="0" fillId="0" borderId="0" xfId="0" applyBorder="1" applyAlignment="1">
      <alignment horizontal="center"/>
    </xf>
    <xf numFmtId="1" fontId="0" fillId="0" borderId="0" xfId="0" applyNumberFormat="1"/>
    <xf numFmtId="0" fontId="3" fillId="24" borderId="13" xfId="0" applyFont="1" applyFill="1" applyBorder="1" applyAlignment="1" applyProtection="1">
      <alignment horizontal="center" vertical="center" wrapText="1"/>
      <protection locked="0"/>
    </xf>
    <xf numFmtId="0" fontId="30" fillId="24" borderId="13" xfId="0" applyFont="1" applyFill="1" applyBorder="1" applyAlignment="1" applyProtection="1">
      <alignment horizontal="center" vertical="center" wrapText="1"/>
      <protection locked="0"/>
    </xf>
    <xf numFmtId="0" fontId="42" fillId="0" borderId="0" xfId="0" quotePrefix="1" applyNumberFormat="1" applyFont="1"/>
    <xf numFmtId="0" fontId="27" fillId="0" borderId="0" xfId="39" applyFont="1" applyAlignment="1">
      <alignment horizontal="center"/>
    </xf>
    <xf numFmtId="4" fontId="27" fillId="0" borderId="0" xfId="0" applyNumberFormat="1" applyFont="1" applyAlignment="1">
      <alignment horizontal="center"/>
    </xf>
    <xf numFmtId="2" fontId="27" fillId="0" borderId="0" xfId="0" applyNumberFormat="1" applyFont="1" applyAlignment="1">
      <alignment horizontal="center"/>
    </xf>
    <xf numFmtId="2" fontId="0" fillId="0" borderId="0" xfId="0" applyNumberFormat="1"/>
    <xf numFmtId="0" fontId="34" fillId="0" borderId="0" xfId="0" applyFont="1" applyAlignment="1">
      <alignment horizontal="center" vertical="center" wrapText="1"/>
    </xf>
    <xf numFmtId="2" fontId="0" fillId="0" borderId="0" xfId="0" applyNumberFormat="1" applyAlignment="1">
      <alignment horizontal="right"/>
    </xf>
    <xf numFmtId="0" fontId="0" fillId="0" borderId="0" xfId="0" applyBorder="1" applyAlignment="1">
      <alignment wrapText="1"/>
    </xf>
    <xf numFmtId="0" fontId="13" fillId="0" borderId="0" xfId="0" applyFont="1"/>
    <xf numFmtId="0" fontId="53" fillId="0" borderId="0" xfId="0" applyFont="1"/>
    <xf numFmtId="0" fontId="47" fillId="0" borderId="0" xfId="0" applyFont="1" applyAlignment="1">
      <alignment vertical="center"/>
    </xf>
    <xf numFmtId="0" fontId="55" fillId="0" borderId="0" xfId="0" applyFont="1"/>
    <xf numFmtId="0" fontId="48" fillId="0" borderId="0" xfId="0" applyFont="1" applyAlignment="1">
      <alignment horizontal="left" vertical="center"/>
    </xf>
    <xf numFmtId="0" fontId="45" fillId="0" borderId="0" xfId="0" applyFont="1"/>
    <xf numFmtId="0" fontId="45" fillId="0" borderId="0" xfId="0" applyFont="1" applyAlignment="1"/>
    <xf numFmtId="0" fontId="31" fillId="0" borderId="0" xfId="0" applyFont="1"/>
    <xf numFmtId="0" fontId="56" fillId="0" borderId="13" xfId="0" applyFont="1" applyBorder="1" applyAlignment="1">
      <alignment horizontal="center" vertical="center" wrapText="1"/>
    </xf>
    <xf numFmtId="0" fontId="13" fillId="0" borderId="0" xfId="0" applyFont="1" applyAlignment="1">
      <alignment horizontal="center"/>
    </xf>
    <xf numFmtId="0" fontId="59" fillId="0" borderId="0" xfId="0" applyFont="1" applyAlignment="1">
      <alignment horizontal="left" vertical="center" wrapText="1"/>
    </xf>
    <xf numFmtId="0" fontId="13" fillId="0" borderId="0" xfId="0" applyFont="1" applyAlignment="1">
      <alignment horizontal="left"/>
    </xf>
    <xf numFmtId="0" fontId="58" fillId="0" borderId="0" xfId="0" applyFont="1" applyAlignment="1">
      <alignment horizontal="left" vertical="center" wrapText="1"/>
    </xf>
    <xf numFmtId="0" fontId="19" fillId="0" borderId="0" xfId="34" applyBorder="1" applyAlignment="1" applyProtection="1"/>
    <xf numFmtId="0" fontId="64" fillId="0" borderId="0" xfId="0" applyFont="1" applyAlignment="1">
      <alignment horizontal="right"/>
    </xf>
    <xf numFmtId="0" fontId="64" fillId="0" borderId="0" xfId="0" applyFont="1"/>
    <xf numFmtId="1" fontId="64" fillId="0" borderId="0" xfId="0" applyNumberFormat="1" applyFont="1"/>
    <xf numFmtId="0" fontId="0" fillId="30" borderId="0" xfId="0" applyFill="1"/>
    <xf numFmtId="0" fontId="32" fillId="30" borderId="0" xfId="0" applyFont="1" applyFill="1" applyAlignment="1">
      <alignment horizontal="left"/>
    </xf>
    <xf numFmtId="0" fontId="13" fillId="30" borderId="0" xfId="0" applyFont="1" applyFill="1"/>
    <xf numFmtId="0" fontId="0" fillId="30" borderId="14" xfId="0" applyFill="1" applyBorder="1"/>
    <xf numFmtId="0" fontId="3" fillId="30" borderId="14" xfId="0" applyFont="1" applyFill="1" applyBorder="1" applyAlignment="1">
      <alignment horizontal="center"/>
    </xf>
    <xf numFmtId="164" fontId="0" fillId="30" borderId="14" xfId="0" applyNumberFormat="1" applyFill="1" applyBorder="1"/>
    <xf numFmtId="1" fontId="37" fillId="30" borderId="0" xfId="0" applyNumberFormat="1" applyFont="1" applyFill="1" applyAlignment="1">
      <alignment horizontal="center" vertical="center"/>
    </xf>
    <xf numFmtId="11" fontId="0" fillId="30" borderId="0" xfId="0" applyNumberFormat="1" applyFill="1"/>
    <xf numFmtId="0" fontId="13" fillId="30" borderId="14" xfId="0" applyFont="1" applyFill="1" applyBorder="1" applyAlignment="1">
      <alignment vertical="center"/>
    </xf>
    <xf numFmtId="0" fontId="3" fillId="30" borderId="14" xfId="0" applyFont="1" applyFill="1" applyBorder="1" applyAlignment="1">
      <alignment horizontal="center" vertical="center" wrapText="1"/>
    </xf>
    <xf numFmtId="0" fontId="31" fillId="30" borderId="0" xfId="0" applyFont="1" applyFill="1"/>
    <xf numFmtId="164" fontId="0" fillId="30" borderId="0" xfId="0" applyNumberFormat="1" applyFill="1"/>
    <xf numFmtId="11" fontId="13" fillId="30" borderId="0" xfId="0" applyNumberFormat="1" applyFont="1" applyFill="1"/>
    <xf numFmtId="0" fontId="13" fillId="30" borderId="0" xfId="0" applyFont="1" applyFill="1" applyProtection="1">
      <protection hidden="1"/>
    </xf>
    <xf numFmtId="0" fontId="64" fillId="30" borderId="0" xfId="0" applyFont="1" applyFill="1" applyProtection="1">
      <protection hidden="1"/>
    </xf>
    <xf numFmtId="1" fontId="64" fillId="30" borderId="0" xfId="0" applyNumberFormat="1" applyFont="1" applyFill="1" applyProtection="1">
      <protection hidden="1"/>
    </xf>
    <xf numFmtId="164" fontId="64" fillId="30" borderId="0" xfId="0" applyNumberFormat="1" applyFont="1" applyFill="1" applyAlignment="1" applyProtection="1">
      <alignment horizontal="left"/>
      <protection hidden="1"/>
    </xf>
    <xf numFmtId="164" fontId="64" fillId="30" borderId="0" xfId="0" applyNumberFormat="1" applyFont="1" applyFill="1" applyProtection="1">
      <protection hidden="1"/>
    </xf>
    <xf numFmtId="0" fontId="4" fillId="30" borderId="0" xfId="0" applyFont="1" applyFill="1"/>
    <xf numFmtId="0" fontId="45" fillId="30" borderId="0" xfId="0" applyFont="1" applyFill="1"/>
    <xf numFmtId="0" fontId="34" fillId="30" borderId="0" xfId="0" applyFont="1" applyFill="1"/>
    <xf numFmtId="0" fontId="50" fillId="30" borderId="0" xfId="0" quotePrefix="1" applyFont="1" applyFill="1"/>
    <xf numFmtId="0" fontId="52" fillId="30" borderId="0" xfId="0" applyFont="1" applyFill="1"/>
    <xf numFmtId="0" fontId="50" fillId="30" borderId="0" xfId="0" applyFont="1" applyFill="1"/>
    <xf numFmtId="0" fontId="51" fillId="30" borderId="0" xfId="0" applyFont="1" applyFill="1"/>
    <xf numFmtId="0" fontId="40" fillId="30" borderId="0" xfId="0" applyFont="1" applyFill="1"/>
    <xf numFmtId="0" fontId="0" fillId="30" borderId="0" xfId="0" applyFill="1" applyBorder="1"/>
    <xf numFmtId="0" fontId="0" fillId="0" borderId="0" xfId="0" applyProtection="1">
      <protection locked="0"/>
    </xf>
    <xf numFmtId="0" fontId="13" fillId="0" borderId="0" xfId="0" applyFont="1" applyProtection="1">
      <protection locked="0"/>
    </xf>
    <xf numFmtId="0" fontId="64" fillId="0" borderId="0" xfId="0" applyFont="1" applyProtection="1">
      <protection locked="0"/>
    </xf>
    <xf numFmtId="0" fontId="0" fillId="0" borderId="0" xfId="0" applyProtection="1"/>
    <xf numFmtId="0" fontId="32" fillId="0" borderId="0" xfId="0" applyFont="1" applyAlignment="1" applyProtection="1">
      <alignment horizontal="left"/>
    </xf>
    <xf numFmtId="0" fontId="4" fillId="0" borderId="0" xfId="0" applyFont="1" applyAlignment="1" applyProtection="1">
      <alignment horizontal="left"/>
    </xf>
    <xf numFmtId="0" fontId="7" fillId="31" borderId="13" xfId="0" applyFont="1" applyFill="1" applyBorder="1" applyAlignment="1" applyProtection="1">
      <alignment horizontal="center" vertical="top"/>
    </xf>
    <xf numFmtId="0" fontId="0" fillId="24" borderId="13" xfId="0" applyFill="1" applyBorder="1" applyAlignment="1" applyProtection="1">
      <alignment horizontal="center"/>
    </xf>
    <xf numFmtId="0" fontId="31" fillId="0" borderId="0" xfId="0" applyFont="1" applyProtection="1"/>
    <xf numFmtId="0" fontId="0" fillId="26" borderId="13" xfId="0" applyFill="1" applyBorder="1" applyAlignment="1" applyProtection="1">
      <alignment horizontal="center"/>
    </xf>
    <xf numFmtId="0" fontId="0" fillId="27" borderId="13" xfId="0" applyFill="1" applyBorder="1" applyAlignment="1" applyProtection="1">
      <alignment horizontal="center"/>
    </xf>
    <xf numFmtId="0" fontId="7" fillId="0" borderId="0" xfId="0" applyFont="1" applyProtection="1"/>
    <xf numFmtId="0" fontId="33" fillId="0" borderId="0" xfId="0" applyFont="1" applyFill="1" applyBorder="1" applyAlignment="1" applyProtection="1">
      <alignment vertical="center" wrapText="1"/>
      <protection locked="0"/>
    </xf>
    <xf numFmtId="0" fontId="13" fillId="0" borderId="0" xfId="0" applyFont="1" applyAlignment="1" applyProtection="1">
      <alignment horizontal="left" vertical="center" wrapText="1"/>
    </xf>
    <xf numFmtId="0" fontId="62" fillId="0" borderId="0" xfId="0" applyFont="1" applyAlignment="1" applyProtection="1">
      <alignment horizontal="center" vertical="center" wrapText="1"/>
    </xf>
    <xf numFmtId="0" fontId="62" fillId="0" borderId="0" xfId="0" applyFont="1" applyProtection="1"/>
    <xf numFmtId="0" fontId="62" fillId="0" borderId="0" xfId="0" applyFont="1" applyProtection="1">
      <protection locked="0"/>
    </xf>
    <xf numFmtId="0" fontId="7" fillId="0" borderId="0" xfId="0" applyFont="1" applyAlignment="1" applyProtection="1">
      <alignment horizontal="left" vertical="center" wrapText="1"/>
    </xf>
    <xf numFmtId="0" fontId="0" fillId="0" borderId="0" xfId="0" applyAlignment="1" applyProtection="1">
      <alignment horizontal="left" vertical="center" wrapText="1"/>
    </xf>
    <xf numFmtId="0" fontId="3" fillId="0" borderId="0" xfId="0" applyFont="1" applyAlignment="1" applyProtection="1">
      <alignment vertical="center" wrapText="1"/>
      <protection locked="0"/>
    </xf>
    <xf numFmtId="0" fontId="3" fillId="0" borderId="0" xfId="0" applyFont="1" applyAlignment="1" applyProtection="1">
      <alignment horizontal="left" vertical="center" wrapText="1"/>
    </xf>
    <xf numFmtId="0" fontId="3" fillId="0" borderId="0" xfId="0" applyFont="1" applyAlignment="1" applyProtection="1">
      <alignment vertical="center" wrapText="1"/>
    </xf>
    <xf numFmtId="2" fontId="3" fillId="26" borderId="10" xfId="0" applyNumberFormat="1" applyFont="1" applyFill="1" applyBorder="1" applyAlignment="1" applyProtection="1">
      <alignment horizontal="center" vertical="center" wrapText="1"/>
    </xf>
    <xf numFmtId="0" fontId="47" fillId="0" borderId="0" xfId="0" applyFont="1" applyAlignment="1" applyProtection="1">
      <alignment horizontal="left" vertical="center"/>
    </xf>
    <xf numFmtId="0" fontId="0" fillId="0" borderId="0" xfId="0" applyAlignment="1" applyProtection="1"/>
    <xf numFmtId="1" fontId="3" fillId="26" borderId="12" xfId="0" applyNumberFormat="1" applyFont="1" applyFill="1" applyBorder="1" applyAlignment="1" applyProtection="1">
      <alignment horizontal="center" vertical="center" wrapText="1"/>
    </xf>
    <xf numFmtId="0" fontId="0" fillId="0" borderId="0" xfId="0" applyAlignment="1" applyProtection="1">
      <alignment horizontal="center" vertical="center" wrapText="1"/>
    </xf>
    <xf numFmtId="0" fontId="48" fillId="0" borderId="0" xfId="0" applyFont="1" applyAlignment="1" applyProtection="1">
      <alignment horizontal="left" vertical="top"/>
    </xf>
    <xf numFmtId="2" fontId="3" fillId="26" borderId="13" xfId="0" applyNumberFormat="1" applyFont="1" applyFill="1" applyBorder="1" applyAlignment="1" applyProtection="1">
      <alignment horizontal="center" vertical="center" wrapText="1"/>
    </xf>
    <xf numFmtId="0" fontId="65" fillId="0" borderId="0" xfId="0" applyFont="1" applyAlignment="1" applyProtection="1">
      <alignment horizontal="center" vertical="center" wrapText="1"/>
    </xf>
    <xf numFmtId="0" fontId="6" fillId="0" borderId="0" xfId="0" applyFont="1" applyAlignment="1" applyProtection="1">
      <alignment horizontal="left" vertical="center" wrapText="1"/>
    </xf>
    <xf numFmtId="0" fontId="0" fillId="0" borderId="0" xfId="0" applyFill="1" applyAlignment="1" applyProtection="1">
      <alignment horizontal="center" vertical="center" wrapText="1"/>
      <protection locked="0"/>
    </xf>
    <xf numFmtId="164" fontId="32" fillId="32" borderId="13" xfId="0" applyNumberFormat="1" applyFont="1" applyFill="1" applyBorder="1" applyAlignment="1" applyProtection="1">
      <alignment horizontal="center" vertical="center"/>
    </xf>
    <xf numFmtId="0" fontId="0" fillId="0" borderId="0" xfId="0" applyAlignment="1" applyProtection="1">
      <alignment horizontal="center" vertical="center"/>
    </xf>
    <xf numFmtId="2" fontId="63" fillId="0" borderId="0" xfId="0" applyNumberFormat="1" applyFont="1" applyFill="1" applyBorder="1" applyAlignment="1" applyProtection="1">
      <alignment horizontal="center" vertical="center"/>
      <protection locked="0"/>
    </xf>
    <xf numFmtId="0" fontId="5" fillId="0" borderId="0" xfId="39" applyFont="1"/>
    <xf numFmtId="2" fontId="5" fillId="0" borderId="0" xfId="39" applyNumberFormat="1" applyFont="1"/>
    <xf numFmtId="2" fontId="5" fillId="0" borderId="0" xfId="0" applyNumberFormat="1" applyFont="1" applyAlignment="1">
      <alignment horizontal="left"/>
    </xf>
    <xf numFmtId="2" fontId="5" fillId="0" borderId="0" xfId="0" applyNumberFormat="1" applyFont="1" applyAlignment="1">
      <alignment horizontal="center"/>
    </xf>
    <xf numFmtId="2" fontId="5" fillId="0" borderId="0" xfId="0" quotePrefix="1" applyNumberFormat="1" applyFont="1" applyAlignment="1">
      <alignment horizontal="center"/>
    </xf>
    <xf numFmtId="4" fontId="5" fillId="0" borderId="0" xfId="0" applyNumberFormat="1" applyFont="1" applyAlignment="1">
      <alignment horizontal="center"/>
    </xf>
    <xf numFmtId="0" fontId="5" fillId="0" borderId="0" xfId="39" applyFont="1" applyAlignment="1">
      <alignment horizontal="left"/>
    </xf>
    <xf numFmtId="0" fontId="5" fillId="0" borderId="0" xfId="39" applyFont="1" applyAlignment="1">
      <alignment horizontal="center"/>
    </xf>
    <xf numFmtId="2" fontId="27" fillId="0" borderId="0" xfId="39" applyNumberFormat="1" applyFont="1"/>
    <xf numFmtId="2" fontId="5" fillId="0" borderId="0" xfId="39" applyNumberFormat="1" applyFont="1" applyAlignment="1">
      <alignment horizontal="center"/>
    </xf>
    <xf numFmtId="49" fontId="5" fillId="0" borderId="0" xfId="0" applyNumberFormat="1" applyFont="1" applyAlignment="1">
      <alignment horizontal="left"/>
    </xf>
    <xf numFmtId="4" fontId="5" fillId="0" borderId="0" xfId="0" applyNumberFormat="1" applyFont="1" applyAlignment="1">
      <alignment horizontal="left"/>
    </xf>
    <xf numFmtId="0" fontId="5" fillId="0" borderId="0" xfId="0" quotePrefix="1" applyNumberFormat="1" applyFont="1" applyAlignment="1">
      <alignment horizontal="center"/>
    </xf>
    <xf numFmtId="0" fontId="5" fillId="0" borderId="0" xfId="0" quotePrefix="1" applyFont="1" applyAlignment="1">
      <alignment horizontal="center"/>
    </xf>
    <xf numFmtId="0" fontId="29" fillId="0" borderId="0" xfId="39" applyFont="1" applyAlignment="1">
      <alignment horizontal="center"/>
    </xf>
    <xf numFmtId="2" fontId="29" fillId="0" borderId="0" xfId="39"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0" fontId="5" fillId="0" borderId="0" xfId="0" quotePrefix="1" applyFont="1" applyAlignment="1">
      <alignment horizontal="left"/>
    </xf>
    <xf numFmtId="0" fontId="5" fillId="0" borderId="0" xfId="0" quotePrefix="1" applyFont="1"/>
    <xf numFmtId="2" fontId="5" fillId="0" borderId="0" xfId="0" applyNumberFormat="1" applyFont="1"/>
    <xf numFmtId="4" fontId="5" fillId="0" borderId="0" xfId="0" applyNumberFormat="1" applyFont="1"/>
    <xf numFmtId="2" fontId="29" fillId="0" borderId="0" xfId="0" applyNumberFormat="1" applyFont="1"/>
    <xf numFmtId="0" fontId="5" fillId="0" borderId="0" xfId="0" applyFont="1"/>
    <xf numFmtId="165" fontId="5" fillId="0" borderId="0" xfId="0" quotePrefix="1" applyNumberFormat="1" applyFont="1" applyAlignment="1">
      <alignment horizontal="left"/>
    </xf>
    <xf numFmtId="0" fontId="5" fillId="0" borderId="0" xfId="0" applyFont="1" applyAlignment="1">
      <alignment horizontal="left"/>
    </xf>
    <xf numFmtId="49" fontId="5" fillId="0" borderId="0" xfId="0" quotePrefix="1" applyNumberFormat="1" applyFont="1"/>
    <xf numFmtId="0" fontId="5" fillId="0" borderId="0" xfId="0" quotePrefix="1" applyNumberFormat="1" applyFont="1" applyAlignment="1">
      <alignment horizontal="left"/>
    </xf>
    <xf numFmtId="0" fontId="5" fillId="0" borderId="0" xfId="0" applyNumberFormat="1" applyFont="1" applyAlignment="1">
      <alignment horizontal="left"/>
    </xf>
    <xf numFmtId="0" fontId="3" fillId="30" borderId="0" xfId="0" applyFont="1" applyFill="1" applyBorder="1" applyAlignment="1">
      <alignment horizontal="center"/>
    </xf>
    <xf numFmtId="2" fontId="0" fillId="30" borderId="0" xfId="0" applyNumberFormat="1" applyFill="1" applyBorder="1"/>
    <xf numFmtId="0" fontId="3" fillId="30" borderId="0" xfId="0" applyFont="1" applyFill="1" applyBorder="1" applyAlignment="1"/>
    <xf numFmtId="164" fontId="13" fillId="30" borderId="14" xfId="0" applyNumberFormat="1" applyFont="1" applyFill="1" applyBorder="1" applyAlignment="1">
      <alignment horizontal="right"/>
    </xf>
    <xf numFmtId="164" fontId="0" fillId="30" borderId="14" xfId="0" applyNumberFormat="1" applyFill="1" applyBorder="1" applyAlignment="1">
      <alignment horizontal="right"/>
    </xf>
    <xf numFmtId="0" fontId="13" fillId="30" borderId="14" xfId="0" applyFont="1" applyFill="1" applyBorder="1"/>
    <xf numFmtId="2" fontId="0" fillId="30" borderId="14" xfId="0" applyNumberFormat="1" applyFill="1" applyBorder="1" applyAlignment="1">
      <alignment horizontal="center"/>
    </xf>
    <xf numFmtId="0" fontId="4" fillId="0" borderId="0" xfId="0" applyFont="1" applyAlignment="1">
      <alignment horizontal="center" vertical="center"/>
    </xf>
    <xf numFmtId="0" fontId="13" fillId="0" borderId="0" xfId="0" applyFont="1" applyAlignment="1">
      <alignment horizontal="right"/>
    </xf>
    <xf numFmtId="2" fontId="13" fillId="0" borderId="0" xfId="0" applyNumberFormat="1" applyFont="1" applyAlignment="1">
      <alignment horizontal="right"/>
    </xf>
    <xf numFmtId="2" fontId="64" fillId="0" borderId="0" xfId="0" applyNumberFormat="1" applyFont="1" applyBorder="1" applyAlignment="1">
      <alignment horizontal="center"/>
    </xf>
    <xf numFmtId="0" fontId="64" fillId="0" borderId="0" xfId="0" applyFont="1" applyAlignment="1">
      <alignment horizontal="center"/>
    </xf>
    <xf numFmtId="0" fontId="45" fillId="0" borderId="0" xfId="0" applyFont="1" applyProtection="1"/>
    <xf numFmtId="0" fontId="50" fillId="0" borderId="0" xfId="0" applyFont="1" applyProtection="1"/>
    <xf numFmtId="0" fontId="51" fillId="0" borderId="0" xfId="0" applyFont="1" applyProtection="1"/>
    <xf numFmtId="0" fontId="49" fillId="0" borderId="0" xfId="0" applyFont="1" applyProtection="1"/>
    <xf numFmtId="0" fontId="50" fillId="0" borderId="0" xfId="0" applyFont="1"/>
    <xf numFmtId="0" fontId="4" fillId="0" borderId="0" xfId="34" applyFont="1" applyFill="1" applyBorder="1" applyAlignment="1" applyProtection="1">
      <alignment vertical="center" wrapText="1"/>
      <protection locked="0"/>
    </xf>
    <xf numFmtId="0" fontId="13" fillId="0" borderId="0" xfId="0" applyFont="1" applyAlignment="1" applyProtection="1">
      <alignment horizontal="center"/>
      <protection locked="0"/>
    </xf>
    <xf numFmtId="166" fontId="4" fillId="24" borderId="13" xfId="0" applyNumberFormat="1" applyFont="1" applyFill="1" applyBorder="1" applyAlignment="1" applyProtection="1">
      <alignment horizontal="center" vertical="center" wrapText="1"/>
      <protection locked="0"/>
    </xf>
    <xf numFmtId="2" fontId="33" fillId="25" borderId="13" xfId="0" applyNumberFormat="1" applyFont="1" applyFill="1" applyBorder="1" applyAlignment="1" applyProtection="1">
      <alignment horizontal="center" vertical="center" wrapText="1"/>
      <protection hidden="1"/>
    </xf>
    <xf numFmtId="0" fontId="19" fillId="0" borderId="0" xfId="34" applyAlignment="1" applyProtection="1">
      <protection locked="0"/>
    </xf>
    <xf numFmtId="0" fontId="13" fillId="0" borderId="0" xfId="0" applyFont="1" applyAlignment="1" applyProtection="1">
      <alignment horizontal="center" vertical="center" wrapText="1"/>
    </xf>
    <xf numFmtId="167" fontId="5" fillId="0" borderId="0" xfId="0" applyNumberFormat="1" applyFont="1" applyAlignment="1">
      <alignment horizontal="center"/>
    </xf>
    <xf numFmtId="167" fontId="5" fillId="0" borderId="0" xfId="39" applyNumberFormat="1" applyFont="1"/>
    <xf numFmtId="0" fontId="67" fillId="0" borderId="0" xfId="46" applyFont="1"/>
    <xf numFmtId="0" fontId="2" fillId="0" borderId="0" xfId="46"/>
    <xf numFmtId="0" fontId="2" fillId="0" borderId="33" xfId="46" applyBorder="1"/>
    <xf numFmtId="0" fontId="68" fillId="0" borderId="0" xfId="46" applyFont="1" applyAlignment="1">
      <alignment horizontal="right" vertical="center" wrapText="1"/>
    </xf>
    <xf numFmtId="0" fontId="68" fillId="0" borderId="0" xfId="46" applyFont="1" applyAlignment="1">
      <alignment horizontal="left" vertical="center" wrapText="1"/>
    </xf>
    <xf numFmtId="0" fontId="68" fillId="0" borderId="33" xfId="46" applyFont="1" applyBorder="1" applyAlignment="1">
      <alignment horizontal="right" vertical="center" wrapText="1"/>
    </xf>
    <xf numFmtId="2" fontId="5" fillId="0" borderId="0" xfId="38" applyNumberFormat="1" applyFont="1" applyAlignment="1">
      <alignment horizontal="left"/>
    </xf>
    <xf numFmtId="2" fontId="5" fillId="0" borderId="0" xfId="38" applyNumberFormat="1" applyFont="1" applyAlignment="1">
      <alignment horizontal="center"/>
    </xf>
    <xf numFmtId="2" fontId="5" fillId="0" borderId="0" xfId="38" quotePrefix="1" applyNumberFormat="1" applyFont="1" applyAlignment="1">
      <alignment horizontal="center"/>
    </xf>
    <xf numFmtId="49" fontId="5" fillId="0" borderId="0" xfId="38" applyNumberFormat="1" applyFont="1" applyAlignment="1">
      <alignment horizontal="left"/>
    </xf>
    <xf numFmtId="4" fontId="5" fillId="0" borderId="0" xfId="38" applyNumberFormat="1" applyFont="1" applyAlignment="1">
      <alignment horizontal="center"/>
    </xf>
    <xf numFmtId="4" fontId="5" fillId="0" borderId="0" xfId="38" applyNumberFormat="1" applyFont="1" applyAlignment="1">
      <alignment horizontal="left"/>
    </xf>
    <xf numFmtId="2" fontId="32" fillId="32" borderId="13" xfId="0" applyNumberFormat="1" applyFont="1" applyFill="1" applyBorder="1" applyAlignment="1" applyProtection="1">
      <alignment horizontal="center" vertical="center"/>
    </xf>
    <xf numFmtId="166" fontId="4" fillId="36" borderId="13" xfId="0" applyNumberFormat="1" applyFont="1" applyFill="1" applyBorder="1" applyAlignment="1">
      <alignment horizontal="center" vertical="center" wrapText="1"/>
    </xf>
    <xf numFmtId="0" fontId="40" fillId="0" borderId="0" xfId="0" applyFont="1" applyFill="1"/>
    <xf numFmtId="0" fontId="69" fillId="0" borderId="0" xfId="0" applyFont="1" applyAlignment="1" applyProtection="1">
      <alignment horizontal="center" vertical="center"/>
    </xf>
    <xf numFmtId="2" fontId="27" fillId="37" borderId="0" xfId="0" applyNumberFormat="1" applyFont="1" applyFill="1" applyAlignment="1">
      <alignment horizontal="center"/>
    </xf>
    <xf numFmtId="0" fontId="42" fillId="0" borderId="0" xfId="0" applyFont="1" applyAlignment="1">
      <alignment horizontal="right"/>
    </xf>
    <xf numFmtId="1" fontId="42" fillId="0" borderId="0" xfId="0" applyNumberFormat="1" applyFont="1"/>
    <xf numFmtId="1" fontId="5" fillId="0" borderId="0" xfId="0" applyNumberFormat="1" applyFont="1"/>
    <xf numFmtId="4" fontId="71" fillId="0" borderId="0" xfId="0" applyNumberFormat="1" applyFont="1" applyAlignment="1">
      <alignment horizontal="center"/>
    </xf>
    <xf numFmtId="0" fontId="72" fillId="0" borderId="0" xfId="46" applyFont="1"/>
    <xf numFmtId="1" fontId="2" fillId="0" borderId="0" xfId="46" applyNumberFormat="1"/>
    <xf numFmtId="168" fontId="2" fillId="0" borderId="0" xfId="46" applyNumberFormat="1" applyAlignment="1">
      <alignment horizontal="center"/>
    </xf>
    <xf numFmtId="1" fontId="2" fillId="0" borderId="0" xfId="46" applyNumberFormat="1" applyAlignment="1">
      <alignment horizontal="center"/>
    </xf>
    <xf numFmtId="1" fontId="72" fillId="0" borderId="0" xfId="46" applyNumberFormat="1" applyFont="1"/>
    <xf numFmtId="168" fontId="72" fillId="0" borderId="0" xfId="46" applyNumberFormat="1" applyFont="1" applyAlignment="1">
      <alignment horizontal="center"/>
    </xf>
    <xf numFmtId="1" fontId="72" fillId="0" borderId="0" xfId="46" applyNumberFormat="1" applyFont="1" applyAlignment="1">
      <alignment horizontal="center"/>
    </xf>
    <xf numFmtId="169" fontId="72" fillId="0" borderId="0" xfId="46" applyNumberFormat="1" applyFont="1" applyAlignment="1">
      <alignment horizontal="center" vertical="center"/>
    </xf>
    <xf numFmtId="0" fontId="73" fillId="0" borderId="0" xfId="46" applyFont="1"/>
    <xf numFmtId="0" fontId="74" fillId="0" borderId="0" xfId="0" applyFont="1"/>
    <xf numFmtId="0" fontId="74" fillId="0" borderId="0" xfId="0" applyFont="1" applyBorder="1"/>
    <xf numFmtId="0" fontId="74" fillId="0" borderId="0" xfId="0" applyFont="1" applyProtection="1">
      <protection locked="0"/>
    </xf>
    <xf numFmtId="0" fontId="74" fillId="0" borderId="0" xfId="0" applyFont="1" applyAlignment="1" applyProtection="1">
      <alignment horizontal="center"/>
      <protection locked="0"/>
    </xf>
    <xf numFmtId="2" fontId="74" fillId="0" borderId="0" xfId="0" applyNumberFormat="1" applyFont="1" applyProtection="1">
      <protection locked="0"/>
    </xf>
    <xf numFmtId="0" fontId="76" fillId="38" borderId="12" xfId="0" applyFont="1" applyFill="1" applyBorder="1" applyAlignment="1">
      <alignment horizontal="center" vertical="center" wrapText="1"/>
    </xf>
    <xf numFmtId="0" fontId="76" fillId="38" borderId="22" xfId="0" applyFont="1" applyFill="1" applyBorder="1" applyAlignment="1">
      <alignment horizontal="center" vertical="center" wrapText="1"/>
    </xf>
    <xf numFmtId="0" fontId="76" fillId="0" borderId="12" xfId="0" applyFont="1" applyBorder="1" applyAlignment="1">
      <alignment vertical="center" wrapText="1"/>
    </xf>
    <xf numFmtId="0" fontId="76" fillId="39" borderId="22" xfId="0" applyFont="1" applyFill="1" applyBorder="1" applyAlignment="1">
      <alignment vertical="center" wrapText="1"/>
    </xf>
    <xf numFmtId="0" fontId="76" fillId="0" borderId="22" xfId="0" applyFont="1" applyBorder="1" applyAlignment="1">
      <alignment vertical="center" wrapText="1"/>
    </xf>
    <xf numFmtId="0" fontId="76" fillId="40" borderId="22" xfId="0" applyFont="1" applyFill="1" applyBorder="1" applyAlignment="1">
      <alignment vertical="center" wrapText="1"/>
    </xf>
    <xf numFmtId="0" fontId="76" fillId="41" borderId="12" xfId="0" applyFont="1" applyFill="1" applyBorder="1" applyAlignment="1">
      <alignment vertical="center" wrapText="1"/>
    </xf>
    <xf numFmtId="0" fontId="76" fillId="41" borderId="22" xfId="0" quotePrefix="1" applyFont="1" applyFill="1" applyBorder="1" applyAlignment="1">
      <alignment vertical="center" wrapText="1"/>
    </xf>
    <xf numFmtId="0" fontId="76" fillId="41" borderId="22" xfId="0" applyFont="1" applyFill="1" applyBorder="1" applyAlignment="1">
      <alignment vertical="center" wrapText="1"/>
    </xf>
    <xf numFmtId="0" fontId="76" fillId="42" borderId="12" xfId="0" applyFont="1" applyFill="1" applyBorder="1" applyAlignment="1">
      <alignment vertical="center" wrapText="1"/>
    </xf>
    <xf numFmtId="0" fontId="76" fillId="42" borderId="22" xfId="0" applyFont="1" applyFill="1" applyBorder="1" applyAlignment="1">
      <alignment vertical="center" wrapText="1"/>
    </xf>
    <xf numFmtId="0" fontId="76" fillId="43" borderId="12" xfId="0" applyFont="1" applyFill="1" applyBorder="1" applyAlignment="1">
      <alignment vertical="center" wrapText="1"/>
    </xf>
    <xf numFmtId="0" fontId="76" fillId="43" borderId="22" xfId="0" applyFont="1" applyFill="1" applyBorder="1" applyAlignment="1">
      <alignment vertical="center" wrapText="1"/>
    </xf>
    <xf numFmtId="0" fontId="2" fillId="43" borderId="0" xfId="46" applyFill="1"/>
    <xf numFmtId="0" fontId="2" fillId="43" borderId="33" xfId="46" applyFill="1" applyBorder="1"/>
    <xf numFmtId="0" fontId="2" fillId="42" borderId="0" xfId="46" applyFill="1"/>
    <xf numFmtId="0" fontId="2" fillId="42" borderId="33" xfId="46" applyFill="1" applyBorder="1"/>
    <xf numFmtId="0" fontId="2" fillId="41" borderId="0" xfId="46" applyFill="1"/>
    <xf numFmtId="0" fontId="2" fillId="41" borderId="33" xfId="46" applyFill="1" applyBorder="1"/>
    <xf numFmtId="0" fontId="2" fillId="40" borderId="0" xfId="46" applyFill="1"/>
    <xf numFmtId="0" fontId="64" fillId="0" borderId="0" xfId="0" quotePrefix="1" applyFont="1" applyAlignment="1" applyProtection="1">
      <alignment horizontal="center"/>
      <protection locked="0"/>
    </xf>
    <xf numFmtId="0" fontId="64" fillId="0" borderId="0" xfId="0" quotePrefix="1" applyFont="1" applyProtection="1">
      <protection locked="0"/>
    </xf>
    <xf numFmtId="0" fontId="64" fillId="0" borderId="0" xfId="0" applyFont="1" applyAlignment="1" applyProtection="1">
      <alignment horizontal="left"/>
      <protection locked="0"/>
    </xf>
    <xf numFmtId="0" fontId="64" fillId="0" borderId="0" xfId="0" applyFont="1" applyAlignment="1" applyProtection="1">
      <alignment horizontal="center"/>
      <protection locked="0"/>
    </xf>
    <xf numFmtId="2" fontId="64" fillId="0" borderId="0" xfId="0" applyNumberFormat="1" applyFont="1" applyProtection="1">
      <protection locked="0"/>
    </xf>
    <xf numFmtId="0" fontId="64" fillId="0" borderId="0" xfId="0" quotePrefix="1" applyFont="1"/>
    <xf numFmtId="0" fontId="64" fillId="0" borderId="0" xfId="0" applyFont="1" applyBorder="1"/>
    <xf numFmtId="0" fontId="6" fillId="31" borderId="19" xfId="34" applyFont="1" applyFill="1" applyBorder="1" applyAlignment="1" applyProtection="1">
      <alignment horizontal="center" vertical="center" wrapText="1"/>
      <protection locked="0"/>
    </xf>
    <xf numFmtId="0" fontId="6" fillId="31" borderId="20" xfId="34" applyFont="1" applyFill="1" applyBorder="1" applyAlignment="1" applyProtection="1">
      <alignment horizontal="center" vertical="center" wrapText="1"/>
      <protection locked="0"/>
    </xf>
    <xf numFmtId="0" fontId="6" fillId="31" borderId="32" xfId="34" applyFont="1" applyFill="1" applyBorder="1" applyAlignment="1" applyProtection="1">
      <alignment horizontal="center" vertical="center" wrapText="1"/>
      <protection locked="0"/>
    </xf>
    <xf numFmtId="0" fontId="6" fillId="31" borderId="17" xfId="34" applyFont="1" applyFill="1" applyBorder="1" applyAlignment="1" applyProtection="1">
      <alignment horizontal="center" vertical="center" wrapText="1"/>
      <protection locked="0"/>
    </xf>
    <xf numFmtId="0" fontId="6" fillId="31" borderId="21" xfId="34" applyFont="1" applyFill="1" applyBorder="1" applyAlignment="1" applyProtection="1">
      <alignment horizontal="center" vertical="center" wrapText="1"/>
      <protection locked="0"/>
    </xf>
    <xf numFmtId="0" fontId="6" fillId="31" borderId="22" xfId="34" applyFont="1" applyFill="1" applyBorder="1" applyAlignment="1" applyProtection="1">
      <alignment horizontal="center" vertical="center" wrapText="1"/>
      <protection locked="0"/>
    </xf>
    <xf numFmtId="0" fontId="66" fillId="31" borderId="19" xfId="34" applyFont="1" applyFill="1" applyBorder="1" applyAlignment="1" applyProtection="1">
      <alignment horizontal="center" vertical="center" wrapText="1"/>
      <protection locked="0"/>
    </xf>
    <xf numFmtId="0" fontId="66" fillId="31" borderId="20" xfId="34" applyFont="1" applyFill="1" applyBorder="1" applyAlignment="1" applyProtection="1">
      <alignment horizontal="center" vertical="center" wrapText="1"/>
      <protection locked="0"/>
    </xf>
    <xf numFmtId="0" fontId="66" fillId="31" borderId="32" xfId="34" applyFont="1" applyFill="1" applyBorder="1" applyAlignment="1" applyProtection="1">
      <alignment horizontal="center" vertical="center" wrapText="1"/>
      <protection locked="0"/>
    </xf>
    <xf numFmtId="0" fontId="66" fillId="31" borderId="17" xfId="34" applyFont="1" applyFill="1" applyBorder="1" applyAlignment="1" applyProtection="1">
      <alignment horizontal="center" vertical="center" wrapText="1"/>
      <protection locked="0"/>
    </xf>
    <xf numFmtId="0" fontId="66" fillId="31" borderId="21" xfId="34" applyFont="1" applyFill="1" applyBorder="1" applyAlignment="1" applyProtection="1">
      <alignment horizontal="center" vertical="center" wrapText="1"/>
      <protection locked="0"/>
    </xf>
    <xf numFmtId="0" fontId="66" fillId="31" borderId="22" xfId="34" applyFont="1" applyFill="1" applyBorder="1" applyAlignment="1" applyProtection="1">
      <alignment horizontal="center" vertical="center" wrapText="1"/>
      <protection locked="0"/>
    </xf>
    <xf numFmtId="0" fontId="70" fillId="0" borderId="0" xfId="0" applyFont="1" applyAlignment="1">
      <alignment horizontal="left" vertical="top" wrapText="1"/>
    </xf>
    <xf numFmtId="0" fontId="75" fillId="38" borderId="15" xfId="0" applyFont="1" applyFill="1" applyBorder="1" applyAlignment="1">
      <alignment horizontal="center" vertical="center" wrapText="1"/>
    </xf>
    <xf numFmtId="0" fontId="75" fillId="38" borderId="18" xfId="0" applyFont="1" applyFill="1" applyBorder="1" applyAlignment="1">
      <alignment horizontal="center" vertical="center" wrapText="1"/>
    </xf>
    <xf numFmtId="0" fontId="75" fillId="38" borderId="15" xfId="0" applyFont="1" applyFill="1" applyBorder="1" applyAlignment="1">
      <alignment vertical="center" wrapText="1"/>
    </xf>
    <xf numFmtId="0" fontId="75" fillId="38" borderId="18" xfId="0" applyFont="1" applyFill="1" applyBorder="1" applyAlignment="1">
      <alignment vertical="center" wrapText="1"/>
    </xf>
    <xf numFmtId="0" fontId="42" fillId="0" borderId="0" xfId="0" applyFont="1" applyAlignment="1">
      <alignment horizontal="left"/>
    </xf>
    <xf numFmtId="0" fontId="43" fillId="0" borderId="0" xfId="0" applyFont="1" applyAlignment="1" applyProtection="1">
      <alignment horizontal="left" vertical="center" wrapText="1"/>
    </xf>
    <xf numFmtId="0" fontId="43" fillId="0" borderId="0" xfId="0" applyFont="1" applyAlignment="1" applyProtection="1">
      <alignment horizontal="left" vertical="center"/>
    </xf>
    <xf numFmtId="0" fontId="33" fillId="28" borderId="15" xfId="0" applyFont="1" applyFill="1" applyBorder="1" applyAlignment="1" applyProtection="1">
      <alignment horizontal="center" vertical="center" wrapText="1"/>
    </xf>
    <xf numFmtId="0" fontId="33" fillId="28" borderId="16" xfId="0" applyFont="1" applyFill="1" applyBorder="1" applyAlignment="1" applyProtection="1">
      <alignment horizontal="center" vertical="center" wrapText="1"/>
    </xf>
    <xf numFmtId="0" fontId="54" fillId="0" borderId="0" xfId="0" applyFont="1" applyAlignment="1" applyProtection="1">
      <alignment horizontal="left" vertical="center" wrapText="1"/>
    </xf>
    <xf numFmtId="0" fontId="7" fillId="0" borderId="0" xfId="0" applyFont="1" applyAlignment="1" applyProtection="1"/>
    <xf numFmtId="0" fontId="48" fillId="0" borderId="0" xfId="0" applyFont="1" applyAlignment="1" applyProtection="1">
      <alignment horizontal="left" vertical="center" wrapText="1"/>
    </xf>
    <xf numFmtId="0" fontId="48" fillId="0" borderId="0" xfId="0" applyFont="1" applyAlignment="1" applyProtection="1"/>
    <xf numFmtId="0" fontId="7" fillId="0" borderId="0" xfId="0" applyFont="1" applyAlignment="1" applyProtection="1">
      <alignment wrapText="1"/>
    </xf>
    <xf numFmtId="0" fontId="66" fillId="31" borderId="10" xfId="34" applyFont="1" applyFill="1" applyBorder="1" applyAlignment="1" applyProtection="1">
      <alignment horizontal="center" vertical="center" wrapText="1"/>
      <protection locked="0"/>
    </xf>
    <xf numFmtId="0" fontId="66" fillId="31" borderId="11" xfId="34" applyFont="1" applyFill="1" applyBorder="1" applyAlignment="1" applyProtection="1">
      <alignment horizontal="center" vertical="center" wrapText="1"/>
      <protection locked="0"/>
    </xf>
    <xf numFmtId="0" fontId="66" fillId="31" borderId="12" xfId="34" applyFont="1" applyFill="1" applyBorder="1" applyAlignment="1" applyProtection="1">
      <alignment horizontal="center" vertical="center" wrapText="1"/>
      <protection locked="0"/>
    </xf>
    <xf numFmtId="2" fontId="66" fillId="31" borderId="10" xfId="34" applyNumberFormat="1" applyFont="1" applyFill="1" applyBorder="1" applyAlignment="1" applyProtection="1">
      <alignment horizontal="center" vertical="center" wrapText="1"/>
      <protection locked="0"/>
    </xf>
    <xf numFmtId="2" fontId="66" fillId="31" borderId="11" xfId="34" applyNumberFormat="1" applyFont="1" applyFill="1" applyBorder="1" applyAlignment="1" applyProtection="1">
      <alignment horizontal="center" vertical="center" wrapText="1"/>
      <protection locked="0"/>
    </xf>
    <xf numFmtId="2" fontId="66" fillId="31" borderId="12" xfId="34" applyNumberFormat="1" applyFont="1" applyFill="1" applyBorder="1" applyAlignment="1" applyProtection="1">
      <alignment horizontal="center" vertical="center" wrapText="1"/>
      <protection locked="0"/>
    </xf>
    <xf numFmtId="0" fontId="66" fillId="33" borderId="19" xfId="34" applyFont="1" applyFill="1" applyBorder="1" applyAlignment="1" applyProtection="1">
      <alignment horizontal="center" vertical="center" wrapText="1"/>
      <protection locked="0"/>
    </xf>
    <xf numFmtId="0" fontId="66" fillId="33" borderId="20" xfId="34" applyFont="1" applyFill="1" applyBorder="1" applyAlignment="1" applyProtection="1">
      <alignment horizontal="center" vertical="center" wrapText="1"/>
      <protection locked="0"/>
    </xf>
    <xf numFmtId="0" fontId="66" fillId="33" borderId="21" xfId="34" applyFont="1" applyFill="1" applyBorder="1" applyAlignment="1" applyProtection="1">
      <alignment horizontal="center" vertical="center" wrapText="1"/>
      <protection locked="0"/>
    </xf>
    <xf numFmtId="0" fontId="66" fillId="33" borderId="22" xfId="34" applyFont="1" applyFill="1" applyBorder="1" applyAlignment="1" applyProtection="1">
      <alignment horizontal="center" vertical="center" wrapText="1"/>
      <protection locked="0"/>
    </xf>
    <xf numFmtId="0" fontId="7" fillId="31" borderId="15" xfId="0" applyFont="1" applyFill="1" applyBorder="1" applyAlignment="1">
      <alignment horizontal="center"/>
    </xf>
    <xf numFmtId="0" fontId="7" fillId="31" borderId="18" xfId="0" applyFont="1" applyFill="1" applyBorder="1" applyAlignment="1">
      <alignment horizontal="center"/>
    </xf>
    <xf numFmtId="2" fontId="4" fillId="29" borderId="19" xfId="0" applyNumberFormat="1" applyFont="1" applyFill="1" applyBorder="1" applyAlignment="1">
      <alignment horizontal="center" vertical="center" wrapText="1"/>
    </xf>
    <xf numFmtId="2" fontId="4" fillId="29" borderId="23" xfId="0" applyNumberFormat="1" applyFont="1" applyFill="1" applyBorder="1" applyAlignment="1">
      <alignment horizontal="center" vertical="center" wrapText="1"/>
    </xf>
    <xf numFmtId="2" fontId="4" fillId="29" borderId="20" xfId="0" applyNumberFormat="1" applyFont="1" applyFill="1" applyBorder="1" applyAlignment="1">
      <alignment horizontal="center" vertical="center" wrapText="1"/>
    </xf>
    <xf numFmtId="2" fontId="4" fillId="29" borderId="21" xfId="0" applyNumberFormat="1" applyFont="1" applyFill="1" applyBorder="1" applyAlignment="1">
      <alignment horizontal="center" vertical="center" wrapText="1"/>
    </xf>
    <xf numFmtId="2" fontId="4" fillId="29" borderId="24" xfId="0" applyNumberFormat="1" applyFont="1" applyFill="1" applyBorder="1" applyAlignment="1">
      <alignment horizontal="center" vertical="center" wrapText="1"/>
    </xf>
    <xf numFmtId="2" fontId="4" fillId="29" borderId="22" xfId="0" applyNumberFormat="1" applyFont="1" applyFill="1" applyBorder="1" applyAlignment="1">
      <alignment horizontal="center" vertical="center" wrapText="1"/>
    </xf>
    <xf numFmtId="166" fontId="4" fillId="29" borderId="19" xfId="0" applyNumberFormat="1" applyFont="1" applyFill="1" applyBorder="1" applyAlignment="1">
      <alignment horizontal="center" vertical="center" wrapText="1"/>
    </xf>
    <xf numFmtId="166" fontId="4" fillId="29" borderId="23" xfId="0" applyNumberFormat="1" applyFont="1" applyFill="1" applyBorder="1" applyAlignment="1">
      <alignment horizontal="center" vertical="center" wrapText="1"/>
    </xf>
    <xf numFmtId="166" fontId="4" fillId="29" borderId="20" xfId="0" applyNumberFormat="1" applyFont="1" applyFill="1" applyBorder="1" applyAlignment="1">
      <alignment horizontal="center" vertical="center" wrapText="1"/>
    </xf>
    <xf numFmtId="166" fontId="4" fillId="29" borderId="21" xfId="0" applyNumberFormat="1" applyFont="1" applyFill="1" applyBorder="1" applyAlignment="1">
      <alignment horizontal="center" vertical="center" wrapText="1"/>
    </xf>
    <xf numFmtId="166" fontId="4" fillId="29" borderId="24" xfId="0" applyNumberFormat="1" applyFont="1" applyFill="1" applyBorder="1" applyAlignment="1">
      <alignment horizontal="center" vertical="center" wrapText="1"/>
    </xf>
    <xf numFmtId="166" fontId="4" fillId="29" borderId="22" xfId="0" applyNumberFormat="1" applyFont="1" applyFill="1" applyBorder="1" applyAlignment="1">
      <alignment horizontal="center" vertical="center" wrapText="1"/>
    </xf>
    <xf numFmtId="0" fontId="48" fillId="0" borderId="0" xfId="0" applyFont="1" applyAlignment="1">
      <alignment vertical="center" wrapText="1"/>
    </xf>
    <xf numFmtId="0" fontId="7" fillId="0" borderId="0" xfId="0" applyFont="1" applyAlignment="1"/>
    <xf numFmtId="2" fontId="33" fillId="25" borderId="15" xfId="0" applyNumberFormat="1" applyFont="1" applyFill="1" applyBorder="1" applyAlignment="1" applyProtection="1">
      <alignment horizontal="center" vertical="center" wrapText="1"/>
      <protection locked="0" hidden="1"/>
    </xf>
    <xf numFmtId="2" fontId="33" fillId="25" borderId="16" xfId="0" applyNumberFormat="1" applyFont="1" applyFill="1" applyBorder="1" applyAlignment="1" applyProtection="1">
      <alignment horizontal="center" vertical="center" wrapText="1"/>
      <protection locked="0" hidden="1"/>
    </xf>
    <xf numFmtId="2" fontId="33" fillId="25" borderId="18" xfId="0" applyNumberFormat="1" applyFont="1" applyFill="1" applyBorder="1" applyAlignment="1" applyProtection="1">
      <alignment horizontal="center" vertical="center" wrapText="1"/>
      <protection locked="0" hidden="1"/>
    </xf>
    <xf numFmtId="0" fontId="4" fillId="24" borderId="15" xfId="0" applyFont="1" applyFill="1" applyBorder="1" applyAlignment="1" applyProtection="1">
      <alignment horizontal="center" vertical="center" wrapText="1"/>
      <protection locked="0"/>
    </xf>
    <xf numFmtId="0" fontId="0" fillId="0" borderId="16" xfId="0" applyBorder="1" applyAlignment="1" applyProtection="1">
      <alignment vertical="center" wrapText="1"/>
      <protection locked="0"/>
    </xf>
    <xf numFmtId="0" fontId="0" fillId="0" borderId="18" xfId="0" applyBorder="1" applyAlignment="1" applyProtection="1">
      <alignment vertical="center" wrapText="1"/>
      <protection locked="0"/>
    </xf>
    <xf numFmtId="0" fontId="3" fillId="0" borderId="14" xfId="0" applyFont="1" applyBorder="1" applyAlignment="1">
      <alignment horizontal="center" vertical="center"/>
    </xf>
    <xf numFmtId="164" fontId="4" fillId="26" borderId="10" xfId="0" applyNumberFormat="1" applyFont="1" applyFill="1" applyBorder="1" applyAlignment="1" applyProtection="1">
      <alignment horizontal="center" vertical="center"/>
    </xf>
    <xf numFmtId="164" fontId="4" fillId="26" borderId="12" xfId="0" applyNumberFormat="1" applyFont="1" applyFill="1" applyBorder="1" applyAlignment="1" applyProtection="1">
      <alignment horizontal="center" vertical="center"/>
    </xf>
    <xf numFmtId="0" fontId="54" fillId="0" borderId="0" xfId="0" applyFont="1" applyAlignment="1">
      <alignment horizontal="left" vertical="center" wrapText="1"/>
    </xf>
    <xf numFmtId="0" fontId="54" fillId="0" borderId="17" xfId="0" applyFont="1" applyBorder="1" applyAlignment="1">
      <alignment horizontal="left" vertical="center" wrapText="1"/>
    </xf>
    <xf numFmtId="0" fontId="0" fillId="34" borderId="15" xfId="0" applyFill="1" applyBorder="1" applyAlignment="1">
      <alignment horizontal="center"/>
    </xf>
    <xf numFmtId="0" fontId="0" fillId="34" borderId="18" xfId="0" applyFill="1" applyBorder="1" applyAlignment="1">
      <alignment horizontal="center"/>
    </xf>
    <xf numFmtId="0" fontId="0" fillId="32" borderId="15" xfId="0" applyFill="1" applyBorder="1" applyAlignment="1">
      <alignment horizontal="center"/>
    </xf>
    <xf numFmtId="0" fontId="0" fillId="32" borderId="18" xfId="0" applyFill="1" applyBorder="1" applyAlignment="1">
      <alignment horizontal="center"/>
    </xf>
    <xf numFmtId="0" fontId="0" fillId="29" borderId="15" xfId="0" applyFill="1" applyBorder="1" applyAlignment="1">
      <alignment horizontal="center"/>
    </xf>
    <xf numFmtId="0" fontId="0" fillId="29" borderId="18" xfId="0" applyFill="1" applyBorder="1" applyAlignment="1">
      <alignment horizontal="center"/>
    </xf>
    <xf numFmtId="166" fontId="4" fillId="24" borderId="19" xfId="0" applyNumberFormat="1" applyFont="1" applyFill="1" applyBorder="1" applyAlignment="1" applyProtection="1">
      <alignment horizontal="center" vertical="center" wrapText="1"/>
      <protection locked="0"/>
    </xf>
    <xf numFmtId="166" fontId="4" fillId="24" borderId="23" xfId="0" applyNumberFormat="1" applyFont="1" applyFill="1" applyBorder="1" applyAlignment="1" applyProtection="1">
      <alignment horizontal="center" vertical="center" wrapText="1"/>
      <protection locked="0"/>
    </xf>
    <xf numFmtId="166" fontId="4" fillId="24" borderId="20" xfId="0" applyNumberFormat="1" applyFont="1" applyFill="1" applyBorder="1" applyAlignment="1" applyProtection="1">
      <alignment horizontal="center" vertical="center" wrapText="1"/>
      <protection locked="0"/>
    </xf>
    <xf numFmtId="166" fontId="4" fillId="24" borderId="21" xfId="0" applyNumberFormat="1" applyFont="1" applyFill="1" applyBorder="1" applyAlignment="1" applyProtection="1">
      <alignment horizontal="center" vertical="center" wrapText="1"/>
      <protection locked="0"/>
    </xf>
    <xf numFmtId="166" fontId="4" fillId="24" borderId="24" xfId="0" applyNumberFormat="1" applyFont="1" applyFill="1" applyBorder="1" applyAlignment="1" applyProtection="1">
      <alignment horizontal="center" vertical="center" wrapText="1"/>
      <protection locked="0"/>
    </xf>
    <xf numFmtId="166" fontId="4" fillId="24" borderId="22" xfId="0" applyNumberFormat="1" applyFont="1" applyFill="1" applyBorder="1" applyAlignment="1" applyProtection="1">
      <alignment horizontal="center" vertical="center" wrapText="1"/>
      <protection locked="0"/>
    </xf>
    <xf numFmtId="0" fontId="38" fillId="35" borderId="15" xfId="0" applyFont="1" applyFill="1" applyBorder="1" applyAlignment="1">
      <alignment horizontal="center"/>
    </xf>
    <xf numFmtId="0" fontId="38" fillId="35" borderId="18" xfId="0" applyFont="1" applyFill="1" applyBorder="1" applyAlignment="1">
      <alignment horizontal="center"/>
    </xf>
    <xf numFmtId="0" fontId="19" fillId="33" borderId="19" xfId="34" applyFill="1" applyBorder="1" applyAlignment="1" applyProtection="1">
      <alignment horizontal="center" vertical="center" wrapText="1"/>
      <protection locked="0"/>
    </xf>
    <xf numFmtId="0" fontId="19" fillId="33" borderId="20" xfId="34" applyFill="1" applyBorder="1" applyAlignment="1" applyProtection="1">
      <alignment horizontal="center" vertical="center" wrapText="1"/>
      <protection locked="0"/>
    </xf>
    <xf numFmtId="0" fontId="19" fillId="33" borderId="21" xfId="34" applyFill="1" applyBorder="1" applyAlignment="1" applyProtection="1">
      <alignment horizontal="center" vertical="center" wrapText="1"/>
      <protection locked="0"/>
    </xf>
    <xf numFmtId="0" fontId="19" fillId="33" borderId="22" xfId="34" applyFill="1" applyBorder="1" applyAlignment="1" applyProtection="1">
      <alignment horizontal="center" vertical="center" wrapText="1"/>
      <protection locked="0"/>
    </xf>
    <xf numFmtId="0" fontId="57" fillId="0" borderId="0" xfId="0" applyFont="1" applyAlignment="1">
      <alignment horizontal="center" wrapText="1"/>
    </xf>
    <xf numFmtId="0" fontId="7" fillId="33" borderId="15" xfId="0" applyFont="1" applyFill="1" applyBorder="1" applyAlignment="1">
      <alignment horizontal="center"/>
    </xf>
    <xf numFmtId="0" fontId="7" fillId="33" borderId="18" xfId="0" applyFont="1" applyFill="1" applyBorder="1" applyAlignment="1">
      <alignment horizontal="center"/>
    </xf>
    <xf numFmtId="0" fontId="4" fillId="31" borderId="19" xfId="34" applyFont="1" applyFill="1" applyBorder="1" applyAlignment="1" applyProtection="1">
      <alignment horizontal="center" vertical="center" wrapText="1"/>
      <protection locked="0"/>
    </xf>
    <xf numFmtId="0" fontId="4" fillId="31" borderId="23" xfId="34" applyFont="1" applyFill="1" applyBorder="1" applyAlignment="1" applyProtection="1">
      <alignment horizontal="center" vertical="center" wrapText="1"/>
      <protection locked="0"/>
    </xf>
    <xf numFmtId="0" fontId="4" fillId="31" borderId="20" xfId="34" applyFont="1" applyFill="1" applyBorder="1" applyAlignment="1" applyProtection="1">
      <alignment horizontal="center" vertical="center" wrapText="1"/>
      <protection locked="0"/>
    </xf>
    <xf numFmtId="0" fontId="4" fillId="31" borderId="21" xfId="34" applyFont="1" applyFill="1" applyBorder="1" applyAlignment="1" applyProtection="1">
      <alignment horizontal="center" vertical="center" wrapText="1"/>
      <protection locked="0"/>
    </xf>
    <xf numFmtId="0" fontId="4" fillId="31" borderId="24" xfId="34" applyFont="1" applyFill="1" applyBorder="1" applyAlignment="1" applyProtection="1">
      <alignment horizontal="center" vertical="center" wrapText="1"/>
      <protection locked="0"/>
    </xf>
    <xf numFmtId="0" fontId="4" fillId="31" borderId="22" xfId="34" applyFont="1" applyFill="1" applyBorder="1" applyAlignment="1" applyProtection="1">
      <alignment horizontal="center" vertical="center" wrapText="1"/>
      <protection locked="0"/>
    </xf>
    <xf numFmtId="0" fontId="0" fillId="24" borderId="15" xfId="0" applyFill="1" applyBorder="1" applyAlignment="1">
      <alignment horizontal="center"/>
    </xf>
    <xf numFmtId="0" fontId="0" fillId="24" borderId="18" xfId="0" applyFill="1" applyBorder="1" applyAlignment="1">
      <alignment horizontal="center"/>
    </xf>
    <xf numFmtId="0" fontId="0" fillId="36" borderId="15" xfId="0" applyFill="1" applyBorder="1" applyAlignment="1">
      <alignment horizontal="center"/>
    </xf>
    <xf numFmtId="0" fontId="0" fillId="36" borderId="18" xfId="0" applyFill="1" applyBorder="1" applyAlignment="1">
      <alignment horizontal="center"/>
    </xf>
    <xf numFmtId="0" fontId="38" fillId="25" borderId="15" xfId="0" applyFont="1" applyFill="1" applyBorder="1" applyAlignment="1">
      <alignment horizontal="center"/>
    </xf>
    <xf numFmtId="0" fontId="38" fillId="25" borderId="18" xfId="0" applyFont="1" applyFill="1" applyBorder="1" applyAlignment="1">
      <alignment horizontal="center"/>
    </xf>
    <xf numFmtId="0" fontId="3" fillId="30" borderId="30" xfId="0" applyFont="1" applyFill="1" applyBorder="1" applyAlignment="1">
      <alignment horizontal="center" vertical="center" wrapText="1"/>
    </xf>
    <xf numFmtId="0" fontId="3" fillId="30" borderId="31" xfId="0" applyFont="1" applyFill="1" applyBorder="1" applyAlignment="1">
      <alignment horizontal="center" vertical="center" wrapText="1"/>
    </xf>
    <xf numFmtId="0" fontId="3" fillId="30" borderId="25" xfId="0" applyFont="1" applyFill="1" applyBorder="1" applyAlignment="1">
      <alignment horizontal="center"/>
    </xf>
    <xf numFmtId="0" fontId="66" fillId="31" borderId="23" xfId="34" applyFont="1" applyFill="1" applyBorder="1" applyAlignment="1" applyProtection="1">
      <alignment horizontal="center" vertical="center" wrapText="1"/>
      <protection locked="0"/>
    </xf>
    <xf numFmtId="0" fontId="66" fillId="31" borderId="24" xfId="34" applyFont="1" applyFill="1" applyBorder="1" applyAlignment="1" applyProtection="1">
      <alignment horizontal="center" vertical="center" wrapText="1"/>
      <protection locked="0"/>
    </xf>
    <xf numFmtId="0" fontId="3" fillId="30" borderId="26" xfId="0" applyFont="1" applyFill="1" applyBorder="1" applyAlignment="1">
      <alignment horizontal="center" vertical="center"/>
    </xf>
    <xf numFmtId="0" fontId="3" fillId="30" borderId="27" xfId="0" applyFont="1" applyFill="1" applyBorder="1" applyAlignment="1">
      <alignment horizontal="center" vertical="center"/>
    </xf>
    <xf numFmtId="0" fontId="3" fillId="30" borderId="28" xfId="0" applyFont="1" applyFill="1" applyBorder="1" applyAlignment="1">
      <alignment horizontal="center" vertical="center"/>
    </xf>
    <xf numFmtId="0" fontId="13" fillId="30" borderId="29" xfId="0" applyFont="1" applyFill="1" applyBorder="1" applyAlignment="1">
      <alignment horizontal="center" vertical="top" wrapText="1"/>
    </xf>
    <xf numFmtId="0" fontId="13" fillId="30" borderId="0" xfId="0" applyFont="1" applyFill="1" applyBorder="1" applyAlignment="1">
      <alignment horizontal="center" vertical="top" wrapText="1"/>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rmal 3" xfId="46" xr:uid="{00000000-0005-0000-0000-000027000000}"/>
    <cellStyle name="Normal 4" xfId="47" xr:uid="{00000000-0005-0000-0000-000028000000}"/>
    <cellStyle name="Normal_KS2 Fine grades 2000 (version 1)" xfId="39" xr:uid="{00000000-0005-0000-0000-000029000000}"/>
    <cellStyle name="Note" xfId="40" builtinId="10" customBuiltin="1"/>
    <cellStyle name="Output" xfId="41" builtinId="21" customBuiltin="1"/>
    <cellStyle name="Percent 2" xfId="42" xr:uid="{00000000-0005-0000-0000-00002C000000}"/>
    <cellStyle name="Title" xfId="43" builtinId="15" customBuiltin="1"/>
    <cellStyle name="Total" xfId="44" builtinId="25" customBuiltin="1"/>
    <cellStyle name="Warning Text" xfId="45" builtinId="11" customBuiltin="1"/>
  </cellStyles>
  <dxfs count="7">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s>
  <tableStyles count="0" defaultTableStyle="TableStyleMedium2" defaultPivotStyle="PivotStyleLight16"/>
  <colors>
    <mruColors>
      <color rgb="FF33CCCC"/>
      <color rgb="FF00CCFF"/>
      <color rgb="FF000080"/>
      <color rgb="FF99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7961186335219698"/>
          <c:y val="7.7562431779172145E-2"/>
          <c:w val="0.74514651417735767"/>
          <c:h val="0.68144136491701235"/>
        </c:manualLayout>
      </c:layout>
      <c:scatterChart>
        <c:scatterStyle val="lineMarker"/>
        <c:varyColors val="0"/>
        <c:ser>
          <c:idx val="0"/>
          <c:order val="0"/>
          <c:tx>
            <c:v>Line</c:v>
          </c:tx>
          <c:spPr>
            <a:ln w="25400">
              <a:solidFill>
                <a:srgbClr val="000080"/>
              </a:solidFill>
              <a:prstDash val="solid"/>
            </a:ln>
          </c:spPr>
          <c:marker>
            <c:symbol val="diamond"/>
            <c:size val="7"/>
            <c:spPr>
              <a:solidFill>
                <a:srgbClr val="000080"/>
              </a:solidFill>
              <a:ln>
                <a:solidFill>
                  <a:srgbClr val="000080"/>
                </a:solidFill>
                <a:prstDash val="solid"/>
              </a:ln>
            </c:spPr>
          </c:marker>
          <c:xVal>
            <c:numRef>
              <c:f>('Chart Data'!$C$9,'Chart Data'!$C$10)</c:f>
              <c:numCache>
                <c:formatCode>General</c:formatCode>
                <c:ptCount val="2"/>
                <c:pt idx="0">
                  <c:v>0</c:v>
                </c:pt>
                <c:pt idx="1">
                  <c:v>15</c:v>
                </c:pt>
              </c:numCache>
            </c:numRef>
          </c:xVal>
          <c:yVal>
            <c:numRef>
              <c:f>('Chart Data'!$D$9,'Chart Data'!$D$10)</c:f>
              <c:numCache>
                <c:formatCode>General</c:formatCode>
                <c:ptCount val="2"/>
                <c:pt idx="0">
                  <c:v>0</c:v>
                </c:pt>
                <c:pt idx="1">
                  <c:v>15</c:v>
                </c:pt>
              </c:numCache>
            </c:numRef>
          </c:yVal>
          <c:smooth val="0"/>
          <c:extLst>
            <c:ext xmlns:c16="http://schemas.microsoft.com/office/drawing/2014/chart" uri="{C3380CC4-5D6E-409C-BE32-E72D297353CC}">
              <c16:uniqueId val="{00000000-E425-4CDE-9540-5C5A6FDF75E1}"/>
            </c:ext>
          </c:extLst>
        </c:ser>
        <c:ser>
          <c:idx val="3"/>
          <c:order val="1"/>
          <c:tx>
            <c:v>Pupil</c:v>
          </c:tx>
          <c:spPr>
            <a:ln w="28575">
              <a:noFill/>
            </a:ln>
          </c:spPr>
          <c:marker>
            <c:symbol val="circle"/>
            <c:size val="7"/>
            <c:spPr>
              <a:solidFill>
                <a:srgbClr val="FF00FF"/>
              </a:solidFill>
              <a:ln>
                <a:solidFill>
                  <a:srgbClr val="FF00FF"/>
                </a:solidFill>
                <a:prstDash val="solid"/>
              </a:ln>
            </c:spPr>
          </c:marker>
          <c:xVal>
            <c:strRef>
              <c:f>'Single Measure Ready Reckoner'!$G$25</c:f>
              <c:strCache>
                <c:ptCount val="1"/>
                <c:pt idx="0">
                  <c:v>-</c:v>
                </c:pt>
              </c:strCache>
            </c:strRef>
          </c:xVal>
          <c:yVal>
            <c:numRef>
              <c:f>'Single Measure Ready Reckoner'!$G$13</c:f>
              <c:numCache>
                <c:formatCode>0.00" Points"</c:formatCode>
                <c:ptCount val="1"/>
              </c:numCache>
            </c:numRef>
          </c:yVal>
          <c:smooth val="0"/>
          <c:extLst>
            <c:ext xmlns:c16="http://schemas.microsoft.com/office/drawing/2014/chart" uri="{C3380CC4-5D6E-409C-BE32-E72D297353CC}">
              <c16:uniqueId val="{00000001-E425-4CDE-9540-5C5A6FDF75E1}"/>
            </c:ext>
          </c:extLst>
        </c:ser>
        <c:dLbls>
          <c:showLegendKey val="0"/>
          <c:showVal val="0"/>
          <c:showCatName val="0"/>
          <c:showSerName val="0"/>
          <c:showPercent val="0"/>
          <c:showBubbleSize val="0"/>
        </c:dLbls>
        <c:axId val="330710736"/>
        <c:axId val="1"/>
      </c:scatterChart>
      <c:valAx>
        <c:axId val="330710736"/>
        <c:scaling>
          <c:orientation val="minMax"/>
          <c:max val="10"/>
          <c:min val="0"/>
        </c:scaling>
        <c:delete val="0"/>
        <c:axPos val="b"/>
        <c:majorGridlines>
          <c:spPr>
            <a:ln w="3175">
              <a:solidFill>
                <a:srgbClr val="C0C0C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GB"/>
                  <a:t>Estimated KS4 Outcome</a:t>
                </a:r>
              </a:p>
            </c:rich>
          </c:tx>
          <c:layout>
            <c:manualLayout>
              <c:xMode val="edge"/>
              <c:yMode val="edge"/>
              <c:x val="0.27427209948271031"/>
              <c:y val="0.847646592652372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1"/>
      </c:valAx>
      <c:valAx>
        <c:axId val="1"/>
        <c:scaling>
          <c:orientation val="minMax"/>
          <c:max val="10"/>
          <c:min val="0"/>
        </c:scaling>
        <c:delete val="0"/>
        <c:axPos val="l"/>
        <c:majorGridlines>
          <c:spPr>
            <a:ln w="3175">
              <a:solidFill>
                <a:srgbClr val="C0C0C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GB"/>
                  <a:t>Actual KS4 Outcome</a:t>
                </a:r>
              </a:p>
            </c:rich>
          </c:tx>
          <c:layout>
            <c:manualLayout>
              <c:xMode val="edge"/>
              <c:yMode val="edge"/>
              <c:x val="1.2135922330097087E-2"/>
              <c:y val="0.185595858689408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30710736"/>
        <c:crosses val="autoZero"/>
        <c:crossBetween val="midCat"/>
        <c:majorUnit val="1"/>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961186335219698"/>
          <c:y val="7.7562431779172145E-2"/>
          <c:w val="0.74514651417735767"/>
          <c:h val="0.68144136491701235"/>
        </c:manualLayout>
      </c:layout>
      <c:scatterChart>
        <c:scatterStyle val="lineMarker"/>
        <c:varyColors val="0"/>
        <c:ser>
          <c:idx val="0"/>
          <c:order val="0"/>
          <c:tx>
            <c:v>Line</c:v>
          </c:tx>
          <c:spPr>
            <a:ln w="25400">
              <a:solidFill>
                <a:srgbClr val="000080"/>
              </a:solidFill>
              <a:prstDash val="solid"/>
            </a:ln>
          </c:spPr>
          <c:marker>
            <c:symbol val="diamond"/>
            <c:size val="7"/>
            <c:spPr>
              <a:solidFill>
                <a:srgbClr val="000080"/>
              </a:solidFill>
              <a:ln>
                <a:solidFill>
                  <a:srgbClr val="000080"/>
                </a:solidFill>
                <a:prstDash val="solid"/>
              </a:ln>
            </c:spPr>
          </c:marker>
          <c:xVal>
            <c:numRef>
              <c:f>('Chart Data'!$C$9,'Chart Data'!$C$10)</c:f>
              <c:numCache>
                <c:formatCode>General</c:formatCode>
                <c:ptCount val="2"/>
                <c:pt idx="0">
                  <c:v>0</c:v>
                </c:pt>
                <c:pt idx="1">
                  <c:v>15</c:v>
                </c:pt>
              </c:numCache>
            </c:numRef>
          </c:xVal>
          <c:yVal>
            <c:numRef>
              <c:f>('Chart Data'!$D$9,'Chart Data'!$D$10)</c:f>
              <c:numCache>
                <c:formatCode>General</c:formatCode>
                <c:ptCount val="2"/>
                <c:pt idx="0">
                  <c:v>0</c:v>
                </c:pt>
                <c:pt idx="1">
                  <c:v>15</c:v>
                </c:pt>
              </c:numCache>
            </c:numRef>
          </c:yVal>
          <c:smooth val="0"/>
          <c:extLst>
            <c:ext xmlns:c16="http://schemas.microsoft.com/office/drawing/2014/chart" uri="{C3380CC4-5D6E-409C-BE32-E72D297353CC}">
              <c16:uniqueId val="{00000000-4DBB-4DB2-BC31-221D15C5FC8D}"/>
            </c:ext>
          </c:extLst>
        </c:ser>
        <c:ser>
          <c:idx val="3"/>
          <c:order val="1"/>
          <c:tx>
            <c:v>Pupil</c:v>
          </c:tx>
          <c:spPr>
            <a:ln w="28575">
              <a:noFill/>
            </a:ln>
          </c:spPr>
          <c:marker>
            <c:symbol val="circle"/>
            <c:size val="7"/>
            <c:spPr>
              <a:solidFill>
                <a:srgbClr val="FF00FF"/>
              </a:solidFill>
              <a:ln>
                <a:solidFill>
                  <a:srgbClr val="FF00FF"/>
                </a:solidFill>
                <a:prstDash val="solid"/>
              </a:ln>
            </c:spPr>
          </c:marker>
          <c:xVal>
            <c:strRef>
              <c:f>'Single Measure Ready Reckoner'!$G$25</c:f>
              <c:strCache>
                <c:ptCount val="1"/>
                <c:pt idx="0">
                  <c:v>-</c:v>
                </c:pt>
              </c:strCache>
            </c:strRef>
          </c:xVal>
          <c:yVal>
            <c:numRef>
              <c:f>'Single Measure Ready Reckoner'!$G$13</c:f>
              <c:numCache>
                <c:formatCode>0.00" Points"</c:formatCode>
                <c:ptCount val="1"/>
              </c:numCache>
            </c:numRef>
          </c:yVal>
          <c:smooth val="0"/>
          <c:extLst>
            <c:ext xmlns:c16="http://schemas.microsoft.com/office/drawing/2014/chart" uri="{C3380CC4-5D6E-409C-BE32-E72D297353CC}">
              <c16:uniqueId val="{00000001-4DBB-4DB2-BC31-221D15C5FC8D}"/>
            </c:ext>
          </c:extLst>
        </c:ser>
        <c:dLbls>
          <c:showLegendKey val="0"/>
          <c:showVal val="0"/>
          <c:showCatName val="0"/>
          <c:showSerName val="0"/>
          <c:showPercent val="0"/>
          <c:showBubbleSize val="0"/>
        </c:dLbls>
        <c:axId val="330710736"/>
        <c:axId val="1"/>
      </c:scatterChart>
      <c:valAx>
        <c:axId val="330710736"/>
        <c:scaling>
          <c:orientation val="minMax"/>
          <c:max val="10"/>
          <c:min val="0"/>
        </c:scaling>
        <c:delete val="0"/>
        <c:axPos val="b"/>
        <c:majorGridlines>
          <c:spPr>
            <a:ln w="3175">
              <a:solidFill>
                <a:srgbClr val="C0C0C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GB"/>
                  <a:t>Estimated KS4 Outcome</a:t>
                </a:r>
              </a:p>
            </c:rich>
          </c:tx>
          <c:layout>
            <c:manualLayout>
              <c:xMode val="edge"/>
              <c:yMode val="edge"/>
              <c:x val="0.27427209948271031"/>
              <c:y val="0.847646592652372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1"/>
      </c:valAx>
      <c:valAx>
        <c:axId val="1"/>
        <c:scaling>
          <c:orientation val="minMax"/>
          <c:max val="10"/>
          <c:min val="0"/>
        </c:scaling>
        <c:delete val="0"/>
        <c:axPos val="l"/>
        <c:majorGridlines>
          <c:spPr>
            <a:ln w="3175">
              <a:solidFill>
                <a:srgbClr val="C0C0C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GB"/>
                  <a:t>Actual KS4 Outcome</a:t>
                </a:r>
              </a:p>
            </c:rich>
          </c:tx>
          <c:layout>
            <c:manualLayout>
              <c:xMode val="edge"/>
              <c:yMode val="edge"/>
              <c:x val="1.2135922330097087E-2"/>
              <c:y val="0.185595858689408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30710736"/>
        <c:crosses val="autoZero"/>
        <c:crossBetween val="midCat"/>
        <c:majorUnit val="1"/>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276225</xdr:colOff>
      <xdr:row>24</xdr:row>
      <xdr:rowOff>44903</xdr:rowOff>
    </xdr:from>
    <xdr:to>
      <xdr:col>16</xdr:col>
      <xdr:colOff>771525</xdr:colOff>
      <xdr:row>24</xdr:row>
      <xdr:rowOff>1249135</xdr:rowOff>
    </xdr:to>
    <xdr:pic>
      <xdr:nvPicPr>
        <xdr:cNvPr id="739137" name="Picture 1" descr="This illustrates to users how to select the key stage 2 to 4 English Baccalaureate progress measure they want to view in the Single Measures Ready Reckoner sheet of the tool" title="Which progress measure">
          <a:extLst>
            <a:ext uri="{FF2B5EF4-FFF2-40B4-BE49-F238E27FC236}">
              <a16:creationId xmlns:a16="http://schemas.microsoft.com/office/drawing/2014/main" id="{00000000-0008-0000-0100-000041470B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6261" y="4412796"/>
          <a:ext cx="9067800" cy="12042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625926</xdr:colOff>
      <xdr:row>29</xdr:row>
      <xdr:rowOff>95250</xdr:rowOff>
    </xdr:from>
    <xdr:to>
      <xdr:col>16</xdr:col>
      <xdr:colOff>650419</xdr:colOff>
      <xdr:row>34</xdr:row>
      <xdr:rowOff>355147</xdr:rowOff>
    </xdr:to>
    <xdr:pic>
      <xdr:nvPicPr>
        <xdr:cNvPr id="2" name="Picture 1" descr="Thsi illustrates how users should enter the pupil's score in the chosen Ebacc progress measure on the Single Measures Ready Reckoner sheet" title="Actual Ket Stage 4 Attainment">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5605" y="6721929"/>
          <a:ext cx="9277350" cy="1076325"/>
        </a:xfrm>
        <a:prstGeom prst="rect">
          <a:avLst/>
        </a:prstGeom>
      </xdr:spPr>
    </xdr:pic>
    <xdr:clientData/>
  </xdr:twoCellAnchor>
  <xdr:twoCellAnchor editAs="oneCell">
    <xdr:from>
      <xdr:col>2</xdr:col>
      <xdr:colOff>149678</xdr:colOff>
      <xdr:row>37</xdr:row>
      <xdr:rowOff>81643</xdr:rowOff>
    </xdr:from>
    <xdr:to>
      <xdr:col>16</xdr:col>
      <xdr:colOff>692603</xdr:colOff>
      <xdr:row>42</xdr:row>
      <xdr:rowOff>77560</xdr:rowOff>
    </xdr:to>
    <xdr:pic>
      <xdr:nvPicPr>
        <xdr:cNvPr id="3" name="Picture 2" descr="The illustrates how the pupil's progress score will be shown in the dark blue box at the bottom of the Single Measures Raedy Reckoner sheet. The Value Added score is calculated as the actual score minus the estimated score. " title="Pupil Value Added Score">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9714" y="8409214"/>
          <a:ext cx="9115425" cy="866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723900</xdr:colOff>
      <xdr:row>11</xdr:row>
      <xdr:rowOff>38100</xdr:rowOff>
    </xdr:from>
    <xdr:to>
      <xdr:col>4</xdr:col>
      <xdr:colOff>723900</xdr:colOff>
      <xdr:row>11</xdr:row>
      <xdr:rowOff>514350</xdr:rowOff>
    </xdr:to>
    <xdr:sp macro="" textlink="">
      <xdr:nvSpPr>
        <xdr:cNvPr id="849262" name="Line 15">
          <a:extLst>
            <a:ext uri="{FF2B5EF4-FFF2-40B4-BE49-F238E27FC236}">
              <a16:creationId xmlns:a16="http://schemas.microsoft.com/office/drawing/2014/main" id="{00000000-0008-0000-0200-00006EF50C00}"/>
            </a:ext>
          </a:extLst>
        </xdr:cNvPr>
        <xdr:cNvSpPr>
          <a:spLocks noChangeShapeType="1"/>
        </xdr:cNvSpPr>
      </xdr:nvSpPr>
      <xdr:spPr bwMode="auto">
        <a:xfrm>
          <a:off x="7115175" y="260985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723900</xdr:colOff>
      <xdr:row>11</xdr:row>
      <xdr:rowOff>38100</xdr:rowOff>
    </xdr:from>
    <xdr:to>
      <xdr:col>6</xdr:col>
      <xdr:colOff>723900</xdr:colOff>
      <xdr:row>11</xdr:row>
      <xdr:rowOff>514350</xdr:rowOff>
    </xdr:to>
    <xdr:sp macro="" textlink="">
      <xdr:nvSpPr>
        <xdr:cNvPr id="849263" name="Line 17">
          <a:extLst>
            <a:ext uri="{FF2B5EF4-FFF2-40B4-BE49-F238E27FC236}">
              <a16:creationId xmlns:a16="http://schemas.microsoft.com/office/drawing/2014/main" id="{00000000-0008-0000-0200-00006FF50C00}"/>
            </a:ext>
          </a:extLst>
        </xdr:cNvPr>
        <xdr:cNvSpPr>
          <a:spLocks noChangeShapeType="1"/>
        </xdr:cNvSpPr>
      </xdr:nvSpPr>
      <xdr:spPr bwMode="auto">
        <a:xfrm>
          <a:off x="9324975" y="260985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752475</xdr:colOff>
      <xdr:row>18</xdr:row>
      <xdr:rowOff>47625</xdr:rowOff>
    </xdr:from>
    <xdr:to>
      <xdr:col>4</xdr:col>
      <xdr:colOff>752475</xdr:colOff>
      <xdr:row>18</xdr:row>
      <xdr:rowOff>533400</xdr:rowOff>
    </xdr:to>
    <xdr:sp macro="" textlink="">
      <xdr:nvSpPr>
        <xdr:cNvPr id="849264" name="Line 23">
          <a:extLst>
            <a:ext uri="{FF2B5EF4-FFF2-40B4-BE49-F238E27FC236}">
              <a16:creationId xmlns:a16="http://schemas.microsoft.com/office/drawing/2014/main" id="{00000000-0008-0000-0200-000070F50C00}"/>
            </a:ext>
          </a:extLst>
        </xdr:cNvPr>
        <xdr:cNvSpPr>
          <a:spLocks noChangeShapeType="1"/>
        </xdr:cNvSpPr>
      </xdr:nvSpPr>
      <xdr:spPr bwMode="auto">
        <a:xfrm>
          <a:off x="7143750" y="4724400"/>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752475</xdr:colOff>
      <xdr:row>18</xdr:row>
      <xdr:rowOff>47625</xdr:rowOff>
    </xdr:from>
    <xdr:to>
      <xdr:col>6</xdr:col>
      <xdr:colOff>752475</xdr:colOff>
      <xdr:row>18</xdr:row>
      <xdr:rowOff>533400</xdr:rowOff>
    </xdr:to>
    <xdr:sp macro="" textlink="">
      <xdr:nvSpPr>
        <xdr:cNvPr id="849265" name="Line 25">
          <a:extLst>
            <a:ext uri="{FF2B5EF4-FFF2-40B4-BE49-F238E27FC236}">
              <a16:creationId xmlns:a16="http://schemas.microsoft.com/office/drawing/2014/main" id="{00000000-0008-0000-0200-000071F50C00}"/>
            </a:ext>
          </a:extLst>
        </xdr:cNvPr>
        <xdr:cNvSpPr>
          <a:spLocks noChangeShapeType="1"/>
        </xdr:cNvSpPr>
      </xdr:nvSpPr>
      <xdr:spPr bwMode="auto">
        <a:xfrm>
          <a:off x="9353550" y="4724400"/>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819150</xdr:colOff>
      <xdr:row>26</xdr:row>
      <xdr:rowOff>66675</xdr:rowOff>
    </xdr:from>
    <xdr:to>
      <xdr:col>5</xdr:col>
      <xdr:colOff>257175</xdr:colOff>
      <xdr:row>27</xdr:row>
      <xdr:rowOff>152400</xdr:rowOff>
    </xdr:to>
    <xdr:sp macro="" textlink="">
      <xdr:nvSpPr>
        <xdr:cNvPr id="849266" name="Line 26">
          <a:extLst>
            <a:ext uri="{FF2B5EF4-FFF2-40B4-BE49-F238E27FC236}">
              <a16:creationId xmlns:a16="http://schemas.microsoft.com/office/drawing/2014/main" id="{00000000-0008-0000-0200-000072F50C00}"/>
            </a:ext>
          </a:extLst>
        </xdr:cNvPr>
        <xdr:cNvSpPr>
          <a:spLocks noChangeShapeType="1"/>
        </xdr:cNvSpPr>
      </xdr:nvSpPr>
      <xdr:spPr bwMode="auto">
        <a:xfrm>
          <a:off x="7210425" y="6981825"/>
          <a:ext cx="9810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361950</xdr:colOff>
      <xdr:row>26</xdr:row>
      <xdr:rowOff>57150</xdr:rowOff>
    </xdr:from>
    <xdr:to>
      <xdr:col>6</xdr:col>
      <xdr:colOff>600075</xdr:colOff>
      <xdr:row>27</xdr:row>
      <xdr:rowOff>152400</xdr:rowOff>
    </xdr:to>
    <xdr:sp macro="" textlink="">
      <xdr:nvSpPr>
        <xdr:cNvPr id="849267" name="Line 67">
          <a:extLst>
            <a:ext uri="{FF2B5EF4-FFF2-40B4-BE49-F238E27FC236}">
              <a16:creationId xmlns:a16="http://schemas.microsoft.com/office/drawing/2014/main" id="{00000000-0008-0000-0200-000073F50C00}"/>
            </a:ext>
          </a:extLst>
        </xdr:cNvPr>
        <xdr:cNvSpPr>
          <a:spLocks noChangeShapeType="1"/>
        </xdr:cNvSpPr>
      </xdr:nvSpPr>
      <xdr:spPr bwMode="auto">
        <a:xfrm flipH="1">
          <a:off x="8296275" y="6972300"/>
          <a:ext cx="904875"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352425</xdr:colOff>
      <xdr:row>29</xdr:row>
      <xdr:rowOff>0</xdr:rowOff>
    </xdr:from>
    <xdr:to>
      <xdr:col>5</xdr:col>
      <xdr:colOff>352425</xdr:colOff>
      <xdr:row>30</xdr:row>
      <xdr:rowOff>38100</xdr:rowOff>
    </xdr:to>
    <xdr:sp macro="" textlink="">
      <xdr:nvSpPr>
        <xdr:cNvPr id="849268" name="Line 25">
          <a:extLst>
            <a:ext uri="{FF2B5EF4-FFF2-40B4-BE49-F238E27FC236}">
              <a16:creationId xmlns:a16="http://schemas.microsoft.com/office/drawing/2014/main" id="{00000000-0008-0000-0200-000074F50C00}"/>
            </a:ext>
          </a:extLst>
        </xdr:cNvPr>
        <xdr:cNvSpPr>
          <a:spLocks noChangeShapeType="1"/>
        </xdr:cNvSpPr>
      </xdr:nvSpPr>
      <xdr:spPr bwMode="auto">
        <a:xfrm>
          <a:off x="8286750" y="7724775"/>
          <a:ext cx="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342900</xdr:colOff>
      <xdr:row>32</xdr:row>
      <xdr:rowOff>28575</xdr:rowOff>
    </xdr:from>
    <xdr:to>
      <xdr:col>5</xdr:col>
      <xdr:colOff>342900</xdr:colOff>
      <xdr:row>33</xdr:row>
      <xdr:rowOff>114300</xdr:rowOff>
    </xdr:to>
    <xdr:sp macro="" textlink="">
      <xdr:nvSpPr>
        <xdr:cNvPr id="849269" name="Line 25">
          <a:extLst>
            <a:ext uri="{FF2B5EF4-FFF2-40B4-BE49-F238E27FC236}">
              <a16:creationId xmlns:a16="http://schemas.microsoft.com/office/drawing/2014/main" id="{00000000-0008-0000-0200-000075F50C00}"/>
            </a:ext>
          </a:extLst>
        </xdr:cNvPr>
        <xdr:cNvSpPr>
          <a:spLocks noChangeShapeType="1"/>
        </xdr:cNvSpPr>
      </xdr:nvSpPr>
      <xdr:spPr bwMode="auto">
        <a:xfrm>
          <a:off x="8277225" y="8439150"/>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8</xdr:row>
      <xdr:rowOff>228600</xdr:rowOff>
    </xdr:from>
    <xdr:to>
      <xdr:col>5</xdr:col>
      <xdr:colOff>923925</xdr:colOff>
      <xdr:row>8</xdr:row>
      <xdr:rowOff>228600</xdr:rowOff>
    </xdr:to>
    <xdr:sp macro="" textlink="">
      <xdr:nvSpPr>
        <xdr:cNvPr id="739825" name="Line 8">
          <a:extLst>
            <a:ext uri="{FF2B5EF4-FFF2-40B4-BE49-F238E27FC236}">
              <a16:creationId xmlns:a16="http://schemas.microsoft.com/office/drawing/2014/main" id="{00000000-0008-0000-0300-0000F1490B00}"/>
            </a:ext>
          </a:extLst>
        </xdr:cNvPr>
        <xdr:cNvSpPr>
          <a:spLocks noChangeShapeType="1"/>
        </xdr:cNvSpPr>
      </xdr:nvSpPr>
      <xdr:spPr bwMode="auto">
        <a:xfrm>
          <a:off x="5133975" y="1733550"/>
          <a:ext cx="1181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1143000</xdr:colOff>
      <xdr:row>13</xdr:row>
      <xdr:rowOff>0</xdr:rowOff>
    </xdr:from>
    <xdr:to>
      <xdr:col>5</xdr:col>
      <xdr:colOff>923925</xdr:colOff>
      <xdr:row>13</xdr:row>
      <xdr:rowOff>0</xdr:rowOff>
    </xdr:to>
    <xdr:sp macro="" textlink="">
      <xdr:nvSpPr>
        <xdr:cNvPr id="739826" name="Line 13">
          <a:extLst>
            <a:ext uri="{FF2B5EF4-FFF2-40B4-BE49-F238E27FC236}">
              <a16:creationId xmlns:a16="http://schemas.microsoft.com/office/drawing/2014/main" id="{00000000-0008-0000-0300-0000F2490B00}"/>
            </a:ext>
          </a:extLst>
        </xdr:cNvPr>
        <xdr:cNvSpPr>
          <a:spLocks noChangeShapeType="1"/>
        </xdr:cNvSpPr>
      </xdr:nvSpPr>
      <xdr:spPr bwMode="auto">
        <a:xfrm>
          <a:off x="4914900" y="27908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xdr:colOff>
      <xdr:row>22</xdr:row>
      <xdr:rowOff>0</xdr:rowOff>
    </xdr:from>
    <xdr:to>
      <xdr:col>5</xdr:col>
      <xdr:colOff>1181100</xdr:colOff>
      <xdr:row>22</xdr:row>
      <xdr:rowOff>0</xdr:rowOff>
    </xdr:to>
    <xdr:sp macro="" textlink="">
      <xdr:nvSpPr>
        <xdr:cNvPr id="739828" name="Line 13">
          <a:extLst>
            <a:ext uri="{FF2B5EF4-FFF2-40B4-BE49-F238E27FC236}">
              <a16:creationId xmlns:a16="http://schemas.microsoft.com/office/drawing/2014/main" id="{00000000-0008-0000-0300-0000F4490B00}"/>
            </a:ext>
          </a:extLst>
        </xdr:cNvPr>
        <xdr:cNvSpPr>
          <a:spLocks noChangeShapeType="1"/>
        </xdr:cNvSpPr>
      </xdr:nvSpPr>
      <xdr:spPr bwMode="auto">
        <a:xfrm>
          <a:off x="5162550" y="4171950"/>
          <a:ext cx="1409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xdr:colOff>
      <xdr:row>25</xdr:row>
      <xdr:rowOff>0</xdr:rowOff>
    </xdr:from>
    <xdr:to>
      <xdr:col>5</xdr:col>
      <xdr:colOff>1181100</xdr:colOff>
      <xdr:row>25</xdr:row>
      <xdr:rowOff>0</xdr:rowOff>
    </xdr:to>
    <xdr:sp macro="" textlink="">
      <xdr:nvSpPr>
        <xdr:cNvPr id="739829" name="Line 13">
          <a:extLst>
            <a:ext uri="{FF2B5EF4-FFF2-40B4-BE49-F238E27FC236}">
              <a16:creationId xmlns:a16="http://schemas.microsoft.com/office/drawing/2014/main" id="{00000000-0008-0000-0300-0000F5490B00}"/>
            </a:ext>
          </a:extLst>
        </xdr:cNvPr>
        <xdr:cNvSpPr>
          <a:spLocks noChangeShapeType="1"/>
        </xdr:cNvSpPr>
      </xdr:nvSpPr>
      <xdr:spPr bwMode="auto">
        <a:xfrm>
          <a:off x="5162550" y="4800600"/>
          <a:ext cx="1409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291041</xdr:colOff>
      <xdr:row>12</xdr:row>
      <xdr:rowOff>127000</xdr:rowOff>
    </xdr:from>
    <xdr:to>
      <xdr:col>17</xdr:col>
      <xdr:colOff>225954</xdr:colOff>
      <xdr:row>31</xdr:row>
      <xdr:rowOff>274109</xdr:rowOff>
    </xdr:to>
    <xdr:graphicFrame macro="">
      <xdr:nvGraphicFramePr>
        <xdr:cNvPr id="18" name="Chart 2" descr="A chart comparing the pupil's actual key stage 4 outcome and their estimated key stage 4 attainment" title="Chart">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34925</xdr:colOff>
      <xdr:row>21</xdr:row>
      <xdr:rowOff>119593</xdr:rowOff>
    </xdr:from>
    <xdr:to>
      <xdr:col>14</xdr:col>
      <xdr:colOff>999066</xdr:colOff>
      <xdr:row>23</xdr:row>
      <xdr:rowOff>79376</xdr:rowOff>
    </xdr:to>
    <xdr:pic>
      <xdr:nvPicPr>
        <xdr:cNvPr id="19" name="Picture 8" descr="A description of the best fit line on the chart as Actual = Estimated" title="Best fit line">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9500000">
          <a:off x="12523258" y="4125385"/>
          <a:ext cx="20574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685800</xdr:colOff>
      <xdr:row>10</xdr:row>
      <xdr:rowOff>76200</xdr:rowOff>
    </xdr:from>
    <xdr:to>
      <xdr:col>3</xdr:col>
      <xdr:colOff>685800</xdr:colOff>
      <xdr:row>10</xdr:row>
      <xdr:rowOff>552450</xdr:rowOff>
    </xdr:to>
    <xdr:sp macro="" textlink="">
      <xdr:nvSpPr>
        <xdr:cNvPr id="858594" name="Line 3">
          <a:extLst>
            <a:ext uri="{FF2B5EF4-FFF2-40B4-BE49-F238E27FC236}">
              <a16:creationId xmlns:a16="http://schemas.microsoft.com/office/drawing/2014/main" id="{00000000-0008-0000-0400-0000E2190D00}"/>
            </a:ext>
          </a:extLst>
        </xdr:cNvPr>
        <xdr:cNvSpPr>
          <a:spLocks noChangeShapeType="1"/>
        </xdr:cNvSpPr>
      </xdr:nvSpPr>
      <xdr:spPr bwMode="auto">
        <a:xfrm>
          <a:off x="3667125" y="3038475"/>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704850</xdr:colOff>
      <xdr:row>10</xdr:row>
      <xdr:rowOff>85725</xdr:rowOff>
    </xdr:from>
    <xdr:to>
      <xdr:col>5</xdr:col>
      <xdr:colOff>704850</xdr:colOff>
      <xdr:row>10</xdr:row>
      <xdr:rowOff>561975</xdr:rowOff>
    </xdr:to>
    <xdr:sp macro="" textlink="">
      <xdr:nvSpPr>
        <xdr:cNvPr id="858595" name="Line 4">
          <a:extLst>
            <a:ext uri="{FF2B5EF4-FFF2-40B4-BE49-F238E27FC236}">
              <a16:creationId xmlns:a16="http://schemas.microsoft.com/office/drawing/2014/main" id="{00000000-0008-0000-0400-0000E3190D00}"/>
            </a:ext>
          </a:extLst>
        </xdr:cNvPr>
        <xdr:cNvSpPr>
          <a:spLocks noChangeShapeType="1"/>
        </xdr:cNvSpPr>
      </xdr:nvSpPr>
      <xdr:spPr bwMode="auto">
        <a:xfrm>
          <a:off x="5229225" y="304800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704850</xdr:colOff>
      <xdr:row>10</xdr:row>
      <xdr:rowOff>85725</xdr:rowOff>
    </xdr:from>
    <xdr:to>
      <xdr:col>7</xdr:col>
      <xdr:colOff>704850</xdr:colOff>
      <xdr:row>10</xdr:row>
      <xdr:rowOff>561975</xdr:rowOff>
    </xdr:to>
    <xdr:sp macro="" textlink="">
      <xdr:nvSpPr>
        <xdr:cNvPr id="858596" name="Line 5">
          <a:extLst>
            <a:ext uri="{FF2B5EF4-FFF2-40B4-BE49-F238E27FC236}">
              <a16:creationId xmlns:a16="http://schemas.microsoft.com/office/drawing/2014/main" id="{00000000-0008-0000-0400-0000E4190D00}"/>
            </a:ext>
          </a:extLst>
        </xdr:cNvPr>
        <xdr:cNvSpPr>
          <a:spLocks noChangeShapeType="1"/>
        </xdr:cNvSpPr>
      </xdr:nvSpPr>
      <xdr:spPr bwMode="auto">
        <a:xfrm>
          <a:off x="6772275" y="304800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695325</xdr:colOff>
      <xdr:row>12</xdr:row>
      <xdr:rowOff>76200</xdr:rowOff>
    </xdr:from>
    <xdr:to>
      <xdr:col>3</xdr:col>
      <xdr:colOff>695325</xdr:colOff>
      <xdr:row>12</xdr:row>
      <xdr:rowOff>552450</xdr:rowOff>
    </xdr:to>
    <xdr:sp macro="" textlink="">
      <xdr:nvSpPr>
        <xdr:cNvPr id="858597" name="Line 9">
          <a:extLst>
            <a:ext uri="{FF2B5EF4-FFF2-40B4-BE49-F238E27FC236}">
              <a16:creationId xmlns:a16="http://schemas.microsoft.com/office/drawing/2014/main" id="{00000000-0008-0000-0400-0000E5190D00}"/>
            </a:ext>
          </a:extLst>
        </xdr:cNvPr>
        <xdr:cNvSpPr>
          <a:spLocks noChangeShapeType="1"/>
        </xdr:cNvSpPr>
      </xdr:nvSpPr>
      <xdr:spPr bwMode="auto">
        <a:xfrm>
          <a:off x="3676650" y="4314825"/>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695325</xdr:colOff>
      <xdr:row>12</xdr:row>
      <xdr:rowOff>85725</xdr:rowOff>
    </xdr:from>
    <xdr:to>
      <xdr:col>5</xdr:col>
      <xdr:colOff>695325</xdr:colOff>
      <xdr:row>12</xdr:row>
      <xdr:rowOff>561975</xdr:rowOff>
    </xdr:to>
    <xdr:sp macro="" textlink="">
      <xdr:nvSpPr>
        <xdr:cNvPr id="858598" name="Line 10">
          <a:extLst>
            <a:ext uri="{FF2B5EF4-FFF2-40B4-BE49-F238E27FC236}">
              <a16:creationId xmlns:a16="http://schemas.microsoft.com/office/drawing/2014/main" id="{00000000-0008-0000-0400-0000E6190D00}"/>
            </a:ext>
          </a:extLst>
        </xdr:cNvPr>
        <xdr:cNvSpPr>
          <a:spLocks noChangeShapeType="1"/>
        </xdr:cNvSpPr>
      </xdr:nvSpPr>
      <xdr:spPr bwMode="auto">
        <a:xfrm>
          <a:off x="5219700" y="432435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714375</xdr:colOff>
      <xdr:row>12</xdr:row>
      <xdr:rowOff>85725</xdr:rowOff>
    </xdr:from>
    <xdr:to>
      <xdr:col>7</xdr:col>
      <xdr:colOff>714375</xdr:colOff>
      <xdr:row>12</xdr:row>
      <xdr:rowOff>561975</xdr:rowOff>
    </xdr:to>
    <xdr:sp macro="" textlink="">
      <xdr:nvSpPr>
        <xdr:cNvPr id="858599" name="Line 11">
          <a:extLst>
            <a:ext uri="{FF2B5EF4-FFF2-40B4-BE49-F238E27FC236}">
              <a16:creationId xmlns:a16="http://schemas.microsoft.com/office/drawing/2014/main" id="{00000000-0008-0000-0400-0000E7190D00}"/>
            </a:ext>
          </a:extLst>
        </xdr:cNvPr>
        <xdr:cNvSpPr>
          <a:spLocks noChangeShapeType="1"/>
        </xdr:cNvSpPr>
      </xdr:nvSpPr>
      <xdr:spPr bwMode="auto">
        <a:xfrm>
          <a:off x="6781800" y="432435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657225</xdr:colOff>
      <xdr:row>14</xdr:row>
      <xdr:rowOff>76200</xdr:rowOff>
    </xdr:from>
    <xdr:to>
      <xdr:col>3</xdr:col>
      <xdr:colOff>657225</xdr:colOff>
      <xdr:row>14</xdr:row>
      <xdr:rowOff>552450</xdr:rowOff>
    </xdr:to>
    <xdr:sp macro="" textlink="">
      <xdr:nvSpPr>
        <xdr:cNvPr id="858600" name="Line 15">
          <a:extLst>
            <a:ext uri="{FF2B5EF4-FFF2-40B4-BE49-F238E27FC236}">
              <a16:creationId xmlns:a16="http://schemas.microsoft.com/office/drawing/2014/main" id="{00000000-0008-0000-0400-0000E8190D00}"/>
            </a:ext>
          </a:extLst>
        </xdr:cNvPr>
        <xdr:cNvSpPr>
          <a:spLocks noChangeShapeType="1"/>
        </xdr:cNvSpPr>
      </xdr:nvSpPr>
      <xdr:spPr bwMode="auto">
        <a:xfrm>
          <a:off x="3638550" y="5591175"/>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657225</xdr:colOff>
      <xdr:row>14</xdr:row>
      <xdr:rowOff>85725</xdr:rowOff>
    </xdr:from>
    <xdr:to>
      <xdr:col>5</xdr:col>
      <xdr:colOff>657225</xdr:colOff>
      <xdr:row>14</xdr:row>
      <xdr:rowOff>561975</xdr:rowOff>
    </xdr:to>
    <xdr:sp macro="" textlink="">
      <xdr:nvSpPr>
        <xdr:cNvPr id="858601" name="Line 16">
          <a:extLst>
            <a:ext uri="{FF2B5EF4-FFF2-40B4-BE49-F238E27FC236}">
              <a16:creationId xmlns:a16="http://schemas.microsoft.com/office/drawing/2014/main" id="{00000000-0008-0000-0400-0000E9190D00}"/>
            </a:ext>
          </a:extLst>
        </xdr:cNvPr>
        <xdr:cNvSpPr>
          <a:spLocks noChangeShapeType="1"/>
        </xdr:cNvSpPr>
      </xdr:nvSpPr>
      <xdr:spPr bwMode="auto">
        <a:xfrm>
          <a:off x="5181600" y="560070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657225</xdr:colOff>
      <xdr:row>14</xdr:row>
      <xdr:rowOff>85725</xdr:rowOff>
    </xdr:from>
    <xdr:to>
      <xdr:col>7</xdr:col>
      <xdr:colOff>657225</xdr:colOff>
      <xdr:row>14</xdr:row>
      <xdr:rowOff>561975</xdr:rowOff>
    </xdr:to>
    <xdr:sp macro="" textlink="">
      <xdr:nvSpPr>
        <xdr:cNvPr id="858602" name="Line 17">
          <a:extLst>
            <a:ext uri="{FF2B5EF4-FFF2-40B4-BE49-F238E27FC236}">
              <a16:creationId xmlns:a16="http://schemas.microsoft.com/office/drawing/2014/main" id="{00000000-0008-0000-0400-0000EA190D00}"/>
            </a:ext>
          </a:extLst>
        </xdr:cNvPr>
        <xdr:cNvSpPr>
          <a:spLocks noChangeShapeType="1"/>
        </xdr:cNvSpPr>
      </xdr:nvSpPr>
      <xdr:spPr bwMode="auto">
        <a:xfrm>
          <a:off x="6724650" y="5600700"/>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11</xdr:row>
      <xdr:rowOff>9525</xdr:rowOff>
    </xdr:from>
    <xdr:to>
      <xdr:col>4</xdr:col>
      <xdr:colOff>0</xdr:colOff>
      <xdr:row>11</xdr:row>
      <xdr:rowOff>3448050</xdr:rowOff>
    </xdr:to>
    <xdr:graphicFrame macro="">
      <xdr:nvGraphicFramePr>
        <xdr:cNvPr id="741724" name="Chart 2">
          <a:extLst>
            <a:ext uri="{FF2B5EF4-FFF2-40B4-BE49-F238E27FC236}">
              <a16:creationId xmlns:a16="http://schemas.microsoft.com/office/drawing/2014/main" id="{00000000-0008-0000-0600-00005C510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1304925</xdr:colOff>
      <xdr:row>11</xdr:row>
      <xdr:rowOff>1362075</xdr:rowOff>
    </xdr:from>
    <xdr:to>
      <xdr:col>3</xdr:col>
      <xdr:colOff>3362325</xdr:colOff>
      <xdr:row>11</xdr:row>
      <xdr:rowOff>1724025</xdr:rowOff>
    </xdr:to>
    <xdr:pic>
      <xdr:nvPicPr>
        <xdr:cNvPr id="741725" name="Picture 8">
          <a:extLst>
            <a:ext uri="{FF2B5EF4-FFF2-40B4-BE49-F238E27FC236}">
              <a16:creationId xmlns:a16="http://schemas.microsoft.com/office/drawing/2014/main" id="{00000000-0008-0000-0600-00005D510B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2307015">
          <a:off x="6805613" y="3143250"/>
          <a:ext cx="20574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utine%20products/Value%20added/2016/Ready%20Reckoner/KS2-4%20UNAMENDED/Progress%208%20Pupil%20Ready%20Reckoner%202016_unamended_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jacob_gledhill_education_gov_uk/Documents/Documents/KS4/KS2-4%20Progress%208%20Element%20breakdown%20Pupil%20Ready%20Reckoner%20201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Key stage 2 data input"/>
      <sheetName val="Ready Reckoner"/>
      <sheetName val="Chart Data"/>
      <sheetName val="KS2 Fine grades lookup"/>
      <sheetName val="Coefficients"/>
    </sheetNames>
    <sheetDataSet>
      <sheetData sheetId="0"/>
      <sheetData sheetId="1"/>
      <sheetData sheetId="2">
        <row r="9">
          <cell r="G9" t="str">
            <v>Progress 8 measure</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to Ready Reckoners"/>
      <sheetName val="Guidance"/>
      <sheetName val="Key stage 2 Data Input"/>
      <sheetName val="Single Measure Ready Reckoner"/>
      <sheetName val="All Measures Ready Reckoner"/>
      <sheetName val="Chart Data"/>
      <sheetName val="KS2 Fine grades lookup"/>
      <sheetName val="Model values"/>
      <sheetName val="Coefficients"/>
      <sheetName val="new drop down lookup"/>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ableschecking.education.gov.uk/" TargetMode="External"/><Relationship Id="rId1" Type="http://schemas.openxmlformats.org/officeDocument/2006/relationships/hyperlink" Target="https://tableschecking.education.gov.u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v.uk/government/publications/english-baccalaureate-eligible-qualification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59999389629810485"/>
  </sheetPr>
  <dimension ref="B1:K23"/>
  <sheetViews>
    <sheetView showGridLines="0" showRowColHeaders="0" tabSelected="1" workbookViewId="0">
      <selection activeCell="J18" sqref="J18"/>
    </sheetView>
  </sheetViews>
  <sheetFormatPr defaultRowHeight="12.75" x14ac:dyDescent="0.35"/>
  <cols>
    <col min="1" max="1" width="2.3984375" customWidth="1"/>
    <col min="4" max="4" width="11.3984375" customWidth="1"/>
    <col min="7" max="7" width="9" customWidth="1"/>
    <col min="9" max="9" width="8" customWidth="1"/>
    <col min="10" max="10" width="11.59765625" customWidth="1"/>
  </cols>
  <sheetData>
    <row r="1" spans="2:11" ht="4.9000000000000004" customHeight="1" x14ac:dyDescent="0.35"/>
    <row r="2" spans="2:11" ht="17.649999999999999" x14ac:dyDescent="0.5">
      <c r="B2" s="10" t="s">
        <v>163</v>
      </c>
    </row>
    <row r="4" spans="2:11" x14ac:dyDescent="0.35">
      <c r="B4" s="53" t="s">
        <v>121</v>
      </c>
    </row>
    <row r="6" spans="2:11" ht="13.15" x14ac:dyDescent="0.4">
      <c r="B6" s="53" t="s">
        <v>125</v>
      </c>
    </row>
    <row r="7" spans="2:11" x14ac:dyDescent="0.35">
      <c r="B7" s="53" t="s">
        <v>124</v>
      </c>
    </row>
    <row r="9" spans="2:11" ht="13.15" x14ac:dyDescent="0.4">
      <c r="B9" s="53" t="s">
        <v>126</v>
      </c>
    </row>
    <row r="10" spans="2:11" x14ac:dyDescent="0.35">
      <c r="B10" s="53" t="s">
        <v>127</v>
      </c>
    </row>
    <row r="11" spans="2:11" x14ac:dyDescent="0.35">
      <c r="B11" s="53" t="s">
        <v>122</v>
      </c>
      <c r="J11" s="182" t="s">
        <v>155</v>
      </c>
      <c r="K11" s="53"/>
    </row>
    <row r="13" spans="2:11" ht="13.15" x14ac:dyDescent="0.4">
      <c r="B13" s="53" t="s">
        <v>129</v>
      </c>
    </row>
    <row r="14" spans="2:11" x14ac:dyDescent="0.35">
      <c r="B14" t="s">
        <v>128</v>
      </c>
    </row>
    <row r="16" spans="2:11" ht="13.15" x14ac:dyDescent="0.4">
      <c r="B16" s="53" t="s">
        <v>131</v>
      </c>
    </row>
    <row r="17" spans="2:11" x14ac:dyDescent="0.35">
      <c r="B17" s="53" t="s">
        <v>130</v>
      </c>
    </row>
    <row r="18" spans="2:11" x14ac:dyDescent="0.35">
      <c r="B18" s="53" t="s">
        <v>122</v>
      </c>
      <c r="J18" s="182" t="s">
        <v>155</v>
      </c>
      <c r="K18" s="53"/>
    </row>
    <row r="20" spans="2:11" ht="13.15" thickBot="1" x14ac:dyDescent="0.4"/>
    <row r="21" spans="2:11" x14ac:dyDescent="0.35">
      <c r="C21" s="248" t="s">
        <v>123</v>
      </c>
      <c r="D21" s="249"/>
    </row>
    <row r="22" spans="2:11" x14ac:dyDescent="0.35">
      <c r="C22" s="250"/>
      <c r="D22" s="251"/>
    </row>
    <row r="23" spans="2:11" ht="18.399999999999999" customHeight="1" thickBot="1" x14ac:dyDescent="0.4">
      <c r="C23" s="252"/>
      <c r="D23" s="253"/>
    </row>
  </sheetData>
  <sheetProtection algorithmName="SHA-512" hashValue="Zmf1XYE8xSt/fKo9KjiQzbOrefniYhAB2BQJxJ0OQC1UcKOIvOHdg76eJyWTX5Y8FXVXALIJIhnr/i6wH0usMw==" saltValue="+t3biQNr4bzuLTqtlyx7oA==" spinCount="100000" sheet="1" objects="1" scenarios="1" selectLockedCells="1"/>
  <mergeCells count="1">
    <mergeCell ref="C21:D23"/>
  </mergeCells>
  <hyperlinks>
    <hyperlink ref="J11" r:id="rId1" xr:uid="{00000000-0004-0000-0000-000000000000}"/>
    <hyperlink ref="J18" r:id="rId2" xr:uid="{00000000-0004-0000-0000-000001000000}"/>
    <hyperlink ref="C21:D23" location="Guidance!A1" display="To Guidance  ---&gt;" xr:uid="{00000000-0004-0000-0000-000002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59999389629810485"/>
    <pageSetUpPr fitToPage="1"/>
  </sheetPr>
  <dimension ref="B2:U50"/>
  <sheetViews>
    <sheetView showGridLines="0" showRowColHeaders="0" topLeftCell="A16" zoomScale="70" zoomScaleNormal="70" workbookViewId="0">
      <selection activeCell="R40" sqref="R40:S42"/>
    </sheetView>
  </sheetViews>
  <sheetFormatPr defaultColWidth="9.1328125" defaultRowHeight="12.75" x14ac:dyDescent="0.35"/>
  <cols>
    <col min="1" max="1" width="2.1328125" style="70" customWidth="1"/>
    <col min="2" max="2" width="10.265625" style="70" customWidth="1"/>
    <col min="3" max="3" width="9.1328125" style="70"/>
    <col min="4" max="4" width="9.1328125" style="70" customWidth="1"/>
    <col min="5" max="16" width="9.1328125" style="70"/>
    <col min="17" max="17" width="17.86328125" style="70" customWidth="1"/>
    <col min="18" max="19" width="13.73046875" style="70" customWidth="1"/>
    <col min="20" max="20" width="11.265625" style="70" customWidth="1"/>
    <col min="21" max="16384" width="9.1328125" style="70"/>
  </cols>
  <sheetData>
    <row r="2" spans="2:11" ht="17.649999999999999" x14ac:dyDescent="0.5">
      <c r="B2" s="88" t="s">
        <v>164</v>
      </c>
    </row>
    <row r="3" spans="2:11" ht="17.649999999999999" x14ac:dyDescent="0.5">
      <c r="B3" s="88"/>
    </row>
    <row r="4" spans="2:11" ht="15" x14ac:dyDescent="0.4">
      <c r="B4" s="89" t="s">
        <v>94</v>
      </c>
    </row>
    <row r="5" spans="2:11" ht="7.5" customHeight="1" x14ac:dyDescent="0.4">
      <c r="B5" s="90"/>
    </row>
    <row r="6" spans="2:11" ht="15" x14ac:dyDescent="0.4">
      <c r="B6" s="91" t="s">
        <v>95</v>
      </c>
      <c r="K6" s="91"/>
    </row>
    <row r="7" spans="2:11" ht="15" x14ac:dyDescent="0.4">
      <c r="B7" s="91" t="s">
        <v>96</v>
      </c>
      <c r="K7" s="91"/>
    </row>
    <row r="8" spans="2:11" ht="15" x14ac:dyDescent="0.4">
      <c r="B8" s="91" t="s">
        <v>97</v>
      </c>
      <c r="K8" s="91"/>
    </row>
    <row r="9" spans="2:11" ht="15" x14ac:dyDescent="0.4">
      <c r="B9" s="91"/>
      <c r="K9" s="91"/>
    </row>
    <row r="10" spans="2:11" ht="15" x14ac:dyDescent="0.4">
      <c r="B10" s="173" t="s">
        <v>165</v>
      </c>
      <c r="C10" s="100"/>
      <c r="D10" s="100"/>
      <c r="E10" s="100"/>
      <c r="F10" s="100"/>
      <c r="G10" s="100"/>
      <c r="H10" s="100"/>
      <c r="I10" s="100"/>
      <c r="J10" s="100"/>
    </row>
    <row r="11" spans="2:11" ht="15" x14ac:dyDescent="0.4">
      <c r="B11" s="173" t="s">
        <v>154</v>
      </c>
      <c r="C11" s="100"/>
      <c r="D11" s="100"/>
      <c r="E11" s="100"/>
      <c r="F11" s="100"/>
      <c r="G11" s="100"/>
      <c r="H11" s="100"/>
      <c r="I11" s="100"/>
      <c r="J11" s="100"/>
    </row>
    <row r="12" spans="2:11" ht="15" x14ac:dyDescent="0.4">
      <c r="B12" s="173"/>
      <c r="C12" s="100"/>
      <c r="D12" s="100"/>
      <c r="E12" s="100"/>
      <c r="F12" s="100"/>
      <c r="G12" s="100"/>
      <c r="H12" s="100"/>
      <c r="I12" s="100"/>
      <c r="J12" s="100"/>
    </row>
    <row r="13" spans="2:11" ht="16.899999999999999" x14ac:dyDescent="0.5">
      <c r="B13" s="92" t="s">
        <v>22</v>
      </c>
    </row>
    <row r="14" spans="2:11" ht="3.75" customHeight="1" x14ac:dyDescent="0.35"/>
    <row r="15" spans="2:11" ht="15" x14ac:dyDescent="0.4">
      <c r="B15" s="80" t="s">
        <v>98</v>
      </c>
    </row>
    <row r="16" spans="2:11" ht="9" customHeight="1" x14ac:dyDescent="0.35"/>
    <row r="17" spans="2:21" ht="15" x14ac:dyDescent="0.4">
      <c r="B17" s="174" t="s">
        <v>23</v>
      </c>
      <c r="C17" s="174" t="s">
        <v>132</v>
      </c>
      <c r="D17" s="100"/>
      <c r="E17" s="100"/>
      <c r="F17" s="100"/>
      <c r="G17" s="100"/>
      <c r="H17" s="100"/>
      <c r="I17" s="100"/>
      <c r="J17" s="100"/>
      <c r="K17" s="100"/>
      <c r="L17" s="100"/>
      <c r="M17" s="100"/>
      <c r="N17" s="100"/>
      <c r="O17" s="100"/>
      <c r="P17" s="100"/>
      <c r="Q17" s="100"/>
      <c r="R17" s="97"/>
      <c r="S17" s="97"/>
      <c r="T17" s="97"/>
      <c r="U17" s="97"/>
    </row>
    <row r="18" spans="2:21" ht="15" x14ac:dyDescent="0.4">
      <c r="B18" s="175"/>
      <c r="C18" s="174" t="s">
        <v>63</v>
      </c>
      <c r="D18" s="100"/>
      <c r="E18" s="100"/>
      <c r="F18" s="100"/>
      <c r="G18" s="100"/>
      <c r="H18" s="100"/>
      <c r="I18" s="100"/>
      <c r="J18" s="100"/>
      <c r="K18" s="100"/>
      <c r="L18" s="100"/>
      <c r="M18" s="100"/>
      <c r="N18" s="100"/>
      <c r="O18" s="100"/>
      <c r="P18" s="100"/>
      <c r="Q18" s="100"/>
      <c r="R18" s="97"/>
      <c r="S18" s="97"/>
      <c r="T18" s="97"/>
      <c r="U18" s="97"/>
    </row>
    <row r="19" spans="2:21" ht="24" customHeight="1" x14ac:dyDescent="0.4">
      <c r="B19" s="94"/>
      <c r="C19" s="200" t="s">
        <v>156</v>
      </c>
    </row>
    <row r="20" spans="2:21" ht="15" x14ac:dyDescent="0.4">
      <c r="B20" s="94"/>
      <c r="C20" s="200" t="s">
        <v>157</v>
      </c>
    </row>
    <row r="21" spans="2:21" x14ac:dyDescent="0.35">
      <c r="B21" s="94"/>
      <c r="C21" s="94"/>
    </row>
    <row r="22" spans="2:21" ht="15" x14ac:dyDescent="0.4">
      <c r="B22" s="93" t="s">
        <v>24</v>
      </c>
      <c r="C22" s="93" t="s">
        <v>99</v>
      </c>
    </row>
    <row r="23" spans="2:21" x14ac:dyDescent="0.35">
      <c r="B23" s="94"/>
      <c r="C23" s="94"/>
    </row>
    <row r="24" spans="2:21" ht="15" x14ac:dyDescent="0.4">
      <c r="B24" s="93" t="s">
        <v>25</v>
      </c>
      <c r="C24" s="93" t="s">
        <v>100</v>
      </c>
    </row>
    <row r="25" spans="2:21" ht="105.75" customHeight="1" x14ac:dyDescent="0.35">
      <c r="B25" s="94"/>
      <c r="C25" s="94"/>
    </row>
    <row r="26" spans="2:21" ht="15" x14ac:dyDescent="0.4">
      <c r="B26" s="93" t="s">
        <v>26</v>
      </c>
      <c r="C26" s="93" t="s">
        <v>91</v>
      </c>
    </row>
    <row r="27" spans="2:21" ht="15" x14ac:dyDescent="0.4">
      <c r="B27" s="94"/>
      <c r="C27" s="93" t="s">
        <v>92</v>
      </c>
    </row>
    <row r="28" spans="2:21" ht="24" customHeight="1" x14ac:dyDescent="0.4">
      <c r="B28" s="94"/>
      <c r="C28" s="95" t="s">
        <v>158</v>
      </c>
    </row>
    <row r="29" spans="2:21" x14ac:dyDescent="0.35">
      <c r="B29" s="94"/>
      <c r="C29" s="94"/>
    </row>
    <row r="30" spans="2:21" x14ac:dyDescent="0.35">
      <c r="B30" s="94"/>
      <c r="C30" s="94"/>
    </row>
    <row r="31" spans="2:21" x14ac:dyDescent="0.35">
      <c r="B31" s="94"/>
      <c r="C31" s="94"/>
    </row>
    <row r="32" spans="2:21" x14ac:dyDescent="0.35">
      <c r="B32" s="94"/>
      <c r="C32" s="94"/>
    </row>
    <row r="33" spans="2:21" x14ac:dyDescent="0.35">
      <c r="B33" s="94"/>
      <c r="C33" s="94"/>
    </row>
    <row r="34" spans="2:21" x14ac:dyDescent="0.35">
      <c r="B34" s="94"/>
      <c r="C34" s="94"/>
    </row>
    <row r="35" spans="2:21" ht="44.25" customHeight="1" x14ac:dyDescent="0.35">
      <c r="B35" s="94"/>
      <c r="C35" s="94"/>
    </row>
    <row r="36" spans="2:21" ht="15" x14ac:dyDescent="0.4">
      <c r="B36" s="93" t="s">
        <v>27</v>
      </c>
      <c r="C36" s="93" t="s">
        <v>101</v>
      </c>
    </row>
    <row r="37" spans="2:21" ht="15" x14ac:dyDescent="0.4">
      <c r="B37" s="94"/>
      <c r="C37" s="93" t="s">
        <v>171</v>
      </c>
    </row>
    <row r="38" spans="2:21" ht="15" x14ac:dyDescent="0.4">
      <c r="B38" s="94"/>
      <c r="C38" s="93"/>
    </row>
    <row r="39" spans="2:21" ht="13.15" thickBot="1" x14ac:dyDescent="0.4"/>
    <row r="40" spans="2:21" ht="12.75" customHeight="1" x14ac:dyDescent="0.35">
      <c r="R40" s="254" t="s">
        <v>105</v>
      </c>
      <c r="S40" s="255"/>
    </row>
    <row r="41" spans="2:21" ht="12.75" customHeight="1" x14ac:dyDescent="0.35">
      <c r="R41" s="256"/>
      <c r="S41" s="257"/>
    </row>
    <row r="42" spans="2:21" ht="13.5" customHeight="1" thickBot="1" x14ac:dyDescent="0.4">
      <c r="R42" s="258"/>
      <c r="S42" s="259"/>
    </row>
    <row r="43" spans="2:21" ht="21.75" customHeight="1" x14ac:dyDescent="0.35"/>
    <row r="44" spans="2:21" ht="15" x14ac:dyDescent="0.4">
      <c r="B44" s="93" t="s">
        <v>30</v>
      </c>
      <c r="C44" s="93" t="s">
        <v>93</v>
      </c>
      <c r="T44" s="96"/>
      <c r="U44" s="96"/>
    </row>
    <row r="45" spans="2:21" ht="3" customHeight="1" x14ac:dyDescent="0.35">
      <c r="T45" s="96"/>
      <c r="U45" s="96"/>
    </row>
    <row r="47" spans="2:21" ht="15" x14ac:dyDescent="0.4">
      <c r="B47" s="176" t="s">
        <v>102</v>
      </c>
      <c r="C47" s="177" t="s">
        <v>166</v>
      </c>
      <c r="D47" s="60"/>
      <c r="E47"/>
      <c r="F47"/>
      <c r="G47"/>
      <c r="H47"/>
      <c r="I47"/>
      <c r="J47"/>
      <c r="K47"/>
      <c r="L47"/>
      <c r="M47"/>
      <c r="N47"/>
      <c r="O47"/>
      <c r="P47"/>
      <c r="Q47"/>
      <c r="R47"/>
      <c r="S47"/>
    </row>
    <row r="48" spans="2:21" ht="15" x14ac:dyDescent="0.4">
      <c r="B48" s="97"/>
      <c r="C48" s="177" t="s">
        <v>103</v>
      </c>
      <c r="D48"/>
      <c r="E48"/>
      <c r="F48"/>
      <c r="G48"/>
      <c r="H48"/>
      <c r="I48"/>
      <c r="J48"/>
      <c r="K48"/>
      <c r="L48"/>
      <c r="M48"/>
      <c r="N48"/>
      <c r="O48"/>
      <c r="P48"/>
      <c r="Q48"/>
      <c r="R48"/>
      <c r="S48"/>
    </row>
    <row r="49" spans="2:19" ht="15" x14ac:dyDescent="0.4">
      <c r="B49" s="97"/>
      <c r="C49" s="177" t="s">
        <v>104</v>
      </c>
      <c r="D49"/>
      <c r="E49"/>
      <c r="F49"/>
      <c r="G49"/>
      <c r="H49"/>
      <c r="I49"/>
      <c r="J49"/>
      <c r="K49"/>
      <c r="L49"/>
      <c r="M49"/>
      <c r="N49"/>
      <c r="O49"/>
      <c r="P49"/>
      <c r="Q49"/>
      <c r="R49"/>
      <c r="S49"/>
    </row>
    <row r="50" spans="2:19" x14ac:dyDescent="0.35">
      <c r="B50" s="97"/>
      <c r="D50"/>
      <c r="E50"/>
      <c r="F50"/>
      <c r="G50"/>
      <c r="H50"/>
      <c r="I50"/>
      <c r="J50"/>
      <c r="K50"/>
      <c r="L50"/>
      <c r="M50"/>
      <c r="N50"/>
      <c r="O50"/>
      <c r="P50"/>
      <c r="Q50"/>
      <c r="R50"/>
      <c r="S50"/>
    </row>
  </sheetData>
  <sheetProtection algorithmName="SHA-512" hashValue="KeTvGw1z8EalShO7D0LpmfE0loNs3LzNvmSlFwwkHGyVZC+klc/4M6SrIfDsVTrE8H+p3fksTVYTnv7zQ8JIWw==" saltValue="qiRKYHeIf9av70IACAUOVA==" spinCount="100000" sheet="1" objects="1" scenarios="1" selectLockedCells="1"/>
  <mergeCells count="1">
    <mergeCell ref="R40:S42"/>
  </mergeCells>
  <phoneticPr fontId="5" type="noConversion"/>
  <hyperlinks>
    <hyperlink ref="R40:S42" location="'Key stage 2 Data Input'!A1" display="To Key stage 2 Data Input Sheet  ---&gt;" xr:uid="{00000000-0004-0000-0100-000000000000}"/>
  </hyperlinks>
  <pageMargins left="0.75" right="0.75" top="1" bottom="1" header="0.5" footer="0.5"/>
  <pageSetup paperSize="9" scale="7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Y95"/>
  <sheetViews>
    <sheetView workbookViewId="0">
      <selection activeCell="A10" sqref="A10"/>
    </sheetView>
  </sheetViews>
  <sheetFormatPr defaultColWidth="9" defaultRowHeight="14.25" x14ac:dyDescent="0.45"/>
  <cols>
    <col min="1" max="1" width="15.86328125" style="187" customWidth="1"/>
    <col min="2" max="4" width="9" style="187"/>
    <col min="5" max="5" width="24" style="187" customWidth="1"/>
    <col min="6" max="6" width="9" style="187"/>
    <col min="7" max="7" width="9" style="188"/>
    <col min="8" max="8" width="20.86328125" style="187" bestFit="1" customWidth="1"/>
    <col min="9" max="11" width="9" style="187"/>
    <col min="12" max="12" width="31.73046875" style="187" customWidth="1"/>
    <col min="13" max="16384" width="9" style="187"/>
  </cols>
  <sheetData>
    <row r="1" spans="1:25" x14ac:dyDescent="0.45">
      <c r="A1" s="186" t="s">
        <v>145</v>
      </c>
      <c r="H1" s="186" t="s">
        <v>146</v>
      </c>
    </row>
    <row r="2" spans="1:25" ht="14.65" thickBot="1" x14ac:dyDescent="0.5">
      <c r="A2" s="189" t="s">
        <v>147</v>
      </c>
      <c r="B2" s="189" t="s">
        <v>148</v>
      </c>
      <c r="C2" s="189" t="s">
        <v>149</v>
      </c>
      <c r="D2" s="189" t="s">
        <v>150</v>
      </c>
      <c r="E2" s="190" t="s">
        <v>151</v>
      </c>
      <c r="F2" s="189" t="s">
        <v>152</v>
      </c>
      <c r="G2" s="191" t="s">
        <v>148</v>
      </c>
      <c r="H2" s="189" t="s">
        <v>147</v>
      </c>
      <c r="I2" s="189" t="s">
        <v>148</v>
      </c>
      <c r="J2" s="189" t="s">
        <v>149</v>
      </c>
      <c r="K2" s="189" t="s">
        <v>150</v>
      </c>
      <c r="L2" s="190" t="s">
        <v>151</v>
      </c>
      <c r="M2" s="189" t="s">
        <v>152</v>
      </c>
      <c r="N2" s="187" t="s">
        <v>148</v>
      </c>
    </row>
    <row r="3" spans="1:25" ht="15.4" thickBot="1" x14ac:dyDescent="0.5">
      <c r="A3" s="192" t="s">
        <v>32</v>
      </c>
      <c r="B3" s="193" t="s">
        <v>9</v>
      </c>
      <c r="D3" s="189"/>
      <c r="E3" s="192" t="s">
        <v>32</v>
      </c>
      <c r="F3" s="194" t="s">
        <v>9</v>
      </c>
      <c r="G3" s="194" t="s">
        <v>9</v>
      </c>
      <c r="H3" s="192" t="s">
        <v>32</v>
      </c>
      <c r="I3" s="193" t="s">
        <v>9</v>
      </c>
      <c r="K3" s="189"/>
      <c r="L3" s="192" t="s">
        <v>32</v>
      </c>
      <c r="M3" s="194" t="s">
        <v>9</v>
      </c>
      <c r="N3" s="194" t="s">
        <v>9</v>
      </c>
      <c r="V3" s="261" t="s">
        <v>139</v>
      </c>
      <c r="W3" s="262"/>
      <c r="X3" s="263" t="s">
        <v>172</v>
      </c>
      <c r="Y3" s="264"/>
    </row>
    <row r="4" spans="1:25" ht="30.4" thickBot="1" x14ac:dyDescent="0.5">
      <c r="A4" s="138" t="s">
        <v>33</v>
      </c>
      <c r="B4" s="139" t="s">
        <v>9</v>
      </c>
      <c r="D4" s="189"/>
      <c r="E4" s="138" t="s">
        <v>33</v>
      </c>
      <c r="F4" s="46" t="s">
        <v>9</v>
      </c>
      <c r="G4" s="46" t="s">
        <v>9</v>
      </c>
      <c r="H4" s="138" t="s">
        <v>33</v>
      </c>
      <c r="I4" s="139" t="s">
        <v>9</v>
      </c>
      <c r="K4" s="189"/>
      <c r="L4" s="138" t="s">
        <v>33</v>
      </c>
      <c r="M4" s="46" t="s">
        <v>9</v>
      </c>
      <c r="N4" s="46" t="s">
        <v>9</v>
      </c>
      <c r="V4" s="221" t="s">
        <v>148</v>
      </c>
      <c r="W4" s="222" t="s">
        <v>173</v>
      </c>
      <c r="X4" s="222" t="s">
        <v>148</v>
      </c>
      <c r="Y4" s="222" t="s">
        <v>173</v>
      </c>
    </row>
    <row r="5" spans="1:25" ht="15.4" thickBot="1" x14ac:dyDescent="0.5">
      <c r="A5" s="138" t="s">
        <v>34</v>
      </c>
      <c r="B5" s="139" t="s">
        <v>9</v>
      </c>
      <c r="D5" s="189"/>
      <c r="E5" s="138" t="s">
        <v>34</v>
      </c>
      <c r="F5" s="141" t="s">
        <v>9</v>
      </c>
      <c r="G5" s="141" t="s">
        <v>9</v>
      </c>
      <c r="H5" s="138" t="s">
        <v>34</v>
      </c>
      <c r="I5" s="139" t="s">
        <v>9</v>
      </c>
      <c r="K5" s="189"/>
      <c r="L5" s="138" t="s">
        <v>34</v>
      </c>
      <c r="M5" s="141" t="s">
        <v>9</v>
      </c>
      <c r="N5" s="141" t="s">
        <v>9</v>
      </c>
      <c r="V5" s="223" t="s">
        <v>0</v>
      </c>
      <c r="W5" s="224" t="s">
        <v>174</v>
      </c>
      <c r="X5" s="225" t="s">
        <v>0</v>
      </c>
      <c r="Y5" s="224" t="s">
        <v>175</v>
      </c>
    </row>
    <row r="6" spans="1:25" ht="15.4" thickBot="1" x14ac:dyDescent="0.5">
      <c r="A6" s="195" t="s">
        <v>36</v>
      </c>
      <c r="B6" s="196" t="s">
        <v>9</v>
      </c>
      <c r="D6" s="189"/>
      <c r="E6" s="195" t="s">
        <v>36</v>
      </c>
      <c r="F6" s="194" t="s">
        <v>9</v>
      </c>
      <c r="G6" s="194" t="s">
        <v>9</v>
      </c>
      <c r="H6" s="195" t="s">
        <v>36</v>
      </c>
      <c r="I6" s="196" t="s">
        <v>9</v>
      </c>
      <c r="K6" s="189"/>
      <c r="L6" s="195" t="s">
        <v>36</v>
      </c>
      <c r="M6" s="194" t="s">
        <v>9</v>
      </c>
      <c r="N6" s="194" t="s">
        <v>9</v>
      </c>
      <c r="V6" s="223" t="s">
        <v>9</v>
      </c>
      <c r="W6" s="225"/>
      <c r="X6" s="226">
        <v>2</v>
      </c>
      <c r="Y6" s="226" t="s">
        <v>176</v>
      </c>
    </row>
    <row r="7" spans="1:25" ht="15.4" thickBot="1" x14ac:dyDescent="0.5">
      <c r="A7" s="195" t="s">
        <v>35</v>
      </c>
      <c r="B7" s="196" t="s">
        <v>9</v>
      </c>
      <c r="D7" s="189"/>
      <c r="E7" s="195" t="s">
        <v>35</v>
      </c>
      <c r="F7" s="194" t="s">
        <v>9</v>
      </c>
      <c r="G7" s="194" t="s">
        <v>9</v>
      </c>
      <c r="H7" s="195" t="s">
        <v>35</v>
      </c>
      <c r="I7" s="196" t="s">
        <v>9</v>
      </c>
      <c r="K7" s="189"/>
      <c r="L7" s="195" t="s">
        <v>35</v>
      </c>
      <c r="M7" s="194" t="s">
        <v>9</v>
      </c>
      <c r="N7" s="194" t="s">
        <v>9</v>
      </c>
      <c r="V7" s="227">
        <v>3</v>
      </c>
      <c r="W7" s="228" t="s">
        <v>177</v>
      </c>
      <c r="X7" s="229">
        <v>3</v>
      </c>
      <c r="Y7" s="229" t="s">
        <v>178</v>
      </c>
    </row>
    <row r="8" spans="1:25" ht="15.4" thickBot="1" x14ac:dyDescent="0.5">
      <c r="A8" s="195" t="s">
        <v>37</v>
      </c>
      <c r="B8" s="196" t="s">
        <v>9</v>
      </c>
      <c r="D8" s="189"/>
      <c r="E8" s="195" t="s">
        <v>37</v>
      </c>
      <c r="F8" s="194" t="s">
        <v>9</v>
      </c>
      <c r="G8" s="194" t="s">
        <v>9</v>
      </c>
      <c r="H8" s="195" t="s">
        <v>37</v>
      </c>
      <c r="I8" s="196" t="s">
        <v>9</v>
      </c>
      <c r="K8" s="189"/>
      <c r="L8" s="195" t="s">
        <v>37</v>
      </c>
      <c r="M8" s="194" t="s">
        <v>9</v>
      </c>
      <c r="N8" s="194" t="s">
        <v>9</v>
      </c>
      <c r="V8" s="230">
        <v>4</v>
      </c>
      <c r="W8" s="231" t="s">
        <v>179</v>
      </c>
      <c r="X8" s="231">
        <v>4</v>
      </c>
      <c r="Y8" s="231" t="s">
        <v>180</v>
      </c>
    </row>
    <row r="9" spans="1:25" ht="15.4" thickBot="1" x14ac:dyDescent="0.5">
      <c r="A9" s="197" t="s">
        <v>38</v>
      </c>
      <c r="B9" s="196" t="s">
        <v>9</v>
      </c>
      <c r="D9" s="189"/>
      <c r="E9" s="197" t="s">
        <v>38</v>
      </c>
      <c r="F9" s="194" t="s">
        <v>9</v>
      </c>
      <c r="G9" s="194" t="s">
        <v>9</v>
      </c>
      <c r="H9" s="197" t="s">
        <v>38</v>
      </c>
      <c r="I9" s="196" t="s">
        <v>9</v>
      </c>
      <c r="K9" s="189"/>
      <c r="L9" s="197" t="s">
        <v>38</v>
      </c>
      <c r="M9" s="194" t="s">
        <v>9</v>
      </c>
      <c r="N9" s="194" t="s">
        <v>9</v>
      </c>
      <c r="P9" s="207" t="s">
        <v>161</v>
      </c>
      <c r="Q9" s="207"/>
      <c r="R9" s="207"/>
      <c r="S9" s="207"/>
      <c r="T9" s="207"/>
      <c r="U9" s="207"/>
      <c r="V9" s="232">
        <v>5</v>
      </c>
      <c r="W9" s="233" t="s">
        <v>181</v>
      </c>
      <c r="X9" s="233">
        <v>5</v>
      </c>
      <c r="Y9" s="233" t="s">
        <v>182</v>
      </c>
    </row>
    <row r="10" spans="1:25" x14ac:dyDescent="0.45">
      <c r="A10" s="238">
        <v>12</v>
      </c>
      <c r="B10" s="238">
        <v>3</v>
      </c>
      <c r="C10" s="238">
        <v>12</v>
      </c>
      <c r="D10" s="238">
        <v>18</v>
      </c>
      <c r="E10" s="238" t="str">
        <f>CONCATENATE(A10," - Fine grade = ",ROUND(F10,4))</f>
        <v>12 - Fine grade = 3</v>
      </c>
      <c r="F10" s="238">
        <f>B10+((A10-C10)/(D10-C10+1))</f>
        <v>3</v>
      </c>
      <c r="G10" s="239">
        <f>B10</f>
        <v>3</v>
      </c>
      <c r="H10" s="240">
        <v>15</v>
      </c>
      <c r="I10" s="240">
        <v>2</v>
      </c>
      <c r="J10" s="240">
        <v>15</v>
      </c>
      <c r="K10" s="240">
        <v>17</v>
      </c>
      <c r="L10" s="240" t="str">
        <f>CONCATENATE(H10," - Fine grade = ",ROUND(M10,4))</f>
        <v>15 - Fine grade = 2.8929</v>
      </c>
      <c r="M10" s="240">
        <f>3-((J13-H10)/(K13-J13+1))</f>
        <v>2.8928571428571428</v>
      </c>
      <c r="N10" s="240">
        <f>I10</f>
        <v>2</v>
      </c>
      <c r="P10" s="211">
        <f>VLOOKUP(A10,'KS2 Fine grades lookup'!$A$10:$C$49,1,FALSE)</f>
        <v>12</v>
      </c>
      <c r="Q10" s="212" t="str">
        <f>IF(VLOOKUP(A10,'KS2 Fine grades lookup'!$A$10:$C$49,3,FALSE)=F10,"OK","not OK")</f>
        <v>OK</v>
      </c>
      <c r="R10" s="213" t="str">
        <f>IF(VLOOKUP(A10,'KS2 Fine grades lookup'!$A$10:$C$49,2,FALSE)=G10,"OK","not OK")</f>
        <v>OK</v>
      </c>
      <c r="S10" s="211">
        <f>VLOOKUP(H10,'KS2 Fine grades lookup'!$E$10:$G$95,1,FALSE)</f>
        <v>15</v>
      </c>
      <c r="T10" s="214" t="str">
        <f>IF(VLOOKUP(H10,'KS2 Fine grades lookup'!$E$10:$G$95,3,FALSE)=ROUND(M10,2),"OK","Not OK")</f>
        <v>Not OK</v>
      </c>
      <c r="U10" s="213" t="str">
        <f>IF(VLOOKUP(H10,'KS2 Fine grades lookup'!$E$10:$G$95,2,FALSE)=N10,"OK","not OK")</f>
        <v>OK</v>
      </c>
    </row>
    <row r="11" spans="1:25" x14ac:dyDescent="0.45">
      <c r="A11" s="238">
        <v>13</v>
      </c>
      <c r="B11" s="238">
        <v>3</v>
      </c>
      <c r="C11" s="238">
        <v>12</v>
      </c>
      <c r="D11" s="238">
        <v>18</v>
      </c>
      <c r="E11" s="238" t="str">
        <f t="shared" ref="E11:E48" si="0">CONCATENATE(A11," - Fine grade = ",ROUND(F11,4))</f>
        <v>13 - Fine grade = 3.1429</v>
      </c>
      <c r="F11" s="238">
        <f t="shared" ref="F11:F48" si="1">B11+((A11-C11)/(D11-C11+1))</f>
        <v>3.1428571428571428</v>
      </c>
      <c r="G11" s="239">
        <f t="shared" ref="G11:G48" si="2">B11</f>
        <v>3</v>
      </c>
      <c r="H11" s="240">
        <f>H10+1</f>
        <v>16</v>
      </c>
      <c r="I11" s="240">
        <v>2</v>
      </c>
      <c r="J11" s="240">
        <v>15</v>
      </c>
      <c r="K11" s="240">
        <v>17</v>
      </c>
      <c r="L11" s="240" t="str">
        <f t="shared" ref="L11:L74" si="3">CONCATENATE(H11," - Fine grade = ",ROUND(M11,4))</f>
        <v>16 - Fine grade = 2.9286</v>
      </c>
      <c r="M11" s="240">
        <f t="shared" ref="M11:M12" si="4">3-((J14-H11)/(K14-J14+1))</f>
        <v>2.9285714285714284</v>
      </c>
      <c r="N11" s="240">
        <f t="shared" ref="N11:N74" si="5">I11</f>
        <v>2</v>
      </c>
      <c r="P11" s="211">
        <f>VLOOKUP(A11,'KS2 Fine grades lookup'!$A$10:$C$49,1,FALSE)</f>
        <v>13</v>
      </c>
      <c r="Q11" s="212" t="str">
        <f>IF(VLOOKUP(A11,'KS2 Fine grades lookup'!$A$10:$C$49,3,FALSE)=F11,"OK","not OK")</f>
        <v>OK</v>
      </c>
      <c r="R11" s="213" t="str">
        <f>IF(VLOOKUP(A11,'KS2 Fine grades lookup'!$A$10:$C$49,2,FALSE)=G11,"OK","not OK")</f>
        <v>OK</v>
      </c>
      <c r="S11" s="211">
        <f>VLOOKUP(H11,'KS2 Fine grades lookup'!$E$10:$G$95,1,FALSE)</f>
        <v>16</v>
      </c>
      <c r="T11" s="214" t="str">
        <f>IF(VLOOKUP(H11,'KS2 Fine grades lookup'!$E$10:$G$95,3,FALSE)=M11,"OK","Not OK")</f>
        <v>OK</v>
      </c>
      <c r="U11" s="213" t="str">
        <f>IF(VLOOKUP(H11,'KS2 Fine grades lookup'!$E$10:$G$95,2,FALSE)=N11,"OK","not OK")</f>
        <v>OK</v>
      </c>
    </row>
    <row r="12" spans="1:25" x14ac:dyDescent="0.45">
      <c r="A12" s="238">
        <v>14</v>
      </c>
      <c r="B12" s="238">
        <v>3</v>
      </c>
      <c r="C12" s="238">
        <v>12</v>
      </c>
      <c r="D12" s="238">
        <v>18</v>
      </c>
      <c r="E12" s="238" t="str">
        <f t="shared" si="0"/>
        <v>14 - Fine grade = 3.2857</v>
      </c>
      <c r="F12" s="238">
        <f t="shared" si="1"/>
        <v>3.2857142857142856</v>
      </c>
      <c r="G12" s="239">
        <f t="shared" si="2"/>
        <v>3</v>
      </c>
      <c r="H12" s="240">
        <f t="shared" ref="H12:H75" si="6">H11+1</f>
        <v>17</v>
      </c>
      <c r="I12" s="240">
        <v>2</v>
      </c>
      <c r="J12" s="240">
        <v>15</v>
      </c>
      <c r="K12" s="240">
        <v>17</v>
      </c>
      <c r="L12" s="240" t="str">
        <f t="shared" si="3"/>
        <v>17 - Fine grade = 2.9643</v>
      </c>
      <c r="M12" s="240">
        <f t="shared" si="4"/>
        <v>2.9642857142857144</v>
      </c>
      <c r="N12" s="240">
        <f t="shared" si="5"/>
        <v>2</v>
      </c>
      <c r="P12" s="211">
        <f>VLOOKUP(A12,'KS2 Fine grades lookup'!$A$10:$C$49,1,FALSE)</f>
        <v>14</v>
      </c>
      <c r="Q12" s="212" t="str">
        <f>IF(VLOOKUP(A12,'KS2 Fine grades lookup'!$A$10:$C$49,3,FALSE)=F12,"OK","not OK")</f>
        <v>OK</v>
      </c>
      <c r="R12" s="213" t="str">
        <f>IF(VLOOKUP(A12,'KS2 Fine grades lookup'!$A$10:$C$49,2,FALSE)=G12,"OK","not OK")</f>
        <v>OK</v>
      </c>
      <c r="S12" s="211">
        <f>VLOOKUP(H12,'KS2 Fine grades lookup'!$E$10:$G$95,1,FALSE)</f>
        <v>17</v>
      </c>
      <c r="T12" s="214" t="str">
        <f>IF(VLOOKUP(H12,'KS2 Fine grades lookup'!$E$10:$G$95,3,FALSE)=M12,"OK","Not OK")</f>
        <v>OK</v>
      </c>
      <c r="U12" s="213" t="str">
        <f>IF(VLOOKUP(H12,'KS2 Fine grades lookup'!$E$10:$G$95,2,FALSE)=N12,"OK","not OK")</f>
        <v>OK</v>
      </c>
    </row>
    <row r="13" spans="1:25" x14ac:dyDescent="0.45">
      <c r="A13" s="238">
        <v>15</v>
      </c>
      <c r="B13" s="238">
        <v>3</v>
      </c>
      <c r="C13" s="238">
        <v>12</v>
      </c>
      <c r="D13" s="238">
        <v>18</v>
      </c>
      <c r="E13" s="238" t="str">
        <f t="shared" si="0"/>
        <v>15 - Fine grade = 3.4286</v>
      </c>
      <c r="F13" s="238">
        <f t="shared" si="1"/>
        <v>3.4285714285714284</v>
      </c>
      <c r="G13" s="239">
        <f t="shared" si="2"/>
        <v>3</v>
      </c>
      <c r="H13" s="238">
        <f t="shared" si="6"/>
        <v>18</v>
      </c>
      <c r="I13" s="238">
        <v>3</v>
      </c>
      <c r="J13" s="238">
        <v>18</v>
      </c>
      <c r="K13" s="238">
        <v>45</v>
      </c>
      <c r="L13" s="238" t="str">
        <f t="shared" si="3"/>
        <v>18 - Fine grade = 3</v>
      </c>
      <c r="M13" s="238">
        <f t="shared" ref="M13:M76" si="7">I13+((H13-J13)/(K13-J13+1))</f>
        <v>3</v>
      </c>
      <c r="N13" s="238">
        <f t="shared" si="5"/>
        <v>3</v>
      </c>
      <c r="P13" s="211">
        <f>VLOOKUP(A13,'KS2 Fine grades lookup'!$A$10:$C$49,1,FALSE)</f>
        <v>15</v>
      </c>
      <c r="Q13" s="212" t="str">
        <f>IF(VLOOKUP(A13,'KS2 Fine grades lookup'!$A$10:$C$49,3,FALSE)=F13,"OK","not OK")</f>
        <v>OK</v>
      </c>
      <c r="R13" s="213" t="str">
        <f>IF(VLOOKUP(A13,'KS2 Fine grades lookup'!$A$10:$C$49,2,FALSE)=G13,"OK","not OK")</f>
        <v>OK</v>
      </c>
      <c r="S13" s="211">
        <f>VLOOKUP(H13,'KS2 Fine grades lookup'!$E$10:$G$95,1,FALSE)</f>
        <v>18</v>
      </c>
      <c r="T13" s="214" t="str">
        <f>IF(VLOOKUP(H13,'KS2 Fine grades lookup'!$E$10:$G$95,3,FALSE)=M13,"OK","Not OK")</f>
        <v>OK</v>
      </c>
      <c r="U13" s="213" t="str">
        <f>IF(VLOOKUP(H13,'KS2 Fine grades lookup'!$E$10:$G$95,2,FALSE)=N13,"OK","not OK")</f>
        <v>OK</v>
      </c>
    </row>
    <row r="14" spans="1:25" x14ac:dyDescent="0.45">
      <c r="A14" s="238">
        <v>16</v>
      </c>
      <c r="B14" s="238">
        <v>3</v>
      </c>
      <c r="C14" s="238">
        <v>12</v>
      </c>
      <c r="D14" s="238">
        <v>18</v>
      </c>
      <c r="E14" s="238" t="str">
        <f t="shared" si="0"/>
        <v>16 - Fine grade = 3.5714</v>
      </c>
      <c r="F14" s="238">
        <f t="shared" si="1"/>
        <v>3.5714285714285712</v>
      </c>
      <c r="G14" s="239">
        <f t="shared" si="2"/>
        <v>3</v>
      </c>
      <c r="H14" s="238">
        <f t="shared" si="6"/>
        <v>19</v>
      </c>
      <c r="I14" s="238">
        <v>3</v>
      </c>
      <c r="J14" s="238">
        <v>18</v>
      </c>
      <c r="K14" s="238">
        <v>45</v>
      </c>
      <c r="L14" s="238" t="str">
        <f t="shared" si="3"/>
        <v>19 - Fine grade = 3.0357</v>
      </c>
      <c r="M14" s="238">
        <f t="shared" si="7"/>
        <v>3.0357142857142856</v>
      </c>
      <c r="N14" s="238">
        <f t="shared" si="5"/>
        <v>3</v>
      </c>
      <c r="P14" s="211">
        <f>VLOOKUP(A14,'KS2 Fine grades lookup'!$A$10:$C$49,1,FALSE)</f>
        <v>16</v>
      </c>
      <c r="Q14" s="212" t="str">
        <f>IF(VLOOKUP(A14,'KS2 Fine grades lookup'!$A$10:$C$49,3,FALSE)=F14,"OK","not OK")</f>
        <v>OK</v>
      </c>
      <c r="R14" s="213" t="str">
        <f>IF(VLOOKUP(A14,'KS2 Fine grades lookup'!$A$10:$C$49,2,FALSE)=G14,"OK","not OK")</f>
        <v>OK</v>
      </c>
      <c r="S14" s="211">
        <f>VLOOKUP(H14,'KS2 Fine grades lookup'!$E$10:$G$95,1,FALSE)</f>
        <v>19</v>
      </c>
      <c r="T14" s="214" t="str">
        <f>IF(VLOOKUP(H14,'KS2 Fine grades lookup'!$E$10:$G$95,3,FALSE)=M14,"OK","Not OK")</f>
        <v>OK</v>
      </c>
      <c r="U14" s="213" t="str">
        <f>IF(VLOOKUP(H14,'KS2 Fine grades lookup'!$E$10:$G$95,2,FALSE)=N14,"OK","not OK")</f>
        <v>OK</v>
      </c>
    </row>
    <row r="15" spans="1:25" x14ac:dyDescent="0.45">
      <c r="A15" s="238">
        <v>17</v>
      </c>
      <c r="B15" s="238">
        <v>3</v>
      </c>
      <c r="C15" s="238">
        <v>12</v>
      </c>
      <c r="D15" s="238">
        <v>18</v>
      </c>
      <c r="E15" s="238" t="str">
        <f t="shared" si="0"/>
        <v>17 - Fine grade = 3.7143</v>
      </c>
      <c r="F15" s="238">
        <f t="shared" si="1"/>
        <v>3.7142857142857144</v>
      </c>
      <c r="G15" s="239">
        <f t="shared" si="2"/>
        <v>3</v>
      </c>
      <c r="H15" s="238">
        <f t="shared" si="6"/>
        <v>20</v>
      </c>
      <c r="I15" s="238">
        <v>3</v>
      </c>
      <c r="J15" s="238">
        <v>18</v>
      </c>
      <c r="K15" s="238">
        <v>45</v>
      </c>
      <c r="L15" s="238" t="str">
        <f t="shared" si="3"/>
        <v>20 - Fine grade = 3.0714</v>
      </c>
      <c r="M15" s="238">
        <f t="shared" si="7"/>
        <v>3.0714285714285716</v>
      </c>
      <c r="N15" s="238">
        <f t="shared" si="5"/>
        <v>3</v>
      </c>
      <c r="P15" s="211">
        <f>VLOOKUP(A15,'KS2 Fine grades lookup'!$A$10:$C$49,1,FALSE)</f>
        <v>17</v>
      </c>
      <c r="Q15" s="212" t="str">
        <f>IF(VLOOKUP(A15,'KS2 Fine grades lookup'!$A$10:$C$49,3,FALSE)=F15,"OK","not OK")</f>
        <v>OK</v>
      </c>
      <c r="R15" s="213" t="str">
        <f>IF(VLOOKUP(A15,'KS2 Fine grades lookup'!$A$10:$C$49,2,FALSE)=G15,"OK","not OK")</f>
        <v>OK</v>
      </c>
      <c r="S15" s="211">
        <f>VLOOKUP(H15,'KS2 Fine grades lookup'!$E$10:$G$95,1,FALSE)</f>
        <v>20</v>
      </c>
      <c r="T15" s="214" t="str">
        <f>IF(VLOOKUP(H15,'KS2 Fine grades lookup'!$E$10:$G$95,3,FALSE)=M15,"OK","Not OK")</f>
        <v>OK</v>
      </c>
      <c r="U15" s="213" t="str">
        <f>IF(VLOOKUP(H15,'KS2 Fine grades lookup'!$E$10:$G$95,2,FALSE)=N15,"OK","not OK")</f>
        <v>OK</v>
      </c>
    </row>
    <row r="16" spans="1:25" x14ac:dyDescent="0.45">
      <c r="A16" s="238">
        <f t="shared" ref="A16:A48" si="8">A15+1</f>
        <v>18</v>
      </c>
      <c r="B16" s="238">
        <v>3</v>
      </c>
      <c r="C16" s="238">
        <v>12</v>
      </c>
      <c r="D16" s="238">
        <v>18</v>
      </c>
      <c r="E16" s="238" t="str">
        <f t="shared" si="0"/>
        <v>18 - Fine grade = 3.8571</v>
      </c>
      <c r="F16" s="238">
        <f t="shared" si="1"/>
        <v>3.8571428571428572</v>
      </c>
      <c r="G16" s="239">
        <f t="shared" si="2"/>
        <v>3</v>
      </c>
      <c r="H16" s="238">
        <f t="shared" si="6"/>
        <v>21</v>
      </c>
      <c r="I16" s="238">
        <v>3</v>
      </c>
      <c r="J16" s="238">
        <v>18</v>
      </c>
      <c r="K16" s="238">
        <v>45</v>
      </c>
      <c r="L16" s="238" t="str">
        <f t="shared" si="3"/>
        <v>21 - Fine grade = 3.1071</v>
      </c>
      <c r="M16" s="238">
        <f t="shared" si="7"/>
        <v>3.1071428571428572</v>
      </c>
      <c r="N16" s="238">
        <f t="shared" si="5"/>
        <v>3</v>
      </c>
      <c r="P16" s="211">
        <f>VLOOKUP(A16,'KS2 Fine grades lookup'!$A$10:$C$49,1,FALSE)</f>
        <v>18</v>
      </c>
      <c r="Q16" s="212" t="str">
        <f>IF(VLOOKUP(A16,'KS2 Fine grades lookup'!$A$10:$C$49,3,FALSE)=F16,"OK","not OK")</f>
        <v>OK</v>
      </c>
      <c r="R16" s="213" t="str">
        <f>IF(VLOOKUP(A16,'KS2 Fine grades lookup'!$A$10:$C$49,2,FALSE)=G16,"OK","not OK")</f>
        <v>OK</v>
      </c>
      <c r="S16" s="211">
        <f>VLOOKUP(H16,'KS2 Fine grades lookup'!$E$10:$G$95,1,FALSE)</f>
        <v>21</v>
      </c>
      <c r="T16" s="214" t="str">
        <f>IF(VLOOKUP(H16,'KS2 Fine grades lookup'!$E$10:$G$95,3,FALSE)=M16,"OK","Not OK")</f>
        <v>OK</v>
      </c>
      <c r="U16" s="213" t="str">
        <f>IF(VLOOKUP(H16,'KS2 Fine grades lookup'!$E$10:$G$95,2,FALSE)=N16,"OK","not OK")</f>
        <v>OK</v>
      </c>
    </row>
    <row r="17" spans="1:21" x14ac:dyDescent="0.45">
      <c r="A17" s="236">
        <f t="shared" si="8"/>
        <v>19</v>
      </c>
      <c r="B17" s="236">
        <v>4</v>
      </c>
      <c r="C17" s="236">
        <v>19</v>
      </c>
      <c r="D17" s="236">
        <v>31</v>
      </c>
      <c r="E17" s="236" t="str">
        <f t="shared" si="0"/>
        <v>19 - Fine grade = 4</v>
      </c>
      <c r="F17" s="236">
        <f t="shared" si="1"/>
        <v>4</v>
      </c>
      <c r="G17" s="237">
        <f t="shared" si="2"/>
        <v>4</v>
      </c>
      <c r="H17" s="238">
        <f t="shared" si="6"/>
        <v>22</v>
      </c>
      <c r="I17" s="238">
        <v>3</v>
      </c>
      <c r="J17" s="238">
        <v>18</v>
      </c>
      <c r="K17" s="238">
        <v>45</v>
      </c>
      <c r="L17" s="238" t="str">
        <f t="shared" si="3"/>
        <v>22 - Fine grade = 3.1429</v>
      </c>
      <c r="M17" s="238">
        <f t="shared" si="7"/>
        <v>3.1428571428571428</v>
      </c>
      <c r="N17" s="238">
        <f t="shared" si="5"/>
        <v>3</v>
      </c>
      <c r="P17" s="211">
        <f>VLOOKUP(A17,'KS2 Fine grades lookup'!$A$10:$C$49,1,FALSE)</f>
        <v>19</v>
      </c>
      <c r="Q17" s="212" t="str">
        <f>IF(VLOOKUP(A17,'KS2 Fine grades lookup'!$A$10:$C$49,3,FALSE)=F17,"OK","not OK")</f>
        <v>OK</v>
      </c>
      <c r="R17" s="213" t="str">
        <f>IF(VLOOKUP(A17,'KS2 Fine grades lookup'!$A$10:$C$49,2,FALSE)=G17,"OK","not OK")</f>
        <v>OK</v>
      </c>
      <c r="S17" s="211">
        <f>VLOOKUP(H17,'KS2 Fine grades lookup'!$E$10:$G$95,1,FALSE)</f>
        <v>22</v>
      </c>
      <c r="T17" s="214" t="str">
        <f>IF(VLOOKUP(H17,'KS2 Fine grades lookup'!$E$10:$G$95,3,FALSE)=M17,"OK","Not OK")</f>
        <v>OK</v>
      </c>
      <c r="U17" s="213" t="str">
        <f>IF(VLOOKUP(H17,'KS2 Fine grades lookup'!$E$10:$G$95,2,FALSE)=N17,"OK","not OK")</f>
        <v>OK</v>
      </c>
    </row>
    <row r="18" spans="1:21" x14ac:dyDescent="0.45">
      <c r="A18" s="236">
        <f t="shared" si="8"/>
        <v>20</v>
      </c>
      <c r="B18" s="236">
        <v>4</v>
      </c>
      <c r="C18" s="236">
        <v>19</v>
      </c>
      <c r="D18" s="236">
        <v>31</v>
      </c>
      <c r="E18" s="236" t="str">
        <f t="shared" si="0"/>
        <v>20 - Fine grade = 4.0769</v>
      </c>
      <c r="F18" s="236">
        <f t="shared" si="1"/>
        <v>4.0769230769230766</v>
      </c>
      <c r="G18" s="237">
        <f t="shared" si="2"/>
        <v>4</v>
      </c>
      <c r="H18" s="238">
        <f t="shared" si="6"/>
        <v>23</v>
      </c>
      <c r="I18" s="238">
        <v>3</v>
      </c>
      <c r="J18" s="238">
        <v>18</v>
      </c>
      <c r="K18" s="238">
        <v>45</v>
      </c>
      <c r="L18" s="238" t="str">
        <f t="shared" si="3"/>
        <v>23 - Fine grade = 3.1786</v>
      </c>
      <c r="M18" s="238">
        <f t="shared" si="7"/>
        <v>3.1785714285714284</v>
      </c>
      <c r="N18" s="238">
        <f t="shared" si="5"/>
        <v>3</v>
      </c>
      <c r="P18" s="211">
        <f>VLOOKUP(A18,'KS2 Fine grades lookup'!$A$10:$C$49,1,FALSE)</f>
        <v>20</v>
      </c>
      <c r="Q18" s="212" t="str">
        <f>IF(VLOOKUP(A18,'KS2 Fine grades lookup'!$A$10:$C$49,3,FALSE)=F18,"OK","not OK")</f>
        <v>OK</v>
      </c>
      <c r="R18" s="213" t="str">
        <f>IF(VLOOKUP(A18,'KS2 Fine grades lookup'!$A$10:$C$49,2,FALSE)=G18,"OK","not OK")</f>
        <v>OK</v>
      </c>
      <c r="S18" s="211">
        <f>VLOOKUP(H18,'KS2 Fine grades lookup'!$E$10:$G$95,1,FALSE)</f>
        <v>23</v>
      </c>
      <c r="T18" s="214" t="str">
        <f>IF(VLOOKUP(H18,'KS2 Fine grades lookup'!$E$10:$G$95,3,FALSE)=M18,"OK","Not OK")</f>
        <v>OK</v>
      </c>
      <c r="U18" s="213" t="str">
        <f>IF(VLOOKUP(H18,'KS2 Fine grades lookup'!$E$10:$G$95,2,FALSE)=N18,"OK","not OK")</f>
        <v>OK</v>
      </c>
    </row>
    <row r="19" spans="1:21" x14ac:dyDescent="0.45">
      <c r="A19" s="236">
        <f t="shared" si="8"/>
        <v>21</v>
      </c>
      <c r="B19" s="236">
        <v>4</v>
      </c>
      <c r="C19" s="236">
        <v>19</v>
      </c>
      <c r="D19" s="236">
        <v>31</v>
      </c>
      <c r="E19" s="236" t="str">
        <f t="shared" si="0"/>
        <v>21 - Fine grade = 4.1538</v>
      </c>
      <c r="F19" s="236">
        <f t="shared" si="1"/>
        <v>4.1538461538461542</v>
      </c>
      <c r="G19" s="237">
        <f t="shared" si="2"/>
        <v>4</v>
      </c>
      <c r="H19" s="238">
        <f t="shared" si="6"/>
        <v>24</v>
      </c>
      <c r="I19" s="238">
        <v>3</v>
      </c>
      <c r="J19" s="238">
        <v>18</v>
      </c>
      <c r="K19" s="238">
        <v>45</v>
      </c>
      <c r="L19" s="238" t="str">
        <f t="shared" si="3"/>
        <v>24 - Fine grade = 3.2143</v>
      </c>
      <c r="M19" s="238">
        <f t="shared" si="7"/>
        <v>3.2142857142857144</v>
      </c>
      <c r="N19" s="238">
        <f t="shared" si="5"/>
        <v>3</v>
      </c>
      <c r="P19" s="211">
        <f>VLOOKUP(A19,'KS2 Fine grades lookup'!$A$10:$C$49,1,FALSE)</f>
        <v>21</v>
      </c>
      <c r="Q19" s="212" t="str">
        <f>IF(VLOOKUP(A19,'KS2 Fine grades lookup'!$A$10:$C$49,3,FALSE)=F19,"OK","not OK")</f>
        <v>OK</v>
      </c>
      <c r="R19" s="213" t="str">
        <f>IF(VLOOKUP(A19,'KS2 Fine grades lookup'!$A$10:$C$49,2,FALSE)=G19,"OK","not OK")</f>
        <v>OK</v>
      </c>
      <c r="S19" s="211">
        <f>VLOOKUP(H19,'KS2 Fine grades lookup'!$E$10:$G$95,1,FALSE)</f>
        <v>24</v>
      </c>
      <c r="T19" s="214" t="str">
        <f>IF(VLOOKUP(H19,'KS2 Fine grades lookup'!$E$10:$G$95,3,FALSE)=M19,"OK","Not OK")</f>
        <v>OK</v>
      </c>
      <c r="U19" s="213" t="str">
        <f>IF(VLOOKUP(H19,'KS2 Fine grades lookup'!$E$10:$G$95,2,FALSE)=N19,"OK","not OK")</f>
        <v>OK</v>
      </c>
    </row>
    <row r="20" spans="1:21" x14ac:dyDescent="0.45">
      <c r="A20" s="236">
        <f t="shared" si="8"/>
        <v>22</v>
      </c>
      <c r="B20" s="236">
        <v>4</v>
      </c>
      <c r="C20" s="236">
        <v>19</v>
      </c>
      <c r="D20" s="236">
        <v>31</v>
      </c>
      <c r="E20" s="236" t="str">
        <f t="shared" si="0"/>
        <v>22 - Fine grade = 4.2308</v>
      </c>
      <c r="F20" s="236">
        <f t="shared" si="1"/>
        <v>4.2307692307692308</v>
      </c>
      <c r="G20" s="237">
        <f t="shared" si="2"/>
        <v>4</v>
      </c>
      <c r="H20" s="238">
        <f t="shared" si="6"/>
        <v>25</v>
      </c>
      <c r="I20" s="238">
        <v>3</v>
      </c>
      <c r="J20" s="238">
        <v>18</v>
      </c>
      <c r="K20" s="238">
        <v>45</v>
      </c>
      <c r="L20" s="238" t="str">
        <f t="shared" si="3"/>
        <v>25 - Fine grade = 3.25</v>
      </c>
      <c r="M20" s="238">
        <f t="shared" si="7"/>
        <v>3.25</v>
      </c>
      <c r="N20" s="238">
        <f t="shared" si="5"/>
        <v>3</v>
      </c>
      <c r="P20" s="211">
        <f>VLOOKUP(A20,'KS2 Fine grades lookup'!$A$10:$C$49,1,FALSE)</f>
        <v>22</v>
      </c>
      <c r="Q20" s="212" t="str">
        <f>IF(VLOOKUP(A20,'KS2 Fine grades lookup'!$A$10:$C$49,3,FALSE)=F20,"OK","not OK")</f>
        <v>OK</v>
      </c>
      <c r="R20" s="213" t="str">
        <f>IF(VLOOKUP(A20,'KS2 Fine grades lookup'!$A$10:$C$49,2,FALSE)=G20,"OK","not OK")</f>
        <v>OK</v>
      </c>
      <c r="S20" s="211">
        <f>VLOOKUP(H20,'KS2 Fine grades lookup'!$E$10:$G$95,1,FALSE)</f>
        <v>25</v>
      </c>
      <c r="T20" s="214" t="str">
        <f>IF(VLOOKUP(H20,'KS2 Fine grades lookup'!$E$10:$G$95,3,FALSE)=M20,"OK","Not OK")</f>
        <v>OK</v>
      </c>
      <c r="U20" s="213" t="str">
        <f>IF(VLOOKUP(H20,'KS2 Fine grades lookup'!$E$10:$G$95,2,FALSE)=N20,"OK","not OK")</f>
        <v>OK</v>
      </c>
    </row>
    <row r="21" spans="1:21" x14ac:dyDescent="0.45">
      <c r="A21" s="236">
        <f t="shared" si="8"/>
        <v>23</v>
      </c>
      <c r="B21" s="236">
        <v>4</v>
      </c>
      <c r="C21" s="236">
        <v>19</v>
      </c>
      <c r="D21" s="236">
        <v>31</v>
      </c>
      <c r="E21" s="236" t="str">
        <f t="shared" si="0"/>
        <v>23 - Fine grade = 4.3077</v>
      </c>
      <c r="F21" s="236">
        <f t="shared" si="1"/>
        <v>4.3076923076923075</v>
      </c>
      <c r="G21" s="237">
        <f t="shared" si="2"/>
        <v>4</v>
      </c>
      <c r="H21" s="238">
        <f t="shared" si="6"/>
        <v>26</v>
      </c>
      <c r="I21" s="238">
        <v>3</v>
      </c>
      <c r="J21" s="238">
        <v>18</v>
      </c>
      <c r="K21" s="238">
        <v>45</v>
      </c>
      <c r="L21" s="238" t="str">
        <f t="shared" si="3"/>
        <v>26 - Fine grade = 3.2857</v>
      </c>
      <c r="M21" s="238">
        <f t="shared" si="7"/>
        <v>3.2857142857142856</v>
      </c>
      <c r="N21" s="238">
        <f t="shared" si="5"/>
        <v>3</v>
      </c>
      <c r="P21" s="211">
        <f>VLOOKUP(A21,'KS2 Fine grades lookup'!$A$10:$C$49,1,FALSE)</f>
        <v>23</v>
      </c>
      <c r="Q21" s="212" t="str">
        <f>IF(VLOOKUP(A21,'KS2 Fine grades lookup'!$A$10:$C$49,3,FALSE)=F21,"OK","not OK")</f>
        <v>OK</v>
      </c>
      <c r="R21" s="213" t="str">
        <f>IF(VLOOKUP(A21,'KS2 Fine grades lookup'!$A$10:$C$49,2,FALSE)=G21,"OK","not OK")</f>
        <v>OK</v>
      </c>
      <c r="S21" s="211">
        <f>VLOOKUP(H21,'KS2 Fine grades lookup'!$E$10:$G$95,1,FALSE)</f>
        <v>26</v>
      </c>
      <c r="T21" s="214" t="str">
        <f>IF(VLOOKUP(H21,'KS2 Fine grades lookup'!$E$10:$G$95,3,FALSE)=M21,"OK","Not OK")</f>
        <v>OK</v>
      </c>
      <c r="U21" s="213" t="str">
        <f>IF(VLOOKUP(H21,'KS2 Fine grades lookup'!$E$10:$G$95,2,FALSE)=N21,"OK","not OK")</f>
        <v>OK</v>
      </c>
    </row>
    <row r="22" spans="1:21" x14ac:dyDescent="0.45">
      <c r="A22" s="236">
        <f t="shared" si="8"/>
        <v>24</v>
      </c>
      <c r="B22" s="236">
        <v>4</v>
      </c>
      <c r="C22" s="236">
        <v>19</v>
      </c>
      <c r="D22" s="236">
        <v>31</v>
      </c>
      <c r="E22" s="236" t="str">
        <f t="shared" si="0"/>
        <v>24 - Fine grade = 4.3846</v>
      </c>
      <c r="F22" s="236">
        <f t="shared" si="1"/>
        <v>4.384615384615385</v>
      </c>
      <c r="G22" s="237">
        <f t="shared" si="2"/>
        <v>4</v>
      </c>
      <c r="H22" s="238">
        <f t="shared" si="6"/>
        <v>27</v>
      </c>
      <c r="I22" s="238">
        <v>3</v>
      </c>
      <c r="J22" s="238">
        <v>18</v>
      </c>
      <c r="K22" s="238">
        <v>45</v>
      </c>
      <c r="L22" s="238" t="str">
        <f t="shared" si="3"/>
        <v>27 - Fine grade = 3.3214</v>
      </c>
      <c r="M22" s="238">
        <f t="shared" si="7"/>
        <v>3.3214285714285716</v>
      </c>
      <c r="N22" s="238">
        <f t="shared" si="5"/>
        <v>3</v>
      </c>
      <c r="P22" s="211">
        <f>VLOOKUP(A22,'KS2 Fine grades lookup'!$A$10:$C$49,1,FALSE)</f>
        <v>24</v>
      </c>
      <c r="Q22" s="212" t="str">
        <f>IF(VLOOKUP(A22,'KS2 Fine grades lookup'!$A$10:$C$49,3,FALSE)=F22,"OK","not OK")</f>
        <v>OK</v>
      </c>
      <c r="R22" s="213" t="str">
        <f>IF(VLOOKUP(A22,'KS2 Fine grades lookup'!$A$10:$C$49,2,FALSE)=G22,"OK","not OK")</f>
        <v>OK</v>
      </c>
      <c r="S22" s="211">
        <f>VLOOKUP(H22,'KS2 Fine grades lookup'!$E$10:$G$95,1,FALSE)</f>
        <v>27</v>
      </c>
      <c r="T22" s="214" t="str">
        <f>IF(VLOOKUP(H22,'KS2 Fine grades lookup'!$E$10:$G$95,3,FALSE)=M22,"OK","Not OK")</f>
        <v>OK</v>
      </c>
      <c r="U22" s="213" t="str">
        <f>IF(VLOOKUP(H22,'KS2 Fine grades lookup'!$E$10:$G$95,2,FALSE)=N22,"OK","not OK")</f>
        <v>OK</v>
      </c>
    </row>
    <row r="23" spans="1:21" x14ac:dyDescent="0.45">
      <c r="A23" s="236">
        <f t="shared" si="8"/>
        <v>25</v>
      </c>
      <c r="B23" s="236">
        <v>4</v>
      </c>
      <c r="C23" s="236">
        <v>19</v>
      </c>
      <c r="D23" s="236">
        <v>31</v>
      </c>
      <c r="E23" s="236" t="str">
        <f t="shared" si="0"/>
        <v>25 - Fine grade = 4.4615</v>
      </c>
      <c r="F23" s="236">
        <f t="shared" si="1"/>
        <v>4.4615384615384617</v>
      </c>
      <c r="G23" s="237">
        <f t="shared" si="2"/>
        <v>4</v>
      </c>
      <c r="H23" s="238">
        <f t="shared" si="6"/>
        <v>28</v>
      </c>
      <c r="I23" s="238">
        <v>3</v>
      </c>
      <c r="J23" s="238">
        <v>18</v>
      </c>
      <c r="K23" s="238">
        <v>45</v>
      </c>
      <c r="L23" s="238" t="str">
        <f t="shared" si="3"/>
        <v>28 - Fine grade = 3.3571</v>
      </c>
      <c r="M23" s="238">
        <f t="shared" si="7"/>
        <v>3.3571428571428572</v>
      </c>
      <c r="N23" s="238">
        <f t="shared" si="5"/>
        <v>3</v>
      </c>
      <c r="P23" s="211">
        <f>VLOOKUP(A23,'KS2 Fine grades lookup'!$A$10:$C$49,1,FALSE)</f>
        <v>25</v>
      </c>
      <c r="Q23" s="212" t="str">
        <f>IF(VLOOKUP(A23,'KS2 Fine grades lookup'!$A$10:$C$49,3,FALSE)=F23,"OK","not OK")</f>
        <v>OK</v>
      </c>
      <c r="R23" s="213" t="str">
        <f>IF(VLOOKUP(A23,'KS2 Fine grades lookup'!$A$10:$C$49,2,FALSE)=G23,"OK","not OK")</f>
        <v>OK</v>
      </c>
      <c r="S23" s="211">
        <f>VLOOKUP(H23,'KS2 Fine grades lookup'!$E$10:$G$95,1,FALSE)</f>
        <v>28</v>
      </c>
      <c r="T23" s="214" t="str">
        <f>IF(VLOOKUP(H23,'KS2 Fine grades lookup'!$E$10:$G$95,3,FALSE)=M23,"OK","Not OK")</f>
        <v>OK</v>
      </c>
      <c r="U23" s="213" t="str">
        <f>IF(VLOOKUP(H23,'KS2 Fine grades lookup'!$E$10:$G$95,2,FALSE)=N23,"OK","not OK")</f>
        <v>OK</v>
      </c>
    </row>
    <row r="24" spans="1:21" x14ac:dyDescent="0.45">
      <c r="A24" s="236">
        <f t="shared" si="8"/>
        <v>26</v>
      </c>
      <c r="B24" s="236">
        <v>4</v>
      </c>
      <c r="C24" s="236">
        <v>19</v>
      </c>
      <c r="D24" s="236">
        <v>31</v>
      </c>
      <c r="E24" s="236" t="str">
        <f t="shared" si="0"/>
        <v>26 - Fine grade = 4.5385</v>
      </c>
      <c r="F24" s="236">
        <f t="shared" si="1"/>
        <v>4.5384615384615383</v>
      </c>
      <c r="G24" s="237">
        <f t="shared" si="2"/>
        <v>4</v>
      </c>
      <c r="H24" s="238">
        <f t="shared" si="6"/>
        <v>29</v>
      </c>
      <c r="I24" s="238">
        <v>3</v>
      </c>
      <c r="J24" s="238">
        <v>18</v>
      </c>
      <c r="K24" s="238">
        <v>45</v>
      </c>
      <c r="L24" s="238" t="str">
        <f t="shared" si="3"/>
        <v>29 - Fine grade = 3.3929</v>
      </c>
      <c r="M24" s="238">
        <f t="shared" si="7"/>
        <v>3.3928571428571428</v>
      </c>
      <c r="N24" s="238">
        <f t="shared" si="5"/>
        <v>3</v>
      </c>
      <c r="P24" s="211">
        <f>VLOOKUP(A24,'KS2 Fine grades lookup'!$A$10:$C$49,1,FALSE)</f>
        <v>26</v>
      </c>
      <c r="Q24" s="212" t="str">
        <f>IF(VLOOKUP(A24,'KS2 Fine grades lookup'!$A$10:$C$49,3,FALSE)=F24,"OK","not OK")</f>
        <v>OK</v>
      </c>
      <c r="R24" s="213" t="str">
        <f>IF(VLOOKUP(A24,'KS2 Fine grades lookup'!$A$10:$C$49,2,FALSE)=G24,"OK","not OK")</f>
        <v>OK</v>
      </c>
      <c r="S24" s="211">
        <f>VLOOKUP(H24,'KS2 Fine grades lookup'!$E$10:$G$95,1,FALSE)</f>
        <v>29</v>
      </c>
      <c r="T24" s="214" t="str">
        <f>IF(VLOOKUP(H24,'KS2 Fine grades lookup'!$E$10:$G$95,3,FALSE)=M24,"OK","Not OK")</f>
        <v>OK</v>
      </c>
      <c r="U24" s="213" t="str">
        <f>IF(VLOOKUP(H24,'KS2 Fine grades lookup'!$E$10:$G$95,2,FALSE)=N24,"OK","not OK")</f>
        <v>OK</v>
      </c>
    </row>
    <row r="25" spans="1:21" x14ac:dyDescent="0.45">
      <c r="A25" s="236">
        <f t="shared" si="8"/>
        <v>27</v>
      </c>
      <c r="B25" s="236">
        <v>4</v>
      </c>
      <c r="C25" s="236">
        <v>19</v>
      </c>
      <c r="D25" s="236">
        <v>31</v>
      </c>
      <c r="E25" s="236" t="str">
        <f t="shared" si="0"/>
        <v>27 - Fine grade = 4.6154</v>
      </c>
      <c r="F25" s="236">
        <f t="shared" si="1"/>
        <v>4.615384615384615</v>
      </c>
      <c r="G25" s="237">
        <f t="shared" si="2"/>
        <v>4</v>
      </c>
      <c r="H25" s="238">
        <f t="shared" si="6"/>
        <v>30</v>
      </c>
      <c r="I25" s="238">
        <v>3</v>
      </c>
      <c r="J25" s="238">
        <v>18</v>
      </c>
      <c r="K25" s="238">
        <v>45</v>
      </c>
      <c r="L25" s="238" t="str">
        <f t="shared" si="3"/>
        <v>30 - Fine grade = 3.4286</v>
      </c>
      <c r="M25" s="238">
        <f t="shared" si="7"/>
        <v>3.4285714285714284</v>
      </c>
      <c r="N25" s="238">
        <f t="shared" si="5"/>
        <v>3</v>
      </c>
      <c r="P25" s="211">
        <f>VLOOKUP(A25,'KS2 Fine grades lookup'!$A$10:$C$49,1,FALSE)</f>
        <v>27</v>
      </c>
      <c r="Q25" s="212" t="str">
        <f>IF(VLOOKUP(A25,'KS2 Fine grades lookup'!$A$10:$C$49,3,FALSE)=F25,"OK","not OK")</f>
        <v>OK</v>
      </c>
      <c r="R25" s="213" t="str">
        <f>IF(VLOOKUP(A25,'KS2 Fine grades lookup'!$A$10:$C$49,2,FALSE)=G25,"OK","not OK")</f>
        <v>OK</v>
      </c>
      <c r="S25" s="211">
        <f>VLOOKUP(H25,'KS2 Fine grades lookup'!$E$10:$G$95,1,FALSE)</f>
        <v>30</v>
      </c>
      <c r="T25" s="214" t="str">
        <f>IF(VLOOKUP(H25,'KS2 Fine grades lookup'!$E$10:$G$95,3,FALSE)=M25,"OK","Not OK")</f>
        <v>OK</v>
      </c>
      <c r="U25" s="213" t="str">
        <f>IF(VLOOKUP(H25,'KS2 Fine grades lookup'!$E$10:$G$95,2,FALSE)=N25,"OK","not OK")</f>
        <v>OK</v>
      </c>
    </row>
    <row r="26" spans="1:21" x14ac:dyDescent="0.45">
      <c r="A26" s="236">
        <f t="shared" si="8"/>
        <v>28</v>
      </c>
      <c r="B26" s="236">
        <v>4</v>
      </c>
      <c r="C26" s="236">
        <v>19</v>
      </c>
      <c r="D26" s="236">
        <v>31</v>
      </c>
      <c r="E26" s="236" t="str">
        <f t="shared" si="0"/>
        <v>28 - Fine grade = 4.6923</v>
      </c>
      <c r="F26" s="236">
        <f t="shared" si="1"/>
        <v>4.6923076923076925</v>
      </c>
      <c r="G26" s="237">
        <f t="shared" si="2"/>
        <v>4</v>
      </c>
      <c r="H26" s="238">
        <f t="shared" si="6"/>
        <v>31</v>
      </c>
      <c r="I26" s="238">
        <v>3</v>
      </c>
      <c r="J26" s="238">
        <v>18</v>
      </c>
      <c r="K26" s="238">
        <v>45</v>
      </c>
      <c r="L26" s="238" t="str">
        <f t="shared" si="3"/>
        <v>31 - Fine grade = 3.4643</v>
      </c>
      <c r="M26" s="238">
        <f t="shared" si="7"/>
        <v>3.4642857142857144</v>
      </c>
      <c r="N26" s="238">
        <f t="shared" si="5"/>
        <v>3</v>
      </c>
      <c r="P26" s="211">
        <f>VLOOKUP(A26,'KS2 Fine grades lookup'!$A$10:$C$49,1,FALSE)</f>
        <v>28</v>
      </c>
      <c r="Q26" s="212" t="str">
        <f>IF(VLOOKUP(A26,'KS2 Fine grades lookup'!$A$10:$C$49,3,FALSE)=F26,"OK","not OK")</f>
        <v>OK</v>
      </c>
      <c r="R26" s="213" t="str">
        <f>IF(VLOOKUP(A26,'KS2 Fine grades lookup'!$A$10:$C$49,2,FALSE)=G26,"OK","not OK")</f>
        <v>OK</v>
      </c>
      <c r="S26" s="211">
        <f>VLOOKUP(H26,'KS2 Fine grades lookup'!$E$10:$G$95,1,FALSE)</f>
        <v>31</v>
      </c>
      <c r="T26" s="214" t="str">
        <f>IF(VLOOKUP(H26,'KS2 Fine grades lookup'!$E$10:$G$95,3,FALSE)=M26,"OK","Not OK")</f>
        <v>OK</v>
      </c>
      <c r="U26" s="213" t="str">
        <f>IF(VLOOKUP(H26,'KS2 Fine grades lookup'!$E$10:$G$95,2,FALSE)=N26,"OK","not OK")</f>
        <v>OK</v>
      </c>
    </row>
    <row r="27" spans="1:21" x14ac:dyDescent="0.45">
      <c r="A27" s="236">
        <f t="shared" si="8"/>
        <v>29</v>
      </c>
      <c r="B27" s="236">
        <v>4</v>
      </c>
      <c r="C27" s="236">
        <v>19</v>
      </c>
      <c r="D27" s="236">
        <v>31</v>
      </c>
      <c r="E27" s="236" t="str">
        <f t="shared" si="0"/>
        <v>29 - Fine grade = 4.7692</v>
      </c>
      <c r="F27" s="236">
        <f t="shared" si="1"/>
        <v>4.7692307692307692</v>
      </c>
      <c r="G27" s="237">
        <f t="shared" si="2"/>
        <v>4</v>
      </c>
      <c r="H27" s="238">
        <f t="shared" si="6"/>
        <v>32</v>
      </c>
      <c r="I27" s="238">
        <v>3</v>
      </c>
      <c r="J27" s="238">
        <v>18</v>
      </c>
      <c r="K27" s="238">
        <v>45</v>
      </c>
      <c r="L27" s="238" t="str">
        <f t="shared" si="3"/>
        <v>32 - Fine grade = 3.5</v>
      </c>
      <c r="M27" s="238">
        <f t="shared" si="7"/>
        <v>3.5</v>
      </c>
      <c r="N27" s="238">
        <f t="shared" si="5"/>
        <v>3</v>
      </c>
      <c r="P27" s="211">
        <f>VLOOKUP(A27,'KS2 Fine grades lookup'!$A$10:$C$49,1,FALSE)</f>
        <v>29</v>
      </c>
      <c r="Q27" s="212" t="str">
        <f>IF(VLOOKUP(A27,'KS2 Fine grades lookup'!$A$10:$C$49,3,FALSE)=F27,"OK","not OK")</f>
        <v>OK</v>
      </c>
      <c r="R27" s="213" t="str">
        <f>IF(VLOOKUP(A27,'KS2 Fine grades lookup'!$A$10:$C$49,2,FALSE)=G27,"OK","not OK")</f>
        <v>OK</v>
      </c>
      <c r="S27" s="211">
        <f>VLOOKUP(H27,'KS2 Fine grades lookup'!$E$10:$G$95,1,FALSE)</f>
        <v>32</v>
      </c>
      <c r="T27" s="214" t="str">
        <f>IF(VLOOKUP(H27,'KS2 Fine grades lookup'!$E$10:$G$95,3,FALSE)=M27,"OK","Not OK")</f>
        <v>OK</v>
      </c>
      <c r="U27" s="213" t="str">
        <f>IF(VLOOKUP(H27,'KS2 Fine grades lookup'!$E$10:$G$95,2,FALSE)=N27,"OK","not OK")</f>
        <v>OK</v>
      </c>
    </row>
    <row r="28" spans="1:21" x14ac:dyDescent="0.45">
      <c r="A28" s="236">
        <f t="shared" si="8"/>
        <v>30</v>
      </c>
      <c r="B28" s="236">
        <v>4</v>
      </c>
      <c r="C28" s="236">
        <v>19</v>
      </c>
      <c r="D28" s="236">
        <v>31</v>
      </c>
      <c r="E28" s="236" t="str">
        <f t="shared" si="0"/>
        <v>30 - Fine grade = 4.8462</v>
      </c>
      <c r="F28" s="236">
        <f t="shared" si="1"/>
        <v>4.8461538461538458</v>
      </c>
      <c r="G28" s="237">
        <f t="shared" si="2"/>
        <v>4</v>
      </c>
      <c r="H28" s="238">
        <f t="shared" si="6"/>
        <v>33</v>
      </c>
      <c r="I28" s="238">
        <v>3</v>
      </c>
      <c r="J28" s="238">
        <v>18</v>
      </c>
      <c r="K28" s="238">
        <v>45</v>
      </c>
      <c r="L28" s="238" t="str">
        <f t="shared" si="3"/>
        <v>33 - Fine grade = 3.5357</v>
      </c>
      <c r="M28" s="238">
        <f t="shared" si="7"/>
        <v>3.5357142857142856</v>
      </c>
      <c r="N28" s="238">
        <f t="shared" si="5"/>
        <v>3</v>
      </c>
      <c r="P28" s="211">
        <f>VLOOKUP(A28,'KS2 Fine grades lookup'!$A$10:$C$49,1,FALSE)</f>
        <v>30</v>
      </c>
      <c r="Q28" s="212" t="str">
        <f>IF(VLOOKUP(A28,'KS2 Fine grades lookup'!$A$10:$C$49,3,FALSE)=F28,"OK","not OK")</f>
        <v>OK</v>
      </c>
      <c r="R28" s="213" t="str">
        <f>IF(VLOOKUP(A28,'KS2 Fine grades lookup'!$A$10:$C$49,2,FALSE)=G28,"OK","not OK")</f>
        <v>OK</v>
      </c>
      <c r="S28" s="211">
        <f>VLOOKUP(H28,'KS2 Fine grades lookup'!$E$10:$G$95,1,FALSE)</f>
        <v>33</v>
      </c>
      <c r="T28" s="214" t="str">
        <f>IF(VLOOKUP(H28,'KS2 Fine grades lookup'!$E$10:$G$95,3,FALSE)=M28,"OK","Not OK")</f>
        <v>OK</v>
      </c>
      <c r="U28" s="213" t="str">
        <f>IF(VLOOKUP(H28,'KS2 Fine grades lookup'!$E$10:$G$95,2,FALSE)=N28,"OK","not OK")</f>
        <v>OK</v>
      </c>
    </row>
    <row r="29" spans="1:21" x14ac:dyDescent="0.45">
      <c r="A29" s="236">
        <f t="shared" si="8"/>
        <v>31</v>
      </c>
      <c r="B29" s="236">
        <v>4</v>
      </c>
      <c r="C29" s="236">
        <v>19</v>
      </c>
      <c r="D29" s="236">
        <v>31</v>
      </c>
      <c r="E29" s="236" t="str">
        <f t="shared" si="0"/>
        <v>31 - Fine grade = 4.9231</v>
      </c>
      <c r="F29" s="236">
        <f t="shared" si="1"/>
        <v>4.9230769230769234</v>
      </c>
      <c r="G29" s="237">
        <f t="shared" si="2"/>
        <v>4</v>
      </c>
      <c r="H29" s="238">
        <f t="shared" si="6"/>
        <v>34</v>
      </c>
      <c r="I29" s="238">
        <v>3</v>
      </c>
      <c r="J29" s="238">
        <v>18</v>
      </c>
      <c r="K29" s="238">
        <v>45</v>
      </c>
      <c r="L29" s="238" t="str">
        <f t="shared" si="3"/>
        <v>34 - Fine grade = 3.5714</v>
      </c>
      <c r="M29" s="238">
        <f t="shared" si="7"/>
        <v>3.5714285714285712</v>
      </c>
      <c r="N29" s="238">
        <f t="shared" si="5"/>
        <v>3</v>
      </c>
      <c r="P29" s="211">
        <f>VLOOKUP(A29,'KS2 Fine grades lookup'!$A$10:$C$49,1,FALSE)</f>
        <v>31</v>
      </c>
      <c r="Q29" s="212" t="str">
        <f>IF(VLOOKUP(A29,'KS2 Fine grades lookup'!$A$10:$C$49,3,FALSE)=F29,"OK","not OK")</f>
        <v>OK</v>
      </c>
      <c r="R29" s="213" t="str">
        <f>IF(VLOOKUP(A29,'KS2 Fine grades lookup'!$A$10:$C$49,2,FALSE)=G29,"OK","not OK")</f>
        <v>OK</v>
      </c>
      <c r="S29" s="211">
        <f>VLOOKUP(H29,'KS2 Fine grades lookup'!$E$10:$G$95,1,FALSE)</f>
        <v>34</v>
      </c>
      <c r="T29" s="214" t="str">
        <f>IF(VLOOKUP(H29,'KS2 Fine grades lookup'!$E$10:$G$95,3,FALSE)=M29,"OK","Not OK")</f>
        <v>OK</v>
      </c>
      <c r="U29" s="213" t="str">
        <f>IF(VLOOKUP(H29,'KS2 Fine grades lookup'!$E$10:$G$95,2,FALSE)=N29,"OK","not OK")</f>
        <v>OK</v>
      </c>
    </row>
    <row r="30" spans="1:21" x14ac:dyDescent="0.45">
      <c r="A30" s="234">
        <f t="shared" si="8"/>
        <v>32</v>
      </c>
      <c r="B30" s="234">
        <v>5</v>
      </c>
      <c r="C30" s="234">
        <v>32</v>
      </c>
      <c r="D30" s="234">
        <v>50</v>
      </c>
      <c r="E30" s="234" t="str">
        <f t="shared" si="0"/>
        <v>32 - Fine grade = 5</v>
      </c>
      <c r="F30" s="234">
        <f t="shared" si="1"/>
        <v>5</v>
      </c>
      <c r="G30" s="235">
        <f t="shared" si="2"/>
        <v>5</v>
      </c>
      <c r="H30" s="238">
        <f t="shared" si="6"/>
        <v>35</v>
      </c>
      <c r="I30" s="238">
        <v>3</v>
      </c>
      <c r="J30" s="238">
        <v>18</v>
      </c>
      <c r="K30" s="238">
        <v>45</v>
      </c>
      <c r="L30" s="238" t="str">
        <f t="shared" si="3"/>
        <v>35 - Fine grade = 3.6071</v>
      </c>
      <c r="M30" s="238">
        <f t="shared" si="7"/>
        <v>3.6071428571428572</v>
      </c>
      <c r="N30" s="238">
        <f t="shared" si="5"/>
        <v>3</v>
      </c>
      <c r="P30" s="211">
        <f>VLOOKUP(A30,'KS2 Fine grades lookup'!$A$10:$C$49,1,FALSE)</f>
        <v>32</v>
      </c>
      <c r="Q30" s="212" t="str">
        <f>IF(VLOOKUP(A30,'KS2 Fine grades lookup'!$A$10:$C$49,3,FALSE)=F30,"OK","not OK")</f>
        <v>OK</v>
      </c>
      <c r="R30" s="213" t="str">
        <f>IF(VLOOKUP(A30,'KS2 Fine grades lookup'!$A$10:$C$49,2,FALSE)=G30,"OK","not OK")</f>
        <v>OK</v>
      </c>
      <c r="S30" s="211">
        <f>VLOOKUP(H30,'KS2 Fine grades lookup'!$E$10:$G$95,1,FALSE)</f>
        <v>35</v>
      </c>
      <c r="T30" s="214" t="str">
        <f>IF(VLOOKUP(H30,'KS2 Fine grades lookup'!$E$10:$G$95,3,FALSE)=M30,"OK","Not OK")</f>
        <v>OK</v>
      </c>
      <c r="U30" s="213" t="str">
        <f>IF(VLOOKUP(H30,'KS2 Fine grades lookup'!$E$10:$G$95,2,FALSE)=N30,"OK","not OK")</f>
        <v>OK</v>
      </c>
    </row>
    <row r="31" spans="1:21" x14ac:dyDescent="0.45">
      <c r="A31" s="234">
        <f t="shared" si="8"/>
        <v>33</v>
      </c>
      <c r="B31" s="234">
        <v>5</v>
      </c>
      <c r="C31" s="234">
        <v>32</v>
      </c>
      <c r="D31" s="234">
        <v>50</v>
      </c>
      <c r="E31" s="234" t="str">
        <f t="shared" si="0"/>
        <v>33 - Fine grade = 5.0526</v>
      </c>
      <c r="F31" s="234">
        <f t="shared" si="1"/>
        <v>5.0526315789473681</v>
      </c>
      <c r="G31" s="235">
        <f t="shared" si="2"/>
        <v>5</v>
      </c>
      <c r="H31" s="238">
        <f t="shared" si="6"/>
        <v>36</v>
      </c>
      <c r="I31" s="238">
        <v>3</v>
      </c>
      <c r="J31" s="238">
        <v>18</v>
      </c>
      <c r="K31" s="238">
        <v>45</v>
      </c>
      <c r="L31" s="238" t="str">
        <f t="shared" si="3"/>
        <v>36 - Fine grade = 3.6429</v>
      </c>
      <c r="M31" s="238">
        <f t="shared" si="7"/>
        <v>3.6428571428571428</v>
      </c>
      <c r="N31" s="238">
        <f t="shared" si="5"/>
        <v>3</v>
      </c>
      <c r="P31" s="211">
        <f>VLOOKUP(A31,'KS2 Fine grades lookup'!$A$10:$C$49,1,FALSE)</f>
        <v>33</v>
      </c>
      <c r="Q31" s="212" t="str">
        <f>IF(VLOOKUP(A31,'KS2 Fine grades lookup'!$A$10:$C$49,3,FALSE)=F31,"OK","not OK")</f>
        <v>OK</v>
      </c>
      <c r="R31" s="213" t="str">
        <f>IF(VLOOKUP(A31,'KS2 Fine grades lookup'!$A$10:$C$49,2,FALSE)=G31,"OK","not OK")</f>
        <v>OK</v>
      </c>
      <c r="S31" s="211">
        <f>VLOOKUP(H31,'KS2 Fine grades lookup'!$E$10:$G$95,1,FALSE)</f>
        <v>36</v>
      </c>
      <c r="T31" s="214" t="str">
        <f>IF(VLOOKUP(H31,'KS2 Fine grades lookup'!$E$10:$G$95,3,FALSE)=M31,"OK","Not OK")</f>
        <v>OK</v>
      </c>
      <c r="U31" s="213" t="str">
        <f>IF(VLOOKUP(H31,'KS2 Fine grades lookup'!$E$10:$G$95,2,FALSE)=N31,"OK","not OK")</f>
        <v>OK</v>
      </c>
    </row>
    <row r="32" spans="1:21" x14ac:dyDescent="0.45">
      <c r="A32" s="234">
        <f t="shared" si="8"/>
        <v>34</v>
      </c>
      <c r="B32" s="234">
        <v>5</v>
      </c>
      <c r="C32" s="234">
        <v>32</v>
      </c>
      <c r="D32" s="234">
        <v>50</v>
      </c>
      <c r="E32" s="234" t="str">
        <f t="shared" si="0"/>
        <v>34 - Fine grade = 5.1053</v>
      </c>
      <c r="F32" s="234">
        <f t="shared" si="1"/>
        <v>5.1052631578947372</v>
      </c>
      <c r="G32" s="235">
        <f t="shared" si="2"/>
        <v>5</v>
      </c>
      <c r="H32" s="238">
        <f t="shared" si="6"/>
        <v>37</v>
      </c>
      <c r="I32" s="238">
        <v>3</v>
      </c>
      <c r="J32" s="238">
        <v>18</v>
      </c>
      <c r="K32" s="238">
        <v>45</v>
      </c>
      <c r="L32" s="238" t="str">
        <f t="shared" si="3"/>
        <v>37 - Fine grade = 3.6786</v>
      </c>
      <c r="M32" s="238">
        <f t="shared" si="7"/>
        <v>3.6785714285714288</v>
      </c>
      <c r="N32" s="238">
        <f t="shared" si="5"/>
        <v>3</v>
      </c>
      <c r="P32" s="211">
        <f>VLOOKUP(A32,'KS2 Fine grades lookup'!$A$10:$C$49,1,FALSE)</f>
        <v>34</v>
      </c>
      <c r="Q32" s="212" t="str">
        <f>IF(VLOOKUP(A32,'KS2 Fine grades lookup'!$A$10:$C$49,3,FALSE)=F32,"OK","not OK")</f>
        <v>OK</v>
      </c>
      <c r="R32" s="213" t="str">
        <f>IF(VLOOKUP(A32,'KS2 Fine grades lookup'!$A$10:$C$49,2,FALSE)=G32,"OK","not OK")</f>
        <v>OK</v>
      </c>
      <c r="S32" s="211">
        <f>VLOOKUP(H32,'KS2 Fine grades lookup'!$E$10:$G$95,1,FALSE)</f>
        <v>37</v>
      </c>
      <c r="T32" s="214" t="str">
        <f>IF(VLOOKUP(H32,'KS2 Fine grades lookup'!$E$10:$G$95,3,FALSE)=M32,"OK","Not OK")</f>
        <v>OK</v>
      </c>
      <c r="U32" s="213" t="str">
        <f>IF(VLOOKUP(H32,'KS2 Fine grades lookup'!$E$10:$G$95,2,FALSE)=N32,"OK","not OK")</f>
        <v>OK</v>
      </c>
    </row>
    <row r="33" spans="1:21" x14ac:dyDescent="0.45">
      <c r="A33" s="234">
        <f t="shared" si="8"/>
        <v>35</v>
      </c>
      <c r="B33" s="234">
        <v>5</v>
      </c>
      <c r="C33" s="234">
        <v>32</v>
      </c>
      <c r="D33" s="234">
        <v>50</v>
      </c>
      <c r="E33" s="234" t="str">
        <f t="shared" si="0"/>
        <v>35 - Fine grade = 5.1579</v>
      </c>
      <c r="F33" s="234">
        <f t="shared" si="1"/>
        <v>5.1578947368421053</v>
      </c>
      <c r="G33" s="235">
        <f t="shared" si="2"/>
        <v>5</v>
      </c>
      <c r="H33" s="238">
        <f t="shared" si="6"/>
        <v>38</v>
      </c>
      <c r="I33" s="238">
        <v>3</v>
      </c>
      <c r="J33" s="238">
        <v>18</v>
      </c>
      <c r="K33" s="238">
        <v>45</v>
      </c>
      <c r="L33" s="238" t="str">
        <f t="shared" si="3"/>
        <v>38 - Fine grade = 3.7143</v>
      </c>
      <c r="M33" s="238">
        <f t="shared" si="7"/>
        <v>3.7142857142857144</v>
      </c>
      <c r="N33" s="238">
        <f t="shared" si="5"/>
        <v>3</v>
      </c>
      <c r="P33" s="211">
        <f>VLOOKUP(A33,'KS2 Fine grades lookup'!$A$10:$C$49,1,FALSE)</f>
        <v>35</v>
      </c>
      <c r="Q33" s="212" t="str">
        <f>IF(VLOOKUP(A33,'KS2 Fine grades lookup'!$A$10:$C$49,3,FALSE)=F33,"OK","not OK")</f>
        <v>OK</v>
      </c>
      <c r="R33" s="213" t="str">
        <f>IF(VLOOKUP(A33,'KS2 Fine grades lookup'!$A$10:$C$49,2,FALSE)=G33,"OK","not OK")</f>
        <v>OK</v>
      </c>
      <c r="S33" s="211">
        <f>VLOOKUP(H33,'KS2 Fine grades lookup'!$E$10:$G$95,1,FALSE)</f>
        <v>38</v>
      </c>
      <c r="T33" s="214" t="str">
        <f>IF(VLOOKUP(H33,'KS2 Fine grades lookup'!$E$10:$G$95,3,FALSE)=M33,"OK","Not OK")</f>
        <v>OK</v>
      </c>
      <c r="U33" s="213" t="str">
        <f>IF(VLOOKUP(H33,'KS2 Fine grades lookup'!$E$10:$G$95,2,FALSE)=N33,"OK","not OK")</f>
        <v>OK</v>
      </c>
    </row>
    <row r="34" spans="1:21" x14ac:dyDescent="0.45">
      <c r="A34" s="234">
        <f t="shared" si="8"/>
        <v>36</v>
      </c>
      <c r="B34" s="234">
        <v>5</v>
      </c>
      <c r="C34" s="234">
        <v>32</v>
      </c>
      <c r="D34" s="234">
        <v>50</v>
      </c>
      <c r="E34" s="234" t="str">
        <f t="shared" si="0"/>
        <v>36 - Fine grade = 5.2105</v>
      </c>
      <c r="F34" s="234">
        <f t="shared" si="1"/>
        <v>5.2105263157894735</v>
      </c>
      <c r="G34" s="235">
        <f t="shared" si="2"/>
        <v>5</v>
      </c>
      <c r="H34" s="238">
        <f t="shared" si="6"/>
        <v>39</v>
      </c>
      <c r="I34" s="238">
        <v>3</v>
      </c>
      <c r="J34" s="238">
        <v>18</v>
      </c>
      <c r="K34" s="238">
        <v>45</v>
      </c>
      <c r="L34" s="238" t="str">
        <f t="shared" si="3"/>
        <v>39 - Fine grade = 3.75</v>
      </c>
      <c r="M34" s="238">
        <f t="shared" si="7"/>
        <v>3.75</v>
      </c>
      <c r="N34" s="238">
        <f t="shared" si="5"/>
        <v>3</v>
      </c>
      <c r="P34" s="211">
        <f>VLOOKUP(A34,'KS2 Fine grades lookup'!$A$10:$C$49,1,FALSE)</f>
        <v>36</v>
      </c>
      <c r="Q34" s="212" t="str">
        <f>IF(VLOOKUP(A34,'KS2 Fine grades lookup'!$A$10:$C$49,3,FALSE)=F34,"OK","not OK")</f>
        <v>OK</v>
      </c>
      <c r="R34" s="213" t="str">
        <f>IF(VLOOKUP(A34,'KS2 Fine grades lookup'!$A$10:$C$49,2,FALSE)=G34,"OK","not OK")</f>
        <v>OK</v>
      </c>
      <c r="S34" s="211">
        <f>VLOOKUP(H34,'KS2 Fine grades lookup'!$E$10:$G$95,1,FALSE)</f>
        <v>39</v>
      </c>
      <c r="T34" s="214" t="str">
        <f>IF(VLOOKUP(H34,'KS2 Fine grades lookup'!$E$10:$G$95,3,FALSE)=M34,"OK","Not OK")</f>
        <v>OK</v>
      </c>
      <c r="U34" s="213" t="str">
        <f>IF(VLOOKUP(H34,'KS2 Fine grades lookup'!$E$10:$G$95,2,FALSE)=N34,"OK","not OK")</f>
        <v>OK</v>
      </c>
    </row>
    <row r="35" spans="1:21" x14ac:dyDescent="0.45">
      <c r="A35" s="234">
        <f t="shared" si="8"/>
        <v>37</v>
      </c>
      <c r="B35" s="234">
        <v>5</v>
      </c>
      <c r="C35" s="234">
        <v>32</v>
      </c>
      <c r="D35" s="234">
        <v>50</v>
      </c>
      <c r="E35" s="234" t="str">
        <f t="shared" si="0"/>
        <v>37 - Fine grade = 5.2632</v>
      </c>
      <c r="F35" s="234">
        <f t="shared" si="1"/>
        <v>5.2631578947368425</v>
      </c>
      <c r="G35" s="235">
        <f t="shared" si="2"/>
        <v>5</v>
      </c>
      <c r="H35" s="238">
        <f t="shared" si="6"/>
        <v>40</v>
      </c>
      <c r="I35" s="238">
        <v>3</v>
      </c>
      <c r="J35" s="238">
        <v>18</v>
      </c>
      <c r="K35" s="238">
        <v>45</v>
      </c>
      <c r="L35" s="238" t="str">
        <f t="shared" si="3"/>
        <v>40 - Fine grade = 3.7857</v>
      </c>
      <c r="M35" s="238">
        <f t="shared" si="7"/>
        <v>3.7857142857142856</v>
      </c>
      <c r="N35" s="238">
        <f t="shared" si="5"/>
        <v>3</v>
      </c>
      <c r="P35" s="211">
        <f>VLOOKUP(A35,'KS2 Fine grades lookup'!$A$10:$C$49,1,FALSE)</f>
        <v>37</v>
      </c>
      <c r="Q35" s="212" t="str">
        <f>IF(VLOOKUP(A35,'KS2 Fine grades lookup'!$A$10:$C$49,3,FALSE)=F35,"OK","not OK")</f>
        <v>OK</v>
      </c>
      <c r="R35" s="213" t="str">
        <f>IF(VLOOKUP(A35,'KS2 Fine grades lookup'!$A$10:$C$49,2,FALSE)=G35,"OK","not OK")</f>
        <v>OK</v>
      </c>
      <c r="S35" s="211">
        <f>VLOOKUP(H35,'KS2 Fine grades lookup'!$E$10:$G$95,1,FALSE)</f>
        <v>40</v>
      </c>
      <c r="T35" s="214" t="str">
        <f>IF(VLOOKUP(H35,'KS2 Fine grades lookup'!$E$10:$G$95,3,FALSE)=M35,"OK","Not OK")</f>
        <v>OK</v>
      </c>
      <c r="U35" s="213" t="str">
        <f>IF(VLOOKUP(H35,'KS2 Fine grades lookup'!$E$10:$G$95,2,FALSE)=N35,"OK","not OK")</f>
        <v>OK</v>
      </c>
    </row>
    <row r="36" spans="1:21" x14ac:dyDescent="0.45">
      <c r="A36" s="234">
        <f t="shared" si="8"/>
        <v>38</v>
      </c>
      <c r="B36" s="234">
        <v>5</v>
      </c>
      <c r="C36" s="234">
        <v>32</v>
      </c>
      <c r="D36" s="234">
        <v>50</v>
      </c>
      <c r="E36" s="234" t="str">
        <f t="shared" si="0"/>
        <v>38 - Fine grade = 5.3158</v>
      </c>
      <c r="F36" s="234">
        <f t="shared" si="1"/>
        <v>5.3157894736842106</v>
      </c>
      <c r="G36" s="235">
        <f t="shared" si="2"/>
        <v>5</v>
      </c>
      <c r="H36" s="238">
        <f t="shared" si="6"/>
        <v>41</v>
      </c>
      <c r="I36" s="238">
        <v>3</v>
      </c>
      <c r="J36" s="238">
        <v>18</v>
      </c>
      <c r="K36" s="238">
        <v>45</v>
      </c>
      <c r="L36" s="238" t="str">
        <f t="shared" si="3"/>
        <v>41 - Fine grade = 3.8214</v>
      </c>
      <c r="M36" s="238">
        <f t="shared" si="7"/>
        <v>3.8214285714285712</v>
      </c>
      <c r="N36" s="238">
        <f t="shared" si="5"/>
        <v>3</v>
      </c>
      <c r="P36" s="211">
        <f>VLOOKUP(A36,'KS2 Fine grades lookup'!$A$10:$C$49,1,FALSE)</f>
        <v>38</v>
      </c>
      <c r="Q36" s="212" t="str">
        <f>IF(VLOOKUP(A36,'KS2 Fine grades lookup'!$A$10:$C$49,3,FALSE)=F36,"OK","not OK")</f>
        <v>OK</v>
      </c>
      <c r="R36" s="213" t="str">
        <f>IF(VLOOKUP(A36,'KS2 Fine grades lookup'!$A$10:$C$49,2,FALSE)=G36,"OK","not OK")</f>
        <v>OK</v>
      </c>
      <c r="S36" s="211">
        <f>VLOOKUP(H36,'KS2 Fine grades lookup'!$E$10:$G$95,1,FALSE)</f>
        <v>41</v>
      </c>
      <c r="T36" s="214" t="str">
        <f>IF(VLOOKUP(H36,'KS2 Fine grades lookup'!$E$10:$G$95,3,FALSE)=M36,"OK","Not OK")</f>
        <v>OK</v>
      </c>
      <c r="U36" s="213" t="str">
        <f>IF(VLOOKUP(H36,'KS2 Fine grades lookup'!$E$10:$G$95,2,FALSE)=N36,"OK","not OK")</f>
        <v>OK</v>
      </c>
    </row>
    <row r="37" spans="1:21" x14ac:dyDescent="0.45">
      <c r="A37" s="234">
        <f t="shared" si="8"/>
        <v>39</v>
      </c>
      <c r="B37" s="234">
        <v>5</v>
      </c>
      <c r="C37" s="234">
        <v>32</v>
      </c>
      <c r="D37" s="234">
        <v>50</v>
      </c>
      <c r="E37" s="234" t="str">
        <f t="shared" si="0"/>
        <v>39 - Fine grade = 5.3684</v>
      </c>
      <c r="F37" s="234">
        <f t="shared" si="1"/>
        <v>5.3684210526315788</v>
      </c>
      <c r="G37" s="235">
        <f t="shared" si="2"/>
        <v>5</v>
      </c>
      <c r="H37" s="238">
        <f t="shared" si="6"/>
        <v>42</v>
      </c>
      <c r="I37" s="238">
        <v>3</v>
      </c>
      <c r="J37" s="238">
        <v>18</v>
      </c>
      <c r="K37" s="238">
        <v>45</v>
      </c>
      <c r="L37" s="238" t="str">
        <f t="shared" si="3"/>
        <v>42 - Fine grade = 3.8571</v>
      </c>
      <c r="M37" s="238">
        <f t="shared" si="7"/>
        <v>3.8571428571428572</v>
      </c>
      <c r="N37" s="238">
        <f t="shared" si="5"/>
        <v>3</v>
      </c>
      <c r="P37" s="211">
        <f>VLOOKUP(A37,'KS2 Fine grades lookup'!$A$10:$C$49,1,FALSE)</f>
        <v>39</v>
      </c>
      <c r="Q37" s="212" t="str">
        <f>IF(VLOOKUP(A37,'KS2 Fine grades lookup'!$A$10:$C$49,3,FALSE)=F37,"OK","not OK")</f>
        <v>OK</v>
      </c>
      <c r="R37" s="213" t="str">
        <f>IF(VLOOKUP(A37,'KS2 Fine grades lookup'!$A$10:$C$49,2,FALSE)=G37,"OK","not OK")</f>
        <v>OK</v>
      </c>
      <c r="S37" s="211">
        <f>VLOOKUP(H37,'KS2 Fine grades lookup'!$E$10:$G$95,1,FALSE)</f>
        <v>42</v>
      </c>
      <c r="T37" s="214" t="str">
        <f>IF(VLOOKUP(H37,'KS2 Fine grades lookup'!$E$10:$G$95,3,FALSE)=M37,"OK","Not OK")</f>
        <v>OK</v>
      </c>
      <c r="U37" s="213" t="str">
        <f>IF(VLOOKUP(H37,'KS2 Fine grades lookup'!$E$10:$G$95,2,FALSE)=N37,"OK","not OK")</f>
        <v>OK</v>
      </c>
    </row>
    <row r="38" spans="1:21" x14ac:dyDescent="0.45">
      <c r="A38" s="234">
        <f t="shared" si="8"/>
        <v>40</v>
      </c>
      <c r="B38" s="234">
        <v>5</v>
      </c>
      <c r="C38" s="234">
        <v>32</v>
      </c>
      <c r="D38" s="234">
        <v>50</v>
      </c>
      <c r="E38" s="234" t="str">
        <f t="shared" si="0"/>
        <v>40 - Fine grade = 5.4211</v>
      </c>
      <c r="F38" s="234">
        <f t="shared" si="1"/>
        <v>5.4210526315789469</v>
      </c>
      <c r="G38" s="235">
        <f t="shared" si="2"/>
        <v>5</v>
      </c>
      <c r="H38" s="238">
        <f t="shared" si="6"/>
        <v>43</v>
      </c>
      <c r="I38" s="238">
        <v>3</v>
      </c>
      <c r="J38" s="238">
        <v>18</v>
      </c>
      <c r="K38" s="238">
        <v>45</v>
      </c>
      <c r="L38" s="238" t="str">
        <f t="shared" si="3"/>
        <v>43 - Fine grade = 3.8929</v>
      </c>
      <c r="M38" s="238">
        <f t="shared" si="7"/>
        <v>3.8928571428571428</v>
      </c>
      <c r="N38" s="238">
        <f t="shared" si="5"/>
        <v>3</v>
      </c>
      <c r="P38" s="211">
        <f>VLOOKUP(A38,'KS2 Fine grades lookup'!$A$10:$C$49,1,FALSE)</f>
        <v>40</v>
      </c>
      <c r="Q38" s="212" t="str">
        <f>IF(VLOOKUP(A38,'KS2 Fine grades lookup'!$A$10:$C$49,3,FALSE)=F38,"OK","not OK")</f>
        <v>OK</v>
      </c>
      <c r="R38" s="213" t="str">
        <f>IF(VLOOKUP(A38,'KS2 Fine grades lookup'!$A$10:$C$49,2,FALSE)=G38,"OK","not OK")</f>
        <v>OK</v>
      </c>
      <c r="S38" s="211">
        <f>VLOOKUP(H38,'KS2 Fine grades lookup'!$E$10:$G$95,1,FALSE)</f>
        <v>43</v>
      </c>
      <c r="T38" s="214" t="str">
        <f>IF(VLOOKUP(H38,'KS2 Fine grades lookup'!$E$10:$G$95,3,FALSE)=M38,"OK","Not OK")</f>
        <v>OK</v>
      </c>
      <c r="U38" s="213" t="str">
        <f>IF(VLOOKUP(H38,'KS2 Fine grades lookup'!$E$10:$G$95,2,FALSE)=N38,"OK","not OK")</f>
        <v>OK</v>
      </c>
    </row>
    <row r="39" spans="1:21" x14ac:dyDescent="0.45">
      <c r="A39" s="234">
        <f t="shared" si="8"/>
        <v>41</v>
      </c>
      <c r="B39" s="234">
        <v>5</v>
      </c>
      <c r="C39" s="234">
        <v>32</v>
      </c>
      <c r="D39" s="234">
        <v>50</v>
      </c>
      <c r="E39" s="234" t="str">
        <f t="shared" si="0"/>
        <v>41 - Fine grade = 5.4737</v>
      </c>
      <c r="F39" s="234">
        <f t="shared" si="1"/>
        <v>5.4736842105263159</v>
      </c>
      <c r="G39" s="235">
        <f t="shared" si="2"/>
        <v>5</v>
      </c>
      <c r="H39" s="238">
        <f t="shared" si="6"/>
        <v>44</v>
      </c>
      <c r="I39" s="238">
        <v>3</v>
      </c>
      <c r="J39" s="238">
        <v>18</v>
      </c>
      <c r="K39" s="238">
        <v>45</v>
      </c>
      <c r="L39" s="238" t="str">
        <f t="shared" si="3"/>
        <v>44 - Fine grade = 3.9286</v>
      </c>
      <c r="M39" s="238">
        <f t="shared" si="7"/>
        <v>3.9285714285714288</v>
      </c>
      <c r="N39" s="238">
        <f t="shared" si="5"/>
        <v>3</v>
      </c>
      <c r="P39" s="211">
        <f>VLOOKUP(A39,'KS2 Fine grades lookup'!$A$10:$C$49,1,FALSE)</f>
        <v>41</v>
      </c>
      <c r="Q39" s="212" t="str">
        <f>IF(VLOOKUP(A39,'KS2 Fine grades lookup'!$A$10:$C$49,3,FALSE)=F39,"OK","not OK")</f>
        <v>OK</v>
      </c>
      <c r="R39" s="213" t="str">
        <f>IF(VLOOKUP(A39,'KS2 Fine grades lookup'!$A$10:$C$49,2,FALSE)=G39,"OK","not OK")</f>
        <v>OK</v>
      </c>
      <c r="S39" s="211">
        <f>VLOOKUP(H39,'KS2 Fine grades lookup'!$E$10:$G$95,1,FALSE)</f>
        <v>44</v>
      </c>
      <c r="T39" s="214" t="str">
        <f>IF(VLOOKUP(H39,'KS2 Fine grades lookup'!$E$10:$G$95,3,FALSE)=M39,"OK","Not OK")</f>
        <v>OK</v>
      </c>
      <c r="U39" s="213" t="str">
        <f>IF(VLOOKUP(H39,'KS2 Fine grades lookup'!$E$10:$G$95,2,FALSE)=N39,"OK","not OK")</f>
        <v>OK</v>
      </c>
    </row>
    <row r="40" spans="1:21" x14ac:dyDescent="0.45">
      <c r="A40" s="234">
        <f t="shared" si="8"/>
        <v>42</v>
      </c>
      <c r="B40" s="234">
        <v>5</v>
      </c>
      <c r="C40" s="234">
        <v>32</v>
      </c>
      <c r="D40" s="234">
        <v>50</v>
      </c>
      <c r="E40" s="234" t="str">
        <f t="shared" si="0"/>
        <v>42 - Fine grade = 5.5263</v>
      </c>
      <c r="F40" s="234">
        <f t="shared" si="1"/>
        <v>5.5263157894736841</v>
      </c>
      <c r="G40" s="235">
        <f t="shared" si="2"/>
        <v>5</v>
      </c>
      <c r="H40" s="238">
        <f t="shared" si="6"/>
        <v>45</v>
      </c>
      <c r="I40" s="238">
        <v>3</v>
      </c>
      <c r="J40" s="238">
        <v>18</v>
      </c>
      <c r="K40" s="238">
        <v>45</v>
      </c>
      <c r="L40" s="238" t="str">
        <f t="shared" si="3"/>
        <v>45 - Fine grade = 3.9643</v>
      </c>
      <c r="M40" s="238">
        <f t="shared" si="7"/>
        <v>3.9642857142857144</v>
      </c>
      <c r="N40" s="238">
        <f t="shared" si="5"/>
        <v>3</v>
      </c>
      <c r="P40" s="211">
        <f>VLOOKUP(A40,'KS2 Fine grades lookup'!$A$10:$C$49,1,FALSE)</f>
        <v>42</v>
      </c>
      <c r="Q40" s="212" t="str">
        <f>IF(VLOOKUP(A40,'KS2 Fine grades lookup'!$A$10:$C$49,3,FALSE)=F40,"OK","not OK")</f>
        <v>OK</v>
      </c>
      <c r="R40" s="213" t="str">
        <f>IF(VLOOKUP(A40,'KS2 Fine grades lookup'!$A$10:$C$49,2,FALSE)=G40,"OK","not OK")</f>
        <v>OK</v>
      </c>
      <c r="S40" s="211">
        <f>VLOOKUP(H40,'KS2 Fine grades lookup'!$E$10:$G$95,1,FALSE)</f>
        <v>45</v>
      </c>
      <c r="T40" s="214" t="str">
        <f>IF(VLOOKUP(H40,'KS2 Fine grades lookup'!$E$10:$G$95,3,FALSE)=M40,"OK","Not OK")</f>
        <v>OK</v>
      </c>
      <c r="U40" s="213" t="str">
        <f>IF(VLOOKUP(H40,'KS2 Fine grades lookup'!$E$10:$G$95,2,FALSE)=N40,"OK","not OK")</f>
        <v>OK</v>
      </c>
    </row>
    <row r="41" spans="1:21" x14ac:dyDescent="0.45">
      <c r="A41" s="234">
        <f t="shared" si="8"/>
        <v>43</v>
      </c>
      <c r="B41" s="234">
        <v>5</v>
      </c>
      <c r="C41" s="234">
        <v>32</v>
      </c>
      <c r="D41" s="234">
        <v>50</v>
      </c>
      <c r="E41" s="234" t="str">
        <f t="shared" si="0"/>
        <v>43 - Fine grade = 5.5789</v>
      </c>
      <c r="F41" s="234">
        <f t="shared" si="1"/>
        <v>5.5789473684210531</v>
      </c>
      <c r="G41" s="235">
        <f t="shared" si="2"/>
        <v>5</v>
      </c>
      <c r="H41" s="236">
        <f t="shared" si="6"/>
        <v>46</v>
      </c>
      <c r="I41" s="236">
        <v>4</v>
      </c>
      <c r="J41" s="236">
        <v>46</v>
      </c>
      <c r="K41" s="236">
        <v>78</v>
      </c>
      <c r="L41" s="236" t="str">
        <f t="shared" si="3"/>
        <v>46 - Fine grade = 4</v>
      </c>
      <c r="M41" s="236">
        <f t="shared" si="7"/>
        <v>4</v>
      </c>
      <c r="N41" s="236">
        <f t="shared" si="5"/>
        <v>4</v>
      </c>
      <c r="P41" s="211">
        <f>VLOOKUP(A41,'KS2 Fine grades lookup'!$A$10:$C$49,1,FALSE)</f>
        <v>43</v>
      </c>
      <c r="Q41" s="212" t="str">
        <f>IF(VLOOKUP(A41,'KS2 Fine grades lookup'!$A$10:$C$49,3,FALSE)=F41,"OK","not OK")</f>
        <v>OK</v>
      </c>
      <c r="R41" s="213" t="str">
        <f>IF(VLOOKUP(A41,'KS2 Fine grades lookup'!$A$10:$C$49,2,FALSE)=G41,"OK","not OK")</f>
        <v>OK</v>
      </c>
      <c r="S41" s="211">
        <f>VLOOKUP(H41,'KS2 Fine grades lookup'!$E$10:$G$95,1,FALSE)</f>
        <v>46</v>
      </c>
      <c r="T41" s="214" t="str">
        <f>IF(VLOOKUP(H41,'KS2 Fine grades lookup'!$E$10:$G$95,3,FALSE)=M41,"OK","Not OK")</f>
        <v>OK</v>
      </c>
      <c r="U41" s="213" t="str">
        <f>IF(VLOOKUP(H41,'KS2 Fine grades lookup'!$E$10:$G$95,2,FALSE)=N41,"OK","not OK")</f>
        <v>OK</v>
      </c>
    </row>
    <row r="42" spans="1:21" x14ac:dyDescent="0.45">
      <c r="A42" s="234">
        <f t="shared" si="8"/>
        <v>44</v>
      </c>
      <c r="B42" s="234">
        <v>5</v>
      </c>
      <c r="C42" s="234">
        <v>32</v>
      </c>
      <c r="D42" s="234">
        <v>50</v>
      </c>
      <c r="E42" s="234" t="str">
        <f t="shared" si="0"/>
        <v>44 - Fine grade = 5.6316</v>
      </c>
      <c r="F42" s="234">
        <f t="shared" si="1"/>
        <v>5.6315789473684212</v>
      </c>
      <c r="G42" s="235">
        <f t="shared" si="2"/>
        <v>5</v>
      </c>
      <c r="H42" s="236">
        <f t="shared" si="6"/>
        <v>47</v>
      </c>
      <c r="I42" s="236">
        <v>4</v>
      </c>
      <c r="J42" s="236">
        <v>46</v>
      </c>
      <c r="K42" s="236">
        <v>78</v>
      </c>
      <c r="L42" s="236" t="str">
        <f t="shared" si="3"/>
        <v>47 - Fine grade = 4.0303</v>
      </c>
      <c r="M42" s="236">
        <f t="shared" si="7"/>
        <v>4.0303030303030303</v>
      </c>
      <c r="N42" s="236">
        <f t="shared" si="5"/>
        <v>4</v>
      </c>
      <c r="P42" s="211">
        <f>VLOOKUP(A42,'KS2 Fine grades lookup'!$A$10:$C$49,1,FALSE)</f>
        <v>44</v>
      </c>
      <c r="Q42" s="212" t="str">
        <f>IF(VLOOKUP(A42,'KS2 Fine grades lookup'!$A$10:$C$49,3,FALSE)=F42,"OK","not OK")</f>
        <v>OK</v>
      </c>
      <c r="R42" s="213" t="str">
        <f>IF(VLOOKUP(A42,'KS2 Fine grades lookup'!$A$10:$C$49,2,FALSE)=G42,"OK","not OK")</f>
        <v>OK</v>
      </c>
      <c r="S42" s="211">
        <f>VLOOKUP(H42,'KS2 Fine grades lookup'!$E$10:$G$95,1,FALSE)</f>
        <v>47</v>
      </c>
      <c r="T42" s="214" t="str">
        <f>IF(VLOOKUP(H42,'KS2 Fine grades lookup'!$E$10:$G$95,3,FALSE)=M42,"OK","Not OK")</f>
        <v>OK</v>
      </c>
      <c r="U42" s="213" t="str">
        <f>IF(VLOOKUP(H42,'KS2 Fine grades lookup'!$E$10:$G$95,2,FALSE)=N42,"OK","not OK")</f>
        <v>OK</v>
      </c>
    </row>
    <row r="43" spans="1:21" x14ac:dyDescent="0.45">
      <c r="A43" s="234">
        <f t="shared" si="8"/>
        <v>45</v>
      </c>
      <c r="B43" s="234">
        <v>5</v>
      </c>
      <c r="C43" s="234">
        <v>32</v>
      </c>
      <c r="D43" s="234">
        <v>50</v>
      </c>
      <c r="E43" s="234" t="str">
        <f t="shared" si="0"/>
        <v>45 - Fine grade = 5.6842</v>
      </c>
      <c r="F43" s="234">
        <f t="shared" si="1"/>
        <v>5.6842105263157894</v>
      </c>
      <c r="G43" s="235">
        <f t="shared" si="2"/>
        <v>5</v>
      </c>
      <c r="H43" s="236">
        <f t="shared" si="6"/>
        <v>48</v>
      </c>
      <c r="I43" s="236">
        <v>4</v>
      </c>
      <c r="J43" s="236">
        <v>46</v>
      </c>
      <c r="K43" s="236">
        <v>78</v>
      </c>
      <c r="L43" s="236" t="str">
        <f t="shared" si="3"/>
        <v>48 - Fine grade = 4.0606</v>
      </c>
      <c r="M43" s="236">
        <f t="shared" si="7"/>
        <v>4.0606060606060606</v>
      </c>
      <c r="N43" s="236">
        <f t="shared" si="5"/>
        <v>4</v>
      </c>
      <c r="P43" s="211">
        <f>VLOOKUP(A43,'KS2 Fine grades lookup'!$A$10:$C$49,1,FALSE)</f>
        <v>45</v>
      </c>
      <c r="Q43" s="212" t="str">
        <f>IF(VLOOKUP(A43,'KS2 Fine grades lookup'!$A$10:$C$49,3,FALSE)=F43,"OK","not OK")</f>
        <v>OK</v>
      </c>
      <c r="R43" s="213" t="str">
        <f>IF(VLOOKUP(A43,'KS2 Fine grades lookup'!$A$10:$C$49,2,FALSE)=G43,"OK","not OK")</f>
        <v>OK</v>
      </c>
      <c r="S43" s="211">
        <f>VLOOKUP(H43,'KS2 Fine grades lookup'!$E$10:$G$95,1,FALSE)</f>
        <v>48</v>
      </c>
      <c r="T43" s="214" t="str">
        <f>IF(VLOOKUP(H43,'KS2 Fine grades lookup'!$E$10:$G$95,3,FALSE)=M43,"OK","Not OK")</f>
        <v>OK</v>
      </c>
      <c r="U43" s="213" t="str">
        <f>IF(VLOOKUP(H43,'KS2 Fine grades lookup'!$E$10:$G$95,2,FALSE)=N43,"OK","not OK")</f>
        <v>OK</v>
      </c>
    </row>
    <row r="44" spans="1:21" x14ac:dyDescent="0.45">
      <c r="A44" s="234">
        <f t="shared" si="8"/>
        <v>46</v>
      </c>
      <c r="B44" s="234">
        <v>5</v>
      </c>
      <c r="C44" s="234">
        <v>32</v>
      </c>
      <c r="D44" s="234">
        <v>50</v>
      </c>
      <c r="E44" s="234" t="str">
        <f t="shared" si="0"/>
        <v>46 - Fine grade = 5.7368</v>
      </c>
      <c r="F44" s="234">
        <f t="shared" si="1"/>
        <v>5.7368421052631575</v>
      </c>
      <c r="G44" s="235">
        <f t="shared" si="2"/>
        <v>5</v>
      </c>
      <c r="H44" s="236">
        <f t="shared" si="6"/>
        <v>49</v>
      </c>
      <c r="I44" s="236">
        <v>4</v>
      </c>
      <c r="J44" s="236">
        <v>46</v>
      </c>
      <c r="K44" s="236">
        <v>78</v>
      </c>
      <c r="L44" s="236" t="str">
        <f t="shared" si="3"/>
        <v>49 - Fine grade = 4.0909</v>
      </c>
      <c r="M44" s="236">
        <f t="shared" si="7"/>
        <v>4.0909090909090908</v>
      </c>
      <c r="N44" s="236">
        <f t="shared" si="5"/>
        <v>4</v>
      </c>
      <c r="P44" s="211">
        <f>VLOOKUP(A44,'KS2 Fine grades lookup'!$A$10:$C$49,1,FALSE)</f>
        <v>46</v>
      </c>
      <c r="Q44" s="212" t="str">
        <f>IF(VLOOKUP(A44,'KS2 Fine grades lookup'!$A$10:$C$49,3,FALSE)=F44,"OK","not OK")</f>
        <v>OK</v>
      </c>
      <c r="R44" s="213" t="str">
        <f>IF(VLOOKUP(A44,'KS2 Fine grades lookup'!$A$10:$C$49,2,FALSE)=G44,"OK","not OK")</f>
        <v>OK</v>
      </c>
      <c r="S44" s="211">
        <f>VLOOKUP(H44,'KS2 Fine grades lookup'!$E$10:$G$95,1,FALSE)</f>
        <v>49</v>
      </c>
      <c r="T44" s="214" t="str">
        <f>IF(VLOOKUP(H44,'KS2 Fine grades lookup'!$E$10:$G$95,3,FALSE)=M44,"OK","Not OK")</f>
        <v>OK</v>
      </c>
      <c r="U44" s="213" t="str">
        <f>IF(VLOOKUP(H44,'KS2 Fine grades lookup'!$E$10:$G$95,2,FALSE)=N44,"OK","not OK")</f>
        <v>OK</v>
      </c>
    </row>
    <row r="45" spans="1:21" x14ac:dyDescent="0.45">
      <c r="A45" s="234">
        <f t="shared" si="8"/>
        <v>47</v>
      </c>
      <c r="B45" s="234">
        <v>5</v>
      </c>
      <c r="C45" s="234">
        <v>32</v>
      </c>
      <c r="D45" s="234">
        <v>50</v>
      </c>
      <c r="E45" s="234" t="str">
        <f t="shared" si="0"/>
        <v>47 - Fine grade = 5.7895</v>
      </c>
      <c r="F45" s="234">
        <f t="shared" si="1"/>
        <v>5.7894736842105265</v>
      </c>
      <c r="G45" s="235">
        <f t="shared" si="2"/>
        <v>5</v>
      </c>
      <c r="H45" s="236">
        <f t="shared" si="6"/>
        <v>50</v>
      </c>
      <c r="I45" s="236">
        <v>4</v>
      </c>
      <c r="J45" s="236">
        <v>46</v>
      </c>
      <c r="K45" s="236">
        <v>78</v>
      </c>
      <c r="L45" s="236" t="str">
        <f t="shared" si="3"/>
        <v>50 - Fine grade = 4.1212</v>
      </c>
      <c r="M45" s="236">
        <f t="shared" si="7"/>
        <v>4.1212121212121211</v>
      </c>
      <c r="N45" s="236">
        <f t="shared" si="5"/>
        <v>4</v>
      </c>
      <c r="P45" s="211">
        <f>VLOOKUP(A45,'KS2 Fine grades lookup'!$A$10:$C$49,1,FALSE)</f>
        <v>47</v>
      </c>
      <c r="Q45" s="212" t="str">
        <f>IF(VLOOKUP(A45,'KS2 Fine grades lookup'!$A$10:$C$49,3,FALSE)=F45,"OK","not OK")</f>
        <v>OK</v>
      </c>
      <c r="R45" s="213" t="str">
        <f>IF(VLOOKUP(A45,'KS2 Fine grades lookup'!$A$10:$C$49,2,FALSE)=G45,"OK","not OK")</f>
        <v>OK</v>
      </c>
      <c r="S45" s="211">
        <f>VLOOKUP(H45,'KS2 Fine grades lookup'!$E$10:$G$95,1,FALSE)</f>
        <v>50</v>
      </c>
      <c r="T45" s="214" t="str">
        <f>IF(VLOOKUP(H45,'KS2 Fine grades lookup'!$E$10:$G$95,3,FALSE)=M45,"OK","Not OK")</f>
        <v>OK</v>
      </c>
      <c r="U45" s="213" t="str">
        <f>IF(VLOOKUP(H45,'KS2 Fine grades lookup'!$E$10:$G$95,2,FALSE)=N45,"OK","not OK")</f>
        <v>OK</v>
      </c>
    </row>
    <row r="46" spans="1:21" x14ac:dyDescent="0.45">
      <c r="A46" s="234">
        <f t="shared" si="8"/>
        <v>48</v>
      </c>
      <c r="B46" s="234">
        <v>5</v>
      </c>
      <c r="C46" s="234">
        <v>32</v>
      </c>
      <c r="D46" s="234">
        <v>50</v>
      </c>
      <c r="E46" s="234" t="str">
        <f t="shared" si="0"/>
        <v>48 - Fine grade = 5.8421</v>
      </c>
      <c r="F46" s="234">
        <f t="shared" si="1"/>
        <v>5.8421052631578947</v>
      </c>
      <c r="G46" s="235">
        <f t="shared" si="2"/>
        <v>5</v>
      </c>
      <c r="H46" s="236">
        <f t="shared" si="6"/>
        <v>51</v>
      </c>
      <c r="I46" s="236">
        <v>4</v>
      </c>
      <c r="J46" s="236">
        <v>46</v>
      </c>
      <c r="K46" s="236">
        <v>78</v>
      </c>
      <c r="L46" s="236" t="str">
        <f t="shared" si="3"/>
        <v>51 - Fine grade = 4.1515</v>
      </c>
      <c r="M46" s="236">
        <f t="shared" si="7"/>
        <v>4.1515151515151514</v>
      </c>
      <c r="N46" s="236">
        <f t="shared" si="5"/>
        <v>4</v>
      </c>
      <c r="P46" s="211">
        <f>VLOOKUP(A46,'KS2 Fine grades lookup'!$A$10:$C$49,1,FALSE)</f>
        <v>48</v>
      </c>
      <c r="Q46" s="212" t="str">
        <f>IF(VLOOKUP(A46,'KS2 Fine grades lookup'!$A$10:$C$49,3,FALSE)=F46,"OK","not OK")</f>
        <v>OK</v>
      </c>
      <c r="R46" s="213" t="str">
        <f>IF(VLOOKUP(A46,'KS2 Fine grades lookup'!$A$10:$C$49,2,FALSE)=G46,"OK","not OK")</f>
        <v>OK</v>
      </c>
      <c r="S46" s="211">
        <f>VLOOKUP(H46,'KS2 Fine grades lookup'!$E$10:$G$95,1,FALSE)</f>
        <v>51</v>
      </c>
      <c r="T46" s="214" t="str">
        <f>IF(VLOOKUP(H46,'KS2 Fine grades lookup'!$E$10:$G$95,3,FALSE)=M46,"OK","Not OK")</f>
        <v>OK</v>
      </c>
      <c r="U46" s="213" t="str">
        <f>IF(VLOOKUP(H46,'KS2 Fine grades lookup'!$E$10:$G$95,2,FALSE)=N46,"OK","not OK")</f>
        <v>OK</v>
      </c>
    </row>
    <row r="47" spans="1:21" x14ac:dyDescent="0.45">
      <c r="A47" s="234">
        <f t="shared" si="8"/>
        <v>49</v>
      </c>
      <c r="B47" s="234">
        <v>5</v>
      </c>
      <c r="C47" s="234">
        <v>32</v>
      </c>
      <c r="D47" s="234">
        <v>50</v>
      </c>
      <c r="E47" s="234" t="str">
        <f t="shared" si="0"/>
        <v>49 - Fine grade = 5.8947</v>
      </c>
      <c r="F47" s="234">
        <f t="shared" si="1"/>
        <v>5.8947368421052628</v>
      </c>
      <c r="G47" s="235">
        <f t="shared" si="2"/>
        <v>5</v>
      </c>
      <c r="H47" s="236">
        <f t="shared" si="6"/>
        <v>52</v>
      </c>
      <c r="I47" s="236">
        <v>4</v>
      </c>
      <c r="J47" s="236">
        <v>46</v>
      </c>
      <c r="K47" s="236">
        <v>78</v>
      </c>
      <c r="L47" s="236" t="str">
        <f t="shared" si="3"/>
        <v>52 - Fine grade = 4.1818</v>
      </c>
      <c r="M47" s="236">
        <f t="shared" si="7"/>
        <v>4.1818181818181817</v>
      </c>
      <c r="N47" s="236">
        <f t="shared" si="5"/>
        <v>4</v>
      </c>
      <c r="P47" s="211">
        <f>VLOOKUP(A47,'KS2 Fine grades lookup'!$A$10:$C$49,1,FALSE)</f>
        <v>49</v>
      </c>
      <c r="Q47" s="212" t="str">
        <f>IF(VLOOKUP(A47,'KS2 Fine grades lookup'!$A$10:$C$49,3,FALSE)=F47,"OK","not OK")</f>
        <v>OK</v>
      </c>
      <c r="R47" s="213" t="str">
        <f>IF(VLOOKUP(A47,'KS2 Fine grades lookup'!$A$10:$C$49,2,FALSE)=G47,"OK","not OK")</f>
        <v>OK</v>
      </c>
      <c r="S47" s="211">
        <f>VLOOKUP(H47,'KS2 Fine grades lookup'!$E$10:$G$95,1,FALSE)</f>
        <v>52</v>
      </c>
      <c r="T47" s="214" t="str">
        <f>IF(VLOOKUP(H47,'KS2 Fine grades lookup'!$E$10:$G$95,3,FALSE)=M47,"OK","Not OK")</f>
        <v>OK</v>
      </c>
      <c r="U47" s="213" t="str">
        <f>IF(VLOOKUP(H47,'KS2 Fine grades lookup'!$E$10:$G$95,2,FALSE)=N47,"OK","not OK")</f>
        <v>OK</v>
      </c>
    </row>
    <row r="48" spans="1:21" x14ac:dyDescent="0.45">
      <c r="A48" s="234">
        <f t="shared" si="8"/>
        <v>50</v>
      </c>
      <c r="B48" s="234">
        <v>5</v>
      </c>
      <c r="C48" s="234">
        <v>32</v>
      </c>
      <c r="D48" s="234">
        <v>50</v>
      </c>
      <c r="E48" s="234" t="str">
        <f t="shared" si="0"/>
        <v>50 - Fine grade = 5.9474</v>
      </c>
      <c r="F48" s="234">
        <f t="shared" si="1"/>
        <v>5.9473684210526319</v>
      </c>
      <c r="G48" s="235">
        <f t="shared" si="2"/>
        <v>5</v>
      </c>
      <c r="H48" s="236">
        <f t="shared" si="6"/>
        <v>53</v>
      </c>
      <c r="I48" s="236">
        <v>4</v>
      </c>
      <c r="J48" s="236">
        <v>46</v>
      </c>
      <c r="K48" s="236">
        <v>78</v>
      </c>
      <c r="L48" s="236" t="str">
        <f t="shared" si="3"/>
        <v>53 - Fine grade = 4.2121</v>
      </c>
      <c r="M48" s="236">
        <f t="shared" si="7"/>
        <v>4.2121212121212119</v>
      </c>
      <c r="N48" s="236">
        <f t="shared" si="5"/>
        <v>4</v>
      </c>
      <c r="P48" s="211">
        <f>VLOOKUP(A48,'KS2 Fine grades lookup'!$A$10:$C$49,1,FALSE)</f>
        <v>50</v>
      </c>
      <c r="Q48" s="212" t="str">
        <f>IF(VLOOKUP(A48,'KS2 Fine grades lookup'!$A$10:$C$49,3,FALSE)=F48,"OK","not OK")</f>
        <v>OK</v>
      </c>
      <c r="R48" s="213" t="str">
        <f>IF(VLOOKUP(A48,'KS2 Fine grades lookup'!$A$10:$C$49,2,FALSE)=G48,"OK","not OK")</f>
        <v>OK</v>
      </c>
      <c r="S48" s="211">
        <f>VLOOKUP(H48,'KS2 Fine grades lookup'!$E$10:$G$95,1,FALSE)</f>
        <v>53</v>
      </c>
      <c r="T48" s="214" t="str">
        <f>IF(VLOOKUP(H48,'KS2 Fine grades lookup'!$E$10:$G$95,3,FALSE)=M48,"OK","Not OK")</f>
        <v>OK</v>
      </c>
      <c r="U48" s="213" t="str">
        <f>IF(VLOOKUP(H48,'KS2 Fine grades lookup'!$E$10:$G$95,2,FALSE)=N48,"OK","not OK")</f>
        <v>OK</v>
      </c>
    </row>
    <row r="49" spans="1:21" x14ac:dyDescent="0.45">
      <c r="H49" s="236">
        <f t="shared" si="6"/>
        <v>54</v>
      </c>
      <c r="I49" s="236">
        <v>4</v>
      </c>
      <c r="J49" s="236">
        <v>46</v>
      </c>
      <c r="K49" s="236">
        <v>78</v>
      </c>
      <c r="L49" s="236" t="str">
        <f t="shared" si="3"/>
        <v>54 - Fine grade = 4.2424</v>
      </c>
      <c r="M49" s="236">
        <f t="shared" si="7"/>
        <v>4.2424242424242422</v>
      </c>
      <c r="N49" s="236">
        <f t="shared" si="5"/>
        <v>4</v>
      </c>
      <c r="P49" s="211"/>
      <c r="Q49" s="212"/>
      <c r="R49" s="213"/>
      <c r="S49" s="211">
        <f>VLOOKUP(H49,'KS2 Fine grades lookup'!$E$10:$G$95,1,FALSE)</f>
        <v>54</v>
      </c>
      <c r="T49" s="214" t="str">
        <f>IF(VLOOKUP(H49,'KS2 Fine grades lookup'!$E$10:$G$95,3,FALSE)=M49,"OK","Not OK")</f>
        <v>OK</v>
      </c>
      <c r="U49" s="213" t="str">
        <f>IF(VLOOKUP(H49,'KS2 Fine grades lookup'!$E$10:$G$95,2,FALSE)=N49,"OK","not OK")</f>
        <v>OK</v>
      </c>
    </row>
    <row r="50" spans="1:21" x14ac:dyDescent="0.45">
      <c r="H50" s="236">
        <f t="shared" si="6"/>
        <v>55</v>
      </c>
      <c r="I50" s="236">
        <v>4</v>
      </c>
      <c r="J50" s="236">
        <v>46</v>
      </c>
      <c r="K50" s="236">
        <v>78</v>
      </c>
      <c r="L50" s="236" t="str">
        <f t="shared" si="3"/>
        <v>55 - Fine grade = 4.2727</v>
      </c>
      <c r="M50" s="236">
        <f t="shared" si="7"/>
        <v>4.2727272727272725</v>
      </c>
      <c r="N50" s="236">
        <f t="shared" si="5"/>
        <v>4</v>
      </c>
      <c r="P50" s="208"/>
      <c r="Q50" s="209"/>
      <c r="R50" s="210"/>
      <c r="S50" s="208">
        <f>VLOOKUP(H50,'KS2 Fine grades lookup'!$E$10:$G$95,1,FALSE)</f>
        <v>55</v>
      </c>
      <c r="T50" s="214" t="str">
        <f>IF(VLOOKUP(H50,'KS2 Fine grades lookup'!$E$10:$G$95,3,FALSE)=M50,"OK","Not OK")</f>
        <v>OK</v>
      </c>
      <c r="U50" s="210" t="str">
        <f>IF(VLOOKUP(H50,'KS2 Fine grades lookup'!$E$10:$G$95,2,FALSE)=N50,"OK","not OK")</f>
        <v>OK</v>
      </c>
    </row>
    <row r="51" spans="1:21" x14ac:dyDescent="0.45">
      <c r="H51" s="236">
        <f t="shared" si="6"/>
        <v>56</v>
      </c>
      <c r="I51" s="236">
        <v>4</v>
      </c>
      <c r="J51" s="236">
        <v>46</v>
      </c>
      <c r="K51" s="236">
        <v>78</v>
      </c>
      <c r="L51" s="236" t="str">
        <f t="shared" si="3"/>
        <v>56 - Fine grade = 4.303</v>
      </c>
      <c r="M51" s="236">
        <f t="shared" si="7"/>
        <v>4.3030303030303028</v>
      </c>
      <c r="N51" s="236">
        <f t="shared" si="5"/>
        <v>4</v>
      </c>
      <c r="P51" s="208"/>
      <c r="Q51" s="209"/>
      <c r="R51" s="210"/>
      <c r="S51" s="208">
        <f>VLOOKUP(H51,'KS2 Fine grades lookup'!$E$10:$G$95,1,FALSE)</f>
        <v>56</v>
      </c>
      <c r="T51" s="214" t="str">
        <f>IF(VLOOKUP(H51,'KS2 Fine grades lookup'!$E$10:$G$95,3,FALSE)=M51,"OK","Not OK")</f>
        <v>OK</v>
      </c>
      <c r="U51" s="210" t="str">
        <f>IF(VLOOKUP(H51,'KS2 Fine grades lookup'!$E$10:$G$95,2,FALSE)=N51,"OK","not OK")</f>
        <v>OK</v>
      </c>
    </row>
    <row r="52" spans="1:21" x14ac:dyDescent="0.45">
      <c r="H52" s="236">
        <f t="shared" si="6"/>
        <v>57</v>
      </c>
      <c r="I52" s="236">
        <v>4</v>
      </c>
      <c r="J52" s="236">
        <v>46</v>
      </c>
      <c r="K52" s="236">
        <v>78</v>
      </c>
      <c r="L52" s="236" t="str">
        <f t="shared" si="3"/>
        <v>57 - Fine grade = 4.3333</v>
      </c>
      <c r="M52" s="236">
        <f t="shared" si="7"/>
        <v>4.333333333333333</v>
      </c>
      <c r="N52" s="236">
        <f t="shared" si="5"/>
        <v>4</v>
      </c>
      <c r="P52" s="208"/>
      <c r="Q52" s="209"/>
      <c r="R52" s="210"/>
      <c r="S52" s="208">
        <f>VLOOKUP(H52,'KS2 Fine grades lookup'!$E$10:$G$95,1,FALSE)</f>
        <v>57</v>
      </c>
      <c r="T52" s="214" t="str">
        <f>IF(VLOOKUP(H52,'KS2 Fine grades lookup'!$E$10:$G$95,3,FALSE)=M52,"OK","Not OK")</f>
        <v>OK</v>
      </c>
      <c r="U52" s="210" t="str">
        <f>IF(VLOOKUP(H52,'KS2 Fine grades lookup'!$E$10:$G$95,2,FALSE)=N52,"OK","not OK")</f>
        <v>OK</v>
      </c>
    </row>
    <row r="53" spans="1:21" ht="14.25" customHeight="1" x14ac:dyDescent="0.45">
      <c r="A53" s="260" t="s">
        <v>170</v>
      </c>
      <c r="B53" s="260"/>
      <c r="C53" s="260"/>
      <c r="D53" s="260"/>
      <c r="E53" s="260"/>
      <c r="F53" s="260"/>
      <c r="H53" s="236">
        <f t="shared" si="6"/>
        <v>58</v>
      </c>
      <c r="I53" s="236">
        <v>4</v>
      </c>
      <c r="J53" s="236">
        <v>46</v>
      </c>
      <c r="K53" s="236">
        <v>78</v>
      </c>
      <c r="L53" s="236" t="str">
        <f t="shared" si="3"/>
        <v>58 - Fine grade = 4.3636</v>
      </c>
      <c r="M53" s="236">
        <f t="shared" si="7"/>
        <v>4.3636363636363633</v>
      </c>
      <c r="N53" s="236">
        <f t="shared" si="5"/>
        <v>4</v>
      </c>
      <c r="P53" s="208"/>
      <c r="Q53" s="209"/>
      <c r="R53" s="210"/>
      <c r="S53" s="208">
        <f>VLOOKUP(H53,'KS2 Fine grades lookup'!$E$10:$G$95,1,FALSE)</f>
        <v>58</v>
      </c>
      <c r="T53" s="214" t="str">
        <f>IF(VLOOKUP(H53,'KS2 Fine grades lookup'!$E$10:$G$95,3,FALSE)=M53,"OK","Not OK")</f>
        <v>OK</v>
      </c>
      <c r="U53" s="210" t="str">
        <f>IF(VLOOKUP(H53,'KS2 Fine grades lookup'!$E$10:$G$95,2,FALSE)=N53,"OK","not OK")</f>
        <v>OK</v>
      </c>
    </row>
    <row r="54" spans="1:21" x14ac:dyDescent="0.45">
      <c r="A54" s="260"/>
      <c r="B54" s="260"/>
      <c r="C54" s="260"/>
      <c r="D54" s="260"/>
      <c r="E54" s="260"/>
      <c r="F54" s="260"/>
      <c r="H54" s="236">
        <f t="shared" si="6"/>
        <v>59</v>
      </c>
      <c r="I54" s="236">
        <v>4</v>
      </c>
      <c r="J54" s="236">
        <v>46</v>
      </c>
      <c r="K54" s="236">
        <v>78</v>
      </c>
      <c r="L54" s="236" t="str">
        <f t="shared" si="3"/>
        <v>59 - Fine grade = 4.3939</v>
      </c>
      <c r="M54" s="236">
        <f t="shared" si="7"/>
        <v>4.3939393939393936</v>
      </c>
      <c r="N54" s="236">
        <f t="shared" si="5"/>
        <v>4</v>
      </c>
      <c r="P54" s="208"/>
      <c r="Q54" s="209"/>
      <c r="R54" s="210"/>
      <c r="S54" s="208">
        <f>VLOOKUP(H54,'KS2 Fine grades lookup'!$E$10:$G$95,1,FALSE)</f>
        <v>59</v>
      </c>
      <c r="T54" s="214" t="str">
        <f>IF(VLOOKUP(H54,'KS2 Fine grades lookup'!$E$10:$G$95,3,FALSE)=M54,"OK","Not OK")</f>
        <v>OK</v>
      </c>
      <c r="U54" s="210" t="str">
        <f>IF(VLOOKUP(H54,'KS2 Fine grades lookup'!$E$10:$G$95,2,FALSE)=N54,"OK","not OK")</f>
        <v>OK</v>
      </c>
    </row>
    <row r="55" spans="1:21" x14ac:dyDescent="0.45">
      <c r="A55" s="260"/>
      <c r="B55" s="260"/>
      <c r="C55" s="260"/>
      <c r="D55" s="260"/>
      <c r="E55" s="260"/>
      <c r="F55" s="260"/>
      <c r="H55" s="236">
        <f t="shared" si="6"/>
        <v>60</v>
      </c>
      <c r="I55" s="236">
        <v>4</v>
      </c>
      <c r="J55" s="236">
        <v>46</v>
      </c>
      <c r="K55" s="236">
        <v>78</v>
      </c>
      <c r="L55" s="236" t="str">
        <f t="shared" si="3"/>
        <v>60 - Fine grade = 4.4242</v>
      </c>
      <c r="M55" s="236">
        <f t="shared" si="7"/>
        <v>4.4242424242424239</v>
      </c>
      <c r="N55" s="236">
        <f t="shared" si="5"/>
        <v>4</v>
      </c>
      <c r="P55" s="208"/>
      <c r="Q55" s="209"/>
      <c r="R55" s="210"/>
      <c r="S55" s="208">
        <f>VLOOKUP(H55,'KS2 Fine grades lookup'!$E$10:$G$95,1,FALSE)</f>
        <v>60</v>
      </c>
      <c r="T55" s="214" t="str">
        <f>IF(VLOOKUP(H55,'KS2 Fine grades lookup'!$E$10:$G$95,3,FALSE)=M55,"OK","Not OK")</f>
        <v>OK</v>
      </c>
      <c r="U55" s="210" t="str">
        <f>IF(VLOOKUP(H55,'KS2 Fine grades lookup'!$E$10:$G$95,2,FALSE)=N55,"OK","not OK")</f>
        <v>OK</v>
      </c>
    </row>
    <row r="56" spans="1:21" x14ac:dyDescent="0.45">
      <c r="A56" s="260"/>
      <c r="B56" s="260"/>
      <c r="C56" s="260"/>
      <c r="D56" s="260"/>
      <c r="E56" s="260"/>
      <c r="F56" s="260"/>
      <c r="H56" s="236">
        <f t="shared" si="6"/>
        <v>61</v>
      </c>
      <c r="I56" s="236">
        <v>4</v>
      </c>
      <c r="J56" s="236">
        <v>46</v>
      </c>
      <c r="K56" s="236">
        <v>78</v>
      </c>
      <c r="L56" s="236" t="str">
        <f t="shared" si="3"/>
        <v>61 - Fine grade = 4.4545</v>
      </c>
      <c r="M56" s="236">
        <f t="shared" si="7"/>
        <v>4.4545454545454541</v>
      </c>
      <c r="N56" s="236">
        <f t="shared" si="5"/>
        <v>4</v>
      </c>
      <c r="P56" s="208"/>
      <c r="Q56" s="209"/>
      <c r="R56" s="210"/>
      <c r="S56" s="208">
        <f>VLOOKUP(H56,'KS2 Fine grades lookup'!$E$10:$G$95,1,FALSE)</f>
        <v>61</v>
      </c>
      <c r="T56" s="214" t="str">
        <f>IF(VLOOKUP(H56,'KS2 Fine grades lookup'!$E$10:$G$95,3,FALSE)=M56,"OK","Not OK")</f>
        <v>OK</v>
      </c>
      <c r="U56" s="210" t="str">
        <f>IF(VLOOKUP(H56,'KS2 Fine grades lookup'!$E$10:$G$95,2,FALSE)=N56,"OK","not OK")</f>
        <v>OK</v>
      </c>
    </row>
    <row r="57" spans="1:21" x14ac:dyDescent="0.45">
      <c r="A57" s="260"/>
      <c r="B57" s="260"/>
      <c r="C57" s="260"/>
      <c r="D57" s="260"/>
      <c r="E57" s="260"/>
      <c r="F57" s="260"/>
      <c r="H57" s="236">
        <f t="shared" si="6"/>
        <v>62</v>
      </c>
      <c r="I57" s="236">
        <v>4</v>
      </c>
      <c r="J57" s="236">
        <v>46</v>
      </c>
      <c r="K57" s="236">
        <v>78</v>
      </c>
      <c r="L57" s="236" t="str">
        <f t="shared" si="3"/>
        <v>62 - Fine grade = 4.4848</v>
      </c>
      <c r="M57" s="236">
        <f t="shared" si="7"/>
        <v>4.4848484848484844</v>
      </c>
      <c r="N57" s="236">
        <f t="shared" si="5"/>
        <v>4</v>
      </c>
      <c r="P57" s="208"/>
      <c r="Q57" s="209"/>
      <c r="R57" s="210"/>
      <c r="S57" s="208">
        <f>VLOOKUP(H57,'KS2 Fine grades lookup'!$E$10:$G$95,1,FALSE)</f>
        <v>62</v>
      </c>
      <c r="T57" s="214" t="str">
        <f>IF(VLOOKUP(H57,'KS2 Fine grades lookup'!$E$10:$G$95,3,FALSE)=M57,"OK","Not OK")</f>
        <v>OK</v>
      </c>
      <c r="U57" s="210" t="str">
        <f>IF(VLOOKUP(H57,'KS2 Fine grades lookup'!$E$10:$G$95,2,FALSE)=N57,"OK","not OK")</f>
        <v>OK</v>
      </c>
    </row>
    <row r="58" spans="1:21" x14ac:dyDescent="0.45">
      <c r="H58" s="236">
        <f t="shared" si="6"/>
        <v>63</v>
      </c>
      <c r="I58" s="236">
        <v>4</v>
      </c>
      <c r="J58" s="236">
        <v>46</v>
      </c>
      <c r="K58" s="236">
        <v>78</v>
      </c>
      <c r="L58" s="236" t="str">
        <f t="shared" si="3"/>
        <v>63 - Fine grade = 4.5152</v>
      </c>
      <c r="M58" s="236">
        <f t="shared" si="7"/>
        <v>4.5151515151515156</v>
      </c>
      <c r="N58" s="236">
        <f t="shared" si="5"/>
        <v>4</v>
      </c>
      <c r="P58" s="208"/>
      <c r="Q58" s="209"/>
      <c r="R58" s="210"/>
      <c r="S58" s="208">
        <f>VLOOKUP(H58,'KS2 Fine grades lookup'!$E$10:$G$95,1,FALSE)</f>
        <v>63</v>
      </c>
      <c r="T58" s="214" t="str">
        <f>IF(VLOOKUP(H58,'KS2 Fine grades lookup'!$E$10:$G$95,3,FALSE)=M58,"OK","Not OK")</f>
        <v>OK</v>
      </c>
      <c r="U58" s="210" t="str">
        <f>IF(VLOOKUP(H58,'KS2 Fine grades lookup'!$E$10:$G$95,2,FALSE)=N58,"OK","not OK")</f>
        <v>OK</v>
      </c>
    </row>
    <row r="59" spans="1:21" x14ac:dyDescent="0.45">
      <c r="H59" s="236">
        <f t="shared" si="6"/>
        <v>64</v>
      </c>
      <c r="I59" s="236">
        <v>4</v>
      </c>
      <c r="J59" s="236">
        <v>46</v>
      </c>
      <c r="K59" s="236">
        <v>78</v>
      </c>
      <c r="L59" s="236" t="str">
        <f t="shared" si="3"/>
        <v>64 - Fine grade = 4.5455</v>
      </c>
      <c r="M59" s="236">
        <f t="shared" si="7"/>
        <v>4.545454545454545</v>
      </c>
      <c r="N59" s="236">
        <f t="shared" si="5"/>
        <v>4</v>
      </c>
      <c r="P59" s="208"/>
      <c r="Q59" s="209"/>
      <c r="R59" s="210"/>
      <c r="S59" s="208">
        <f>VLOOKUP(H59,'KS2 Fine grades lookup'!$E$10:$G$95,1,FALSE)</f>
        <v>64</v>
      </c>
      <c r="T59" s="214" t="str">
        <f>IF(VLOOKUP(H59,'KS2 Fine grades lookup'!$E$10:$G$95,3,FALSE)=M59,"OK","Not OK")</f>
        <v>OK</v>
      </c>
      <c r="U59" s="210" t="str">
        <f>IF(VLOOKUP(H59,'KS2 Fine grades lookup'!$E$10:$G$95,2,FALSE)=N59,"OK","not OK")</f>
        <v>OK</v>
      </c>
    </row>
    <row r="60" spans="1:21" x14ac:dyDescent="0.45">
      <c r="H60" s="236">
        <f t="shared" si="6"/>
        <v>65</v>
      </c>
      <c r="I60" s="236">
        <v>4</v>
      </c>
      <c r="J60" s="236">
        <v>46</v>
      </c>
      <c r="K60" s="236">
        <v>78</v>
      </c>
      <c r="L60" s="236" t="str">
        <f t="shared" si="3"/>
        <v>65 - Fine grade = 4.5758</v>
      </c>
      <c r="M60" s="236">
        <f t="shared" si="7"/>
        <v>4.5757575757575761</v>
      </c>
      <c r="N60" s="236">
        <f t="shared" si="5"/>
        <v>4</v>
      </c>
      <c r="P60" s="208"/>
      <c r="Q60" s="209"/>
      <c r="R60" s="210"/>
      <c r="S60" s="208">
        <f>VLOOKUP(H60,'KS2 Fine grades lookup'!$E$10:$G$95,1,FALSE)</f>
        <v>65</v>
      </c>
      <c r="T60" s="214" t="str">
        <f>IF(VLOOKUP(H60,'KS2 Fine grades lookup'!$E$10:$G$95,3,FALSE)=M60,"OK","Not OK")</f>
        <v>OK</v>
      </c>
      <c r="U60" s="210" t="str">
        <f>IF(VLOOKUP(H60,'KS2 Fine grades lookup'!$E$10:$G$95,2,FALSE)=N60,"OK","not OK")</f>
        <v>OK</v>
      </c>
    </row>
    <row r="61" spans="1:21" x14ac:dyDescent="0.45">
      <c r="H61" s="236">
        <f t="shared" si="6"/>
        <v>66</v>
      </c>
      <c r="I61" s="236">
        <v>4</v>
      </c>
      <c r="J61" s="236">
        <v>46</v>
      </c>
      <c r="K61" s="236">
        <v>78</v>
      </c>
      <c r="L61" s="236" t="str">
        <f t="shared" si="3"/>
        <v>66 - Fine grade = 4.6061</v>
      </c>
      <c r="M61" s="236">
        <f t="shared" si="7"/>
        <v>4.6060606060606064</v>
      </c>
      <c r="N61" s="236">
        <f t="shared" si="5"/>
        <v>4</v>
      </c>
      <c r="P61" s="208"/>
      <c r="Q61" s="209"/>
      <c r="R61" s="210"/>
      <c r="S61" s="208">
        <f>VLOOKUP(H61,'KS2 Fine grades lookup'!$E$10:$G$95,1,FALSE)</f>
        <v>66</v>
      </c>
      <c r="T61" s="214" t="str">
        <f>IF(VLOOKUP(H61,'KS2 Fine grades lookup'!$E$10:$G$95,3,FALSE)=M61,"OK","Not OK")</f>
        <v>OK</v>
      </c>
      <c r="U61" s="210" t="str">
        <f>IF(VLOOKUP(H61,'KS2 Fine grades lookup'!$E$10:$G$95,2,FALSE)=N61,"OK","not OK")</f>
        <v>OK</v>
      </c>
    </row>
    <row r="62" spans="1:21" x14ac:dyDescent="0.45">
      <c r="H62" s="236">
        <f t="shared" si="6"/>
        <v>67</v>
      </c>
      <c r="I62" s="236">
        <v>4</v>
      </c>
      <c r="J62" s="236">
        <v>46</v>
      </c>
      <c r="K62" s="236">
        <v>78</v>
      </c>
      <c r="L62" s="236" t="str">
        <f t="shared" si="3"/>
        <v>67 - Fine grade = 4.6364</v>
      </c>
      <c r="M62" s="236">
        <f t="shared" si="7"/>
        <v>4.6363636363636367</v>
      </c>
      <c r="N62" s="236">
        <f t="shared" si="5"/>
        <v>4</v>
      </c>
      <c r="P62" s="208"/>
      <c r="Q62" s="209"/>
      <c r="R62" s="210"/>
      <c r="S62" s="208">
        <f>VLOOKUP(H62,'KS2 Fine grades lookup'!$E$10:$G$95,1,FALSE)</f>
        <v>67</v>
      </c>
      <c r="T62" s="214" t="str">
        <f>IF(VLOOKUP(H62,'KS2 Fine grades lookup'!$E$10:$G$95,3,FALSE)=M62,"OK","Not OK")</f>
        <v>OK</v>
      </c>
      <c r="U62" s="210" t="str">
        <f>IF(VLOOKUP(H62,'KS2 Fine grades lookup'!$E$10:$G$95,2,FALSE)=N62,"OK","not OK")</f>
        <v>OK</v>
      </c>
    </row>
    <row r="63" spans="1:21" x14ac:dyDescent="0.45">
      <c r="H63" s="236">
        <f t="shared" si="6"/>
        <v>68</v>
      </c>
      <c r="I63" s="236">
        <v>4</v>
      </c>
      <c r="J63" s="236">
        <v>46</v>
      </c>
      <c r="K63" s="236">
        <v>78</v>
      </c>
      <c r="L63" s="236" t="str">
        <f t="shared" si="3"/>
        <v>68 - Fine grade = 4.6667</v>
      </c>
      <c r="M63" s="236">
        <f t="shared" si="7"/>
        <v>4.666666666666667</v>
      </c>
      <c r="N63" s="236">
        <f t="shared" si="5"/>
        <v>4</v>
      </c>
      <c r="P63" s="208"/>
      <c r="Q63" s="209"/>
      <c r="R63" s="210"/>
      <c r="S63" s="208">
        <f>VLOOKUP(H63,'KS2 Fine grades lookup'!$E$10:$G$95,1,FALSE)</f>
        <v>68</v>
      </c>
      <c r="T63" s="214" t="str">
        <f>IF(VLOOKUP(H63,'KS2 Fine grades lookup'!$E$10:$G$95,3,FALSE)=M63,"OK","Not OK")</f>
        <v>OK</v>
      </c>
      <c r="U63" s="210" t="str">
        <f>IF(VLOOKUP(H63,'KS2 Fine grades lookup'!$E$10:$G$95,2,FALSE)=N63,"OK","not OK")</f>
        <v>OK</v>
      </c>
    </row>
    <row r="64" spans="1:21" x14ac:dyDescent="0.45">
      <c r="H64" s="236">
        <f t="shared" si="6"/>
        <v>69</v>
      </c>
      <c r="I64" s="236">
        <v>4</v>
      </c>
      <c r="J64" s="236">
        <v>46</v>
      </c>
      <c r="K64" s="236">
        <v>78</v>
      </c>
      <c r="L64" s="236" t="str">
        <f t="shared" si="3"/>
        <v>69 - Fine grade = 4.697</v>
      </c>
      <c r="M64" s="236">
        <f t="shared" si="7"/>
        <v>4.6969696969696972</v>
      </c>
      <c r="N64" s="236">
        <f t="shared" si="5"/>
        <v>4</v>
      </c>
      <c r="P64" s="208"/>
      <c r="Q64" s="209"/>
      <c r="R64" s="210"/>
      <c r="S64" s="208">
        <f>VLOOKUP(H64,'KS2 Fine grades lookup'!$E$10:$G$95,1,FALSE)</f>
        <v>69</v>
      </c>
      <c r="T64" s="214" t="str">
        <f>IF(VLOOKUP(H64,'KS2 Fine grades lookup'!$E$10:$G$95,3,FALSE)=M64,"OK","Not OK")</f>
        <v>OK</v>
      </c>
      <c r="U64" s="210" t="str">
        <f>IF(VLOOKUP(H64,'KS2 Fine grades lookup'!$E$10:$G$95,2,FALSE)=N64,"OK","not OK")</f>
        <v>OK</v>
      </c>
    </row>
    <row r="65" spans="8:21" x14ac:dyDescent="0.45">
      <c r="H65" s="236">
        <f t="shared" si="6"/>
        <v>70</v>
      </c>
      <c r="I65" s="236">
        <v>4</v>
      </c>
      <c r="J65" s="236">
        <v>46</v>
      </c>
      <c r="K65" s="236">
        <v>78</v>
      </c>
      <c r="L65" s="236" t="str">
        <f t="shared" si="3"/>
        <v>70 - Fine grade = 4.7273</v>
      </c>
      <c r="M65" s="236">
        <f t="shared" si="7"/>
        <v>4.7272727272727275</v>
      </c>
      <c r="N65" s="236">
        <f t="shared" si="5"/>
        <v>4</v>
      </c>
      <c r="P65" s="208"/>
      <c r="Q65" s="209"/>
      <c r="R65" s="210"/>
      <c r="S65" s="208">
        <f>VLOOKUP(H65,'KS2 Fine grades lookup'!$E$10:$G$95,1,FALSE)</f>
        <v>70</v>
      </c>
      <c r="T65" s="214" t="str">
        <f>IF(VLOOKUP(H65,'KS2 Fine grades lookup'!$E$10:$G$95,3,FALSE)=M65,"OK","Not OK")</f>
        <v>OK</v>
      </c>
      <c r="U65" s="210" t="str">
        <f>IF(VLOOKUP(H65,'KS2 Fine grades lookup'!$E$10:$G$95,2,FALSE)=N65,"OK","not OK")</f>
        <v>OK</v>
      </c>
    </row>
    <row r="66" spans="8:21" x14ac:dyDescent="0.45">
      <c r="H66" s="236">
        <f t="shared" si="6"/>
        <v>71</v>
      </c>
      <c r="I66" s="236">
        <v>4</v>
      </c>
      <c r="J66" s="236">
        <v>46</v>
      </c>
      <c r="K66" s="236">
        <v>78</v>
      </c>
      <c r="L66" s="236" t="str">
        <f t="shared" si="3"/>
        <v>71 - Fine grade = 4.7576</v>
      </c>
      <c r="M66" s="236">
        <f t="shared" si="7"/>
        <v>4.7575757575757578</v>
      </c>
      <c r="N66" s="236">
        <f t="shared" si="5"/>
        <v>4</v>
      </c>
      <c r="P66" s="208"/>
      <c r="Q66" s="209"/>
      <c r="R66" s="210"/>
      <c r="S66" s="208">
        <f>VLOOKUP(H66,'KS2 Fine grades lookup'!$E$10:$G$95,1,FALSE)</f>
        <v>71</v>
      </c>
      <c r="T66" s="214" t="str">
        <f>IF(VLOOKUP(H66,'KS2 Fine grades lookup'!$E$10:$G$95,3,FALSE)=M66,"OK","Not OK")</f>
        <v>OK</v>
      </c>
      <c r="U66" s="210" t="str">
        <f>IF(VLOOKUP(H66,'KS2 Fine grades lookup'!$E$10:$G$95,2,FALSE)=N66,"OK","not OK")</f>
        <v>OK</v>
      </c>
    </row>
    <row r="67" spans="8:21" x14ac:dyDescent="0.45">
      <c r="H67" s="236">
        <f t="shared" si="6"/>
        <v>72</v>
      </c>
      <c r="I67" s="236">
        <v>4</v>
      </c>
      <c r="J67" s="236">
        <v>46</v>
      </c>
      <c r="K67" s="236">
        <v>78</v>
      </c>
      <c r="L67" s="236" t="str">
        <f t="shared" si="3"/>
        <v>72 - Fine grade = 4.7879</v>
      </c>
      <c r="M67" s="236">
        <f t="shared" si="7"/>
        <v>4.7878787878787881</v>
      </c>
      <c r="N67" s="236">
        <f t="shared" si="5"/>
        <v>4</v>
      </c>
      <c r="P67" s="208"/>
      <c r="Q67" s="209"/>
      <c r="R67" s="210"/>
      <c r="S67" s="208">
        <f>VLOOKUP(H67,'KS2 Fine grades lookup'!$E$10:$G$95,1,FALSE)</f>
        <v>72</v>
      </c>
      <c r="T67" s="214" t="str">
        <f>IF(VLOOKUP(H67,'KS2 Fine grades lookup'!$E$10:$G$95,3,FALSE)=M67,"OK","Not OK")</f>
        <v>OK</v>
      </c>
      <c r="U67" s="210" t="str">
        <f>IF(VLOOKUP(H67,'KS2 Fine grades lookup'!$E$10:$G$95,2,FALSE)=N67,"OK","not OK")</f>
        <v>OK</v>
      </c>
    </row>
    <row r="68" spans="8:21" x14ac:dyDescent="0.45">
      <c r="H68" s="236">
        <f t="shared" si="6"/>
        <v>73</v>
      </c>
      <c r="I68" s="236">
        <v>4</v>
      </c>
      <c r="J68" s="236">
        <v>46</v>
      </c>
      <c r="K68" s="236">
        <v>78</v>
      </c>
      <c r="L68" s="236" t="str">
        <f t="shared" si="3"/>
        <v>73 - Fine grade = 4.8182</v>
      </c>
      <c r="M68" s="236">
        <f t="shared" si="7"/>
        <v>4.8181818181818183</v>
      </c>
      <c r="N68" s="236">
        <f t="shared" si="5"/>
        <v>4</v>
      </c>
      <c r="P68" s="208"/>
      <c r="Q68" s="209"/>
      <c r="R68" s="210"/>
      <c r="S68" s="208">
        <f>VLOOKUP(H68,'KS2 Fine grades lookup'!$E$10:$G$95,1,FALSE)</f>
        <v>73</v>
      </c>
      <c r="T68" s="214" t="str">
        <f>IF(VLOOKUP(H68,'KS2 Fine grades lookup'!$E$10:$G$95,3,FALSE)=M68,"OK","Not OK")</f>
        <v>OK</v>
      </c>
      <c r="U68" s="210" t="str">
        <f>IF(VLOOKUP(H68,'KS2 Fine grades lookup'!$E$10:$G$95,2,FALSE)=N68,"OK","not OK")</f>
        <v>OK</v>
      </c>
    </row>
    <row r="69" spans="8:21" x14ac:dyDescent="0.45">
      <c r="H69" s="236">
        <f t="shared" si="6"/>
        <v>74</v>
      </c>
      <c r="I69" s="236">
        <v>4</v>
      </c>
      <c r="J69" s="236">
        <v>46</v>
      </c>
      <c r="K69" s="236">
        <v>78</v>
      </c>
      <c r="L69" s="236" t="str">
        <f t="shared" si="3"/>
        <v>74 - Fine grade = 4.8485</v>
      </c>
      <c r="M69" s="236">
        <f t="shared" si="7"/>
        <v>4.8484848484848486</v>
      </c>
      <c r="N69" s="236">
        <f t="shared" si="5"/>
        <v>4</v>
      </c>
      <c r="P69" s="208"/>
      <c r="Q69" s="209"/>
      <c r="R69" s="210"/>
      <c r="S69" s="208">
        <f>VLOOKUP(H69,'KS2 Fine grades lookup'!$E$10:$G$95,1,FALSE)</f>
        <v>74</v>
      </c>
      <c r="T69" s="214" t="str">
        <f>IF(VLOOKUP(H69,'KS2 Fine grades lookup'!$E$10:$G$95,3,FALSE)=M69,"OK","Not OK")</f>
        <v>OK</v>
      </c>
      <c r="U69" s="210" t="str">
        <f>IF(VLOOKUP(H69,'KS2 Fine grades lookup'!$E$10:$G$95,2,FALSE)=N69,"OK","not OK")</f>
        <v>OK</v>
      </c>
    </row>
    <row r="70" spans="8:21" x14ac:dyDescent="0.45">
      <c r="H70" s="236">
        <f t="shared" si="6"/>
        <v>75</v>
      </c>
      <c r="I70" s="236">
        <v>4</v>
      </c>
      <c r="J70" s="236">
        <v>46</v>
      </c>
      <c r="K70" s="236">
        <v>78</v>
      </c>
      <c r="L70" s="236" t="str">
        <f t="shared" si="3"/>
        <v>75 - Fine grade = 4.8788</v>
      </c>
      <c r="M70" s="236">
        <f t="shared" si="7"/>
        <v>4.8787878787878789</v>
      </c>
      <c r="N70" s="236">
        <f t="shared" si="5"/>
        <v>4</v>
      </c>
      <c r="P70" s="208"/>
      <c r="Q70" s="209"/>
      <c r="R70" s="210"/>
      <c r="S70" s="208">
        <f>VLOOKUP(H70,'KS2 Fine grades lookup'!$E$10:$G$95,1,FALSE)</f>
        <v>75</v>
      </c>
      <c r="T70" s="214" t="str">
        <f>IF(VLOOKUP(H70,'KS2 Fine grades lookup'!$E$10:$G$95,3,FALSE)=M70,"OK","Not OK")</f>
        <v>OK</v>
      </c>
      <c r="U70" s="210" t="str">
        <f>IF(VLOOKUP(H70,'KS2 Fine grades lookup'!$E$10:$G$95,2,FALSE)=N70,"OK","not OK")</f>
        <v>OK</v>
      </c>
    </row>
    <row r="71" spans="8:21" x14ac:dyDescent="0.45">
      <c r="H71" s="236">
        <f t="shared" si="6"/>
        <v>76</v>
      </c>
      <c r="I71" s="236">
        <v>4</v>
      </c>
      <c r="J71" s="236">
        <v>46</v>
      </c>
      <c r="K71" s="236">
        <v>78</v>
      </c>
      <c r="L71" s="236" t="str">
        <f t="shared" si="3"/>
        <v>76 - Fine grade = 4.9091</v>
      </c>
      <c r="M71" s="236">
        <f t="shared" si="7"/>
        <v>4.9090909090909092</v>
      </c>
      <c r="N71" s="236">
        <f t="shared" si="5"/>
        <v>4</v>
      </c>
      <c r="P71" s="208"/>
      <c r="Q71" s="209"/>
      <c r="R71" s="210"/>
      <c r="S71" s="208">
        <f>VLOOKUP(H71,'KS2 Fine grades lookup'!$E$10:$G$95,1,FALSE)</f>
        <v>76</v>
      </c>
      <c r="T71" s="214" t="str">
        <f>IF(VLOOKUP(H71,'KS2 Fine grades lookup'!$E$10:$G$95,3,FALSE)=M71,"OK","Not OK")</f>
        <v>OK</v>
      </c>
      <c r="U71" s="210" t="str">
        <f>IF(VLOOKUP(H71,'KS2 Fine grades lookup'!$E$10:$G$95,2,FALSE)=N71,"OK","not OK")</f>
        <v>OK</v>
      </c>
    </row>
    <row r="72" spans="8:21" x14ac:dyDescent="0.45">
      <c r="H72" s="236">
        <f t="shared" si="6"/>
        <v>77</v>
      </c>
      <c r="I72" s="236">
        <v>4</v>
      </c>
      <c r="J72" s="236">
        <v>46</v>
      </c>
      <c r="K72" s="236">
        <v>78</v>
      </c>
      <c r="L72" s="236" t="str">
        <f t="shared" si="3"/>
        <v>77 - Fine grade = 4.9394</v>
      </c>
      <c r="M72" s="236">
        <f t="shared" si="7"/>
        <v>4.9393939393939394</v>
      </c>
      <c r="N72" s="236">
        <f t="shared" si="5"/>
        <v>4</v>
      </c>
      <c r="P72" s="208"/>
      <c r="Q72" s="209"/>
      <c r="R72" s="210"/>
      <c r="S72" s="208">
        <f>VLOOKUP(H72,'KS2 Fine grades lookup'!$E$10:$G$95,1,FALSE)</f>
        <v>77</v>
      </c>
      <c r="T72" s="214" t="str">
        <f>IF(VLOOKUP(H72,'KS2 Fine grades lookup'!$E$10:$G$95,3,FALSE)=M72,"OK","Not OK")</f>
        <v>OK</v>
      </c>
      <c r="U72" s="210" t="str">
        <f>IF(VLOOKUP(H72,'KS2 Fine grades lookup'!$E$10:$G$95,2,FALSE)=N72,"OK","not OK")</f>
        <v>OK</v>
      </c>
    </row>
    <row r="73" spans="8:21" x14ac:dyDescent="0.45">
      <c r="H73" s="236">
        <f t="shared" si="6"/>
        <v>78</v>
      </c>
      <c r="I73" s="236">
        <v>4</v>
      </c>
      <c r="J73" s="236">
        <v>46</v>
      </c>
      <c r="K73" s="236">
        <v>78</v>
      </c>
      <c r="L73" s="236" t="str">
        <f t="shared" si="3"/>
        <v>78 - Fine grade = 4.9697</v>
      </c>
      <c r="M73" s="236">
        <f t="shared" si="7"/>
        <v>4.9696969696969697</v>
      </c>
      <c r="N73" s="236">
        <f t="shared" si="5"/>
        <v>4</v>
      </c>
      <c r="P73" s="208"/>
      <c r="Q73" s="209"/>
      <c r="R73" s="210"/>
      <c r="S73" s="208">
        <f>VLOOKUP(H73,'KS2 Fine grades lookup'!$E$10:$G$95,1,FALSE)</f>
        <v>78</v>
      </c>
      <c r="T73" s="214" t="str">
        <f>IF(VLOOKUP(H73,'KS2 Fine grades lookup'!$E$10:$G$95,3,FALSE)=M73,"OK","Not OK")</f>
        <v>OK</v>
      </c>
      <c r="U73" s="210" t="str">
        <f>IF(VLOOKUP(H73,'KS2 Fine grades lookup'!$E$10:$G$95,2,FALSE)=N73,"OK","not OK")</f>
        <v>OK</v>
      </c>
    </row>
    <row r="74" spans="8:21" x14ac:dyDescent="0.45">
      <c r="H74" s="234">
        <f t="shared" si="6"/>
        <v>79</v>
      </c>
      <c r="I74" s="234">
        <v>5</v>
      </c>
      <c r="J74" s="234">
        <v>79</v>
      </c>
      <c r="K74" s="234">
        <v>100</v>
      </c>
      <c r="L74" s="234" t="str">
        <f t="shared" si="3"/>
        <v>79 - Fine grade = 5</v>
      </c>
      <c r="M74" s="234">
        <f t="shared" si="7"/>
        <v>5</v>
      </c>
      <c r="N74" s="234">
        <f t="shared" si="5"/>
        <v>5</v>
      </c>
      <c r="P74" s="208"/>
      <c r="Q74" s="209"/>
      <c r="R74" s="210"/>
      <c r="S74" s="208">
        <f>VLOOKUP(H74,'KS2 Fine grades lookup'!$E$10:$G$95,1,FALSE)</f>
        <v>79</v>
      </c>
      <c r="T74" s="214" t="str">
        <f>IF(VLOOKUP(H74,'KS2 Fine grades lookup'!$E$10:$G$95,3,FALSE)=M74,"OK","Not OK")</f>
        <v>OK</v>
      </c>
      <c r="U74" s="210" t="str">
        <f>IF(VLOOKUP(H74,'KS2 Fine grades lookup'!$E$10:$G$95,2,FALSE)=N74,"OK","not OK")</f>
        <v>OK</v>
      </c>
    </row>
    <row r="75" spans="8:21" x14ac:dyDescent="0.45">
      <c r="H75" s="234">
        <f t="shared" si="6"/>
        <v>80</v>
      </c>
      <c r="I75" s="234">
        <v>5</v>
      </c>
      <c r="J75" s="234">
        <v>79</v>
      </c>
      <c r="K75" s="234">
        <v>100</v>
      </c>
      <c r="L75" s="234" t="str">
        <f t="shared" ref="L75:L95" si="9">CONCATENATE(H75," - Fine grade = ",ROUND(M75,4))</f>
        <v>80 - Fine grade = 5.0455</v>
      </c>
      <c r="M75" s="234">
        <f t="shared" si="7"/>
        <v>5.0454545454545459</v>
      </c>
      <c r="N75" s="234">
        <f t="shared" ref="N75:N95" si="10">I75</f>
        <v>5</v>
      </c>
      <c r="P75" s="208"/>
      <c r="Q75" s="209"/>
      <c r="R75" s="210"/>
      <c r="S75" s="208">
        <f>VLOOKUP(H75,'KS2 Fine grades lookup'!$E$10:$G$95,1,FALSE)</f>
        <v>80</v>
      </c>
      <c r="T75" s="214" t="str">
        <f>IF(VLOOKUP(H75,'KS2 Fine grades lookup'!$E$10:$G$95,3,FALSE)=M75,"OK","Not OK")</f>
        <v>OK</v>
      </c>
      <c r="U75" s="210" t="str">
        <f>IF(VLOOKUP(H75,'KS2 Fine grades lookup'!$E$10:$G$95,2,FALSE)=N75,"OK","not OK")</f>
        <v>OK</v>
      </c>
    </row>
    <row r="76" spans="8:21" x14ac:dyDescent="0.45">
      <c r="H76" s="234">
        <f t="shared" ref="H76:H95" si="11">H75+1</f>
        <v>81</v>
      </c>
      <c r="I76" s="234">
        <v>5</v>
      </c>
      <c r="J76" s="234">
        <v>79</v>
      </c>
      <c r="K76" s="234">
        <v>100</v>
      </c>
      <c r="L76" s="234" t="str">
        <f t="shared" si="9"/>
        <v>81 - Fine grade = 5.0909</v>
      </c>
      <c r="M76" s="234">
        <f t="shared" si="7"/>
        <v>5.0909090909090908</v>
      </c>
      <c r="N76" s="234">
        <f t="shared" si="10"/>
        <v>5</v>
      </c>
      <c r="P76" s="208"/>
      <c r="Q76" s="209"/>
      <c r="R76" s="210"/>
      <c r="S76" s="208">
        <f>VLOOKUP(H76,'KS2 Fine grades lookup'!$E$10:$G$95,1,FALSE)</f>
        <v>81</v>
      </c>
      <c r="T76" s="214" t="str">
        <f>IF(VLOOKUP(H76,'KS2 Fine grades lookup'!$E$10:$G$95,3,FALSE)=M76,"OK","Not OK")</f>
        <v>OK</v>
      </c>
      <c r="U76" s="210" t="str">
        <f>IF(VLOOKUP(H76,'KS2 Fine grades lookup'!$E$10:$G$95,2,FALSE)=N76,"OK","not OK")</f>
        <v>OK</v>
      </c>
    </row>
    <row r="77" spans="8:21" x14ac:dyDescent="0.45">
      <c r="H77" s="234">
        <f t="shared" si="11"/>
        <v>82</v>
      </c>
      <c r="I77" s="234">
        <v>5</v>
      </c>
      <c r="J77" s="234">
        <v>79</v>
      </c>
      <c r="K77" s="234">
        <v>100</v>
      </c>
      <c r="L77" s="234" t="str">
        <f t="shared" si="9"/>
        <v>82 - Fine grade = 5.1364</v>
      </c>
      <c r="M77" s="234">
        <f t="shared" ref="M77:M95" si="12">I77+((H77-J77)/(K77-J77+1))</f>
        <v>5.1363636363636367</v>
      </c>
      <c r="N77" s="234">
        <f t="shared" si="10"/>
        <v>5</v>
      </c>
      <c r="P77" s="208"/>
      <c r="Q77" s="209"/>
      <c r="R77" s="210"/>
      <c r="S77" s="208">
        <f>VLOOKUP(H77,'KS2 Fine grades lookup'!$E$10:$G$95,1,FALSE)</f>
        <v>82</v>
      </c>
      <c r="T77" s="214" t="str">
        <f>IF(VLOOKUP(H77,'KS2 Fine grades lookup'!$E$10:$G$95,3,FALSE)=M77,"OK","Not OK")</f>
        <v>OK</v>
      </c>
      <c r="U77" s="210" t="str">
        <f>IF(VLOOKUP(H77,'KS2 Fine grades lookup'!$E$10:$G$95,2,FALSE)=N77,"OK","not OK")</f>
        <v>OK</v>
      </c>
    </row>
    <row r="78" spans="8:21" x14ac:dyDescent="0.45">
      <c r="H78" s="234">
        <f t="shared" si="11"/>
        <v>83</v>
      </c>
      <c r="I78" s="234">
        <v>5</v>
      </c>
      <c r="J78" s="234">
        <v>79</v>
      </c>
      <c r="K78" s="234">
        <v>100</v>
      </c>
      <c r="L78" s="234" t="str">
        <f t="shared" si="9"/>
        <v>83 - Fine grade = 5.1818</v>
      </c>
      <c r="M78" s="234">
        <f t="shared" si="12"/>
        <v>5.1818181818181817</v>
      </c>
      <c r="N78" s="234">
        <f t="shared" si="10"/>
        <v>5</v>
      </c>
      <c r="P78" s="208"/>
      <c r="Q78" s="209"/>
      <c r="R78" s="210"/>
      <c r="S78" s="208">
        <f>VLOOKUP(H78,'KS2 Fine grades lookup'!$E$10:$G$95,1,FALSE)</f>
        <v>83</v>
      </c>
      <c r="T78" s="214" t="str">
        <f>IF(VLOOKUP(H78,'KS2 Fine grades lookup'!$E$10:$G$95,3,FALSE)=M78,"OK","Not OK")</f>
        <v>OK</v>
      </c>
      <c r="U78" s="210" t="str">
        <f>IF(VLOOKUP(H78,'KS2 Fine grades lookup'!$E$10:$G$95,2,FALSE)=N78,"OK","not OK")</f>
        <v>OK</v>
      </c>
    </row>
    <row r="79" spans="8:21" x14ac:dyDescent="0.45">
      <c r="H79" s="234">
        <f t="shared" si="11"/>
        <v>84</v>
      </c>
      <c r="I79" s="234">
        <v>5</v>
      </c>
      <c r="J79" s="234">
        <v>79</v>
      </c>
      <c r="K79" s="234">
        <v>100</v>
      </c>
      <c r="L79" s="234" t="str">
        <f t="shared" si="9"/>
        <v>84 - Fine grade = 5.2273</v>
      </c>
      <c r="M79" s="234">
        <f t="shared" si="12"/>
        <v>5.2272727272727275</v>
      </c>
      <c r="N79" s="234">
        <f t="shared" si="10"/>
        <v>5</v>
      </c>
      <c r="P79" s="208"/>
      <c r="Q79" s="209"/>
      <c r="R79" s="210"/>
      <c r="S79" s="208">
        <f>VLOOKUP(H79,'KS2 Fine grades lookup'!$E$10:$G$95,1,FALSE)</f>
        <v>84</v>
      </c>
      <c r="T79" s="214" t="str">
        <f>IF(VLOOKUP(H79,'KS2 Fine grades lookup'!$E$10:$G$95,3,FALSE)=M79,"OK","Not OK")</f>
        <v>OK</v>
      </c>
      <c r="U79" s="210" t="str">
        <f>IF(VLOOKUP(H79,'KS2 Fine grades lookup'!$E$10:$G$95,2,FALSE)=N79,"OK","not OK")</f>
        <v>OK</v>
      </c>
    </row>
    <row r="80" spans="8:21" x14ac:dyDescent="0.45">
      <c r="H80" s="234">
        <f t="shared" si="11"/>
        <v>85</v>
      </c>
      <c r="I80" s="234">
        <v>5</v>
      </c>
      <c r="J80" s="234">
        <v>79</v>
      </c>
      <c r="K80" s="234">
        <v>100</v>
      </c>
      <c r="L80" s="234" t="str">
        <f t="shared" si="9"/>
        <v>85 - Fine grade = 5.2727</v>
      </c>
      <c r="M80" s="234">
        <f t="shared" si="12"/>
        <v>5.2727272727272725</v>
      </c>
      <c r="N80" s="234">
        <f t="shared" si="10"/>
        <v>5</v>
      </c>
      <c r="P80" s="208"/>
      <c r="Q80" s="209"/>
      <c r="R80" s="210"/>
      <c r="S80" s="208">
        <f>VLOOKUP(H80,'KS2 Fine grades lookup'!$E$10:$G$95,1,FALSE)</f>
        <v>85</v>
      </c>
      <c r="T80" s="214" t="str">
        <f>IF(VLOOKUP(H80,'KS2 Fine grades lookup'!$E$10:$G$95,3,FALSE)=M80,"OK","Not OK")</f>
        <v>OK</v>
      </c>
      <c r="U80" s="210" t="str">
        <f>IF(VLOOKUP(H80,'KS2 Fine grades lookup'!$E$10:$G$95,2,FALSE)=N80,"OK","not OK")</f>
        <v>OK</v>
      </c>
    </row>
    <row r="81" spans="8:21" x14ac:dyDescent="0.45">
      <c r="H81" s="234">
        <f t="shared" si="11"/>
        <v>86</v>
      </c>
      <c r="I81" s="234">
        <v>5</v>
      </c>
      <c r="J81" s="234">
        <v>79</v>
      </c>
      <c r="K81" s="234">
        <v>100</v>
      </c>
      <c r="L81" s="234" t="str">
        <f t="shared" si="9"/>
        <v>86 - Fine grade = 5.3182</v>
      </c>
      <c r="M81" s="234">
        <f t="shared" si="12"/>
        <v>5.3181818181818183</v>
      </c>
      <c r="N81" s="234">
        <f t="shared" si="10"/>
        <v>5</v>
      </c>
      <c r="P81" s="208"/>
      <c r="Q81" s="209"/>
      <c r="R81" s="210"/>
      <c r="S81" s="208">
        <f>VLOOKUP(H81,'KS2 Fine grades lookup'!$E$10:$G$95,1,FALSE)</f>
        <v>86</v>
      </c>
      <c r="T81" s="214" t="str">
        <f>IF(VLOOKUP(H81,'KS2 Fine grades lookup'!$E$10:$G$95,3,FALSE)=M81,"OK","Not OK")</f>
        <v>OK</v>
      </c>
      <c r="U81" s="210" t="str">
        <f>IF(VLOOKUP(H81,'KS2 Fine grades lookup'!$E$10:$G$95,2,FALSE)=N81,"OK","not OK")</f>
        <v>OK</v>
      </c>
    </row>
    <row r="82" spans="8:21" x14ac:dyDescent="0.45">
      <c r="H82" s="234">
        <f t="shared" si="11"/>
        <v>87</v>
      </c>
      <c r="I82" s="234">
        <v>5</v>
      </c>
      <c r="J82" s="234">
        <v>79</v>
      </c>
      <c r="K82" s="234">
        <v>100</v>
      </c>
      <c r="L82" s="234" t="str">
        <f t="shared" si="9"/>
        <v>87 - Fine grade = 5.3636</v>
      </c>
      <c r="M82" s="234">
        <f t="shared" si="12"/>
        <v>5.3636363636363633</v>
      </c>
      <c r="N82" s="234">
        <f t="shared" si="10"/>
        <v>5</v>
      </c>
      <c r="P82" s="208"/>
      <c r="Q82" s="209"/>
      <c r="R82" s="210"/>
      <c r="S82" s="208">
        <f>VLOOKUP(H82,'KS2 Fine grades lookup'!$E$10:$G$95,1,FALSE)</f>
        <v>87</v>
      </c>
      <c r="T82" s="214" t="str">
        <f>IF(VLOOKUP(H82,'KS2 Fine grades lookup'!$E$10:$G$95,3,FALSE)=M82,"OK","Not OK")</f>
        <v>OK</v>
      </c>
      <c r="U82" s="210" t="str">
        <f>IF(VLOOKUP(H82,'KS2 Fine grades lookup'!$E$10:$G$95,2,FALSE)=N82,"OK","not OK")</f>
        <v>OK</v>
      </c>
    </row>
    <row r="83" spans="8:21" x14ac:dyDescent="0.45">
      <c r="H83" s="234">
        <f t="shared" si="11"/>
        <v>88</v>
      </c>
      <c r="I83" s="234">
        <v>5</v>
      </c>
      <c r="J83" s="234">
        <v>79</v>
      </c>
      <c r="K83" s="234">
        <v>100</v>
      </c>
      <c r="L83" s="234" t="str">
        <f t="shared" si="9"/>
        <v>88 - Fine grade = 5.4091</v>
      </c>
      <c r="M83" s="234">
        <f t="shared" si="12"/>
        <v>5.4090909090909092</v>
      </c>
      <c r="N83" s="234">
        <f t="shared" si="10"/>
        <v>5</v>
      </c>
      <c r="P83" s="208"/>
      <c r="Q83" s="209"/>
      <c r="R83" s="210"/>
      <c r="S83" s="208">
        <f>VLOOKUP(H83,'KS2 Fine grades lookup'!$E$10:$G$95,1,FALSE)</f>
        <v>88</v>
      </c>
      <c r="T83" s="214" t="str">
        <f>IF(VLOOKUP(H83,'KS2 Fine grades lookup'!$E$10:$G$95,3,FALSE)=M83,"OK","Not OK")</f>
        <v>OK</v>
      </c>
      <c r="U83" s="210" t="str">
        <f>IF(VLOOKUP(H83,'KS2 Fine grades lookup'!$E$10:$G$95,2,FALSE)=N83,"OK","not OK")</f>
        <v>OK</v>
      </c>
    </row>
    <row r="84" spans="8:21" x14ac:dyDescent="0.45">
      <c r="H84" s="234">
        <f t="shared" si="11"/>
        <v>89</v>
      </c>
      <c r="I84" s="234">
        <v>5</v>
      </c>
      <c r="J84" s="234">
        <v>79</v>
      </c>
      <c r="K84" s="234">
        <v>100</v>
      </c>
      <c r="L84" s="234" t="str">
        <f t="shared" si="9"/>
        <v>89 - Fine grade = 5.4545</v>
      </c>
      <c r="M84" s="234">
        <f t="shared" si="12"/>
        <v>5.4545454545454541</v>
      </c>
      <c r="N84" s="234">
        <f t="shared" si="10"/>
        <v>5</v>
      </c>
      <c r="P84" s="208"/>
      <c r="Q84" s="209"/>
      <c r="R84" s="210"/>
      <c r="S84" s="208">
        <f>VLOOKUP(H84,'KS2 Fine grades lookup'!$E$10:$G$95,1,FALSE)</f>
        <v>89</v>
      </c>
      <c r="T84" s="214" t="str">
        <f>IF(VLOOKUP(H84,'KS2 Fine grades lookup'!$E$10:$G$95,3,FALSE)=M84,"OK","Not OK")</f>
        <v>OK</v>
      </c>
      <c r="U84" s="210" t="str">
        <f>IF(VLOOKUP(H84,'KS2 Fine grades lookup'!$E$10:$G$95,2,FALSE)=N84,"OK","not OK")</f>
        <v>OK</v>
      </c>
    </row>
    <row r="85" spans="8:21" x14ac:dyDescent="0.45">
      <c r="H85" s="234">
        <f t="shared" si="11"/>
        <v>90</v>
      </c>
      <c r="I85" s="234">
        <v>5</v>
      </c>
      <c r="J85" s="234">
        <v>79</v>
      </c>
      <c r="K85" s="234">
        <v>100</v>
      </c>
      <c r="L85" s="234" t="str">
        <f t="shared" si="9"/>
        <v>90 - Fine grade = 5.5</v>
      </c>
      <c r="M85" s="234">
        <f t="shared" si="12"/>
        <v>5.5</v>
      </c>
      <c r="N85" s="234">
        <f t="shared" si="10"/>
        <v>5</v>
      </c>
      <c r="P85" s="208"/>
      <c r="Q85" s="209"/>
      <c r="R85" s="210"/>
      <c r="S85" s="208">
        <f>VLOOKUP(H85,'KS2 Fine grades lookup'!$E$10:$G$95,1,FALSE)</f>
        <v>90</v>
      </c>
      <c r="T85" s="214" t="str">
        <f>IF(VLOOKUP(H85,'KS2 Fine grades lookup'!$E$10:$G$95,3,FALSE)=M85,"OK","Not OK")</f>
        <v>OK</v>
      </c>
      <c r="U85" s="210" t="str">
        <f>IF(VLOOKUP(H85,'KS2 Fine grades lookup'!$E$10:$G$95,2,FALSE)=N85,"OK","not OK")</f>
        <v>OK</v>
      </c>
    </row>
    <row r="86" spans="8:21" x14ac:dyDescent="0.45">
      <c r="H86" s="234">
        <f t="shared" si="11"/>
        <v>91</v>
      </c>
      <c r="I86" s="234">
        <v>5</v>
      </c>
      <c r="J86" s="234">
        <v>79</v>
      </c>
      <c r="K86" s="234">
        <v>100</v>
      </c>
      <c r="L86" s="234" t="str">
        <f t="shared" si="9"/>
        <v>91 - Fine grade = 5.5455</v>
      </c>
      <c r="M86" s="234">
        <f t="shared" si="12"/>
        <v>5.545454545454545</v>
      </c>
      <c r="N86" s="234">
        <f t="shared" si="10"/>
        <v>5</v>
      </c>
      <c r="P86" s="208"/>
      <c r="Q86" s="209"/>
      <c r="R86" s="210"/>
      <c r="S86" s="208">
        <f>VLOOKUP(H86,'KS2 Fine grades lookup'!$E$10:$G$95,1,FALSE)</f>
        <v>91</v>
      </c>
      <c r="T86" s="214" t="str">
        <f>IF(VLOOKUP(H86,'KS2 Fine grades lookup'!$E$10:$G$95,3,FALSE)=M86,"OK","Not OK")</f>
        <v>OK</v>
      </c>
      <c r="U86" s="210" t="str">
        <f>IF(VLOOKUP(H86,'KS2 Fine grades lookup'!$E$10:$G$95,2,FALSE)=N86,"OK","not OK")</f>
        <v>OK</v>
      </c>
    </row>
    <row r="87" spans="8:21" x14ac:dyDescent="0.45">
      <c r="H87" s="234">
        <f t="shared" si="11"/>
        <v>92</v>
      </c>
      <c r="I87" s="234">
        <v>5</v>
      </c>
      <c r="J87" s="234">
        <v>79</v>
      </c>
      <c r="K87" s="234">
        <v>100</v>
      </c>
      <c r="L87" s="234" t="str">
        <f t="shared" si="9"/>
        <v>92 - Fine grade = 5.5909</v>
      </c>
      <c r="M87" s="234">
        <f t="shared" si="12"/>
        <v>5.5909090909090908</v>
      </c>
      <c r="N87" s="234">
        <f t="shared" si="10"/>
        <v>5</v>
      </c>
      <c r="P87" s="208"/>
      <c r="Q87" s="209"/>
      <c r="R87" s="210"/>
      <c r="S87" s="208">
        <f>VLOOKUP(H87,'KS2 Fine grades lookup'!$E$10:$G$95,1,FALSE)</f>
        <v>92</v>
      </c>
      <c r="T87" s="214" t="str">
        <f>IF(VLOOKUP(H87,'KS2 Fine grades lookup'!$E$10:$G$95,3,FALSE)=M87,"OK","Not OK")</f>
        <v>OK</v>
      </c>
      <c r="U87" s="210" t="str">
        <f>IF(VLOOKUP(H87,'KS2 Fine grades lookup'!$E$10:$G$95,2,FALSE)=N87,"OK","not OK")</f>
        <v>OK</v>
      </c>
    </row>
    <row r="88" spans="8:21" x14ac:dyDescent="0.45">
      <c r="H88" s="234">
        <f t="shared" si="11"/>
        <v>93</v>
      </c>
      <c r="I88" s="234">
        <v>5</v>
      </c>
      <c r="J88" s="234">
        <v>79</v>
      </c>
      <c r="K88" s="234">
        <v>100</v>
      </c>
      <c r="L88" s="234" t="str">
        <f t="shared" si="9"/>
        <v>93 - Fine grade = 5.6364</v>
      </c>
      <c r="M88" s="234">
        <f t="shared" si="12"/>
        <v>5.6363636363636367</v>
      </c>
      <c r="N88" s="234">
        <f t="shared" si="10"/>
        <v>5</v>
      </c>
      <c r="P88" s="208"/>
      <c r="Q88" s="209"/>
      <c r="R88" s="210"/>
      <c r="S88" s="208">
        <f>VLOOKUP(H88,'KS2 Fine grades lookup'!$E$10:$G$95,1,FALSE)</f>
        <v>93</v>
      </c>
      <c r="T88" s="214" t="str">
        <f>IF(VLOOKUP(H88,'KS2 Fine grades lookup'!$E$10:$G$95,3,FALSE)=M88,"OK","Not OK")</f>
        <v>OK</v>
      </c>
      <c r="U88" s="210" t="str">
        <f>IF(VLOOKUP(H88,'KS2 Fine grades lookup'!$E$10:$G$95,2,FALSE)=N88,"OK","not OK")</f>
        <v>OK</v>
      </c>
    </row>
    <row r="89" spans="8:21" x14ac:dyDescent="0.45">
      <c r="H89" s="234">
        <f t="shared" si="11"/>
        <v>94</v>
      </c>
      <c r="I89" s="234">
        <v>5</v>
      </c>
      <c r="J89" s="234">
        <v>79</v>
      </c>
      <c r="K89" s="234">
        <v>100</v>
      </c>
      <c r="L89" s="234" t="str">
        <f t="shared" si="9"/>
        <v>94 - Fine grade = 5.6818</v>
      </c>
      <c r="M89" s="234">
        <f t="shared" si="12"/>
        <v>5.6818181818181817</v>
      </c>
      <c r="N89" s="234">
        <f t="shared" si="10"/>
        <v>5</v>
      </c>
      <c r="P89" s="208"/>
      <c r="Q89" s="209"/>
      <c r="R89" s="210"/>
      <c r="S89" s="208">
        <f>VLOOKUP(H89,'KS2 Fine grades lookup'!$E$10:$G$95,1,FALSE)</f>
        <v>94</v>
      </c>
      <c r="T89" s="214" t="str">
        <f>IF(VLOOKUP(H89,'KS2 Fine grades lookup'!$E$10:$G$95,3,FALSE)=M89,"OK","Not OK")</f>
        <v>OK</v>
      </c>
      <c r="U89" s="210" t="str">
        <f>IF(VLOOKUP(H89,'KS2 Fine grades lookup'!$E$10:$G$95,2,FALSE)=N89,"OK","not OK")</f>
        <v>OK</v>
      </c>
    </row>
    <row r="90" spans="8:21" x14ac:dyDescent="0.45">
      <c r="H90" s="234">
        <f t="shared" si="11"/>
        <v>95</v>
      </c>
      <c r="I90" s="234">
        <v>5</v>
      </c>
      <c r="J90" s="234">
        <v>79</v>
      </c>
      <c r="K90" s="234">
        <v>100</v>
      </c>
      <c r="L90" s="234" t="str">
        <f t="shared" si="9"/>
        <v>95 - Fine grade = 5.7273</v>
      </c>
      <c r="M90" s="234">
        <f t="shared" si="12"/>
        <v>5.7272727272727275</v>
      </c>
      <c r="N90" s="234">
        <f t="shared" si="10"/>
        <v>5</v>
      </c>
      <c r="P90" s="208"/>
      <c r="Q90" s="209"/>
      <c r="R90" s="210"/>
      <c r="S90" s="208">
        <f>VLOOKUP(H90,'KS2 Fine grades lookup'!$E$10:$G$95,1,FALSE)</f>
        <v>95</v>
      </c>
      <c r="T90" s="214" t="str">
        <f>IF(VLOOKUP(H90,'KS2 Fine grades lookup'!$E$10:$G$95,3,FALSE)=M90,"OK","Not OK")</f>
        <v>OK</v>
      </c>
      <c r="U90" s="210" t="str">
        <f>IF(VLOOKUP(H90,'KS2 Fine grades lookup'!$E$10:$G$95,2,FALSE)=N90,"OK","not OK")</f>
        <v>OK</v>
      </c>
    </row>
    <row r="91" spans="8:21" x14ac:dyDescent="0.45">
      <c r="H91" s="234">
        <f t="shared" si="11"/>
        <v>96</v>
      </c>
      <c r="I91" s="234">
        <v>5</v>
      </c>
      <c r="J91" s="234">
        <v>79</v>
      </c>
      <c r="K91" s="234">
        <v>100</v>
      </c>
      <c r="L91" s="234" t="str">
        <f t="shared" si="9"/>
        <v>96 - Fine grade = 5.7727</v>
      </c>
      <c r="M91" s="234">
        <f t="shared" si="12"/>
        <v>5.7727272727272725</v>
      </c>
      <c r="N91" s="234">
        <f t="shared" si="10"/>
        <v>5</v>
      </c>
      <c r="P91" s="208"/>
      <c r="Q91" s="209"/>
      <c r="R91" s="210"/>
      <c r="S91" s="208">
        <f>VLOOKUP(H91,'KS2 Fine grades lookup'!$E$10:$G$95,1,FALSE)</f>
        <v>96</v>
      </c>
      <c r="T91" s="214" t="str">
        <f>IF(VLOOKUP(H91,'KS2 Fine grades lookup'!$E$10:$G$95,3,FALSE)=M91,"OK","Not OK")</f>
        <v>OK</v>
      </c>
      <c r="U91" s="210" t="str">
        <f>IF(VLOOKUP(H91,'KS2 Fine grades lookup'!$E$10:$G$95,2,FALSE)=N91,"OK","not OK")</f>
        <v>OK</v>
      </c>
    </row>
    <row r="92" spans="8:21" x14ac:dyDescent="0.45">
      <c r="H92" s="234">
        <f t="shared" si="11"/>
        <v>97</v>
      </c>
      <c r="I92" s="234">
        <v>5</v>
      </c>
      <c r="J92" s="234">
        <v>79</v>
      </c>
      <c r="K92" s="234">
        <v>100</v>
      </c>
      <c r="L92" s="234" t="str">
        <f t="shared" si="9"/>
        <v>97 - Fine grade = 5.8182</v>
      </c>
      <c r="M92" s="234">
        <f t="shared" si="12"/>
        <v>5.8181818181818183</v>
      </c>
      <c r="N92" s="234">
        <f t="shared" si="10"/>
        <v>5</v>
      </c>
      <c r="P92" s="208"/>
      <c r="Q92" s="209"/>
      <c r="R92" s="210"/>
      <c r="S92" s="208">
        <f>VLOOKUP(H92,'KS2 Fine grades lookup'!$E$10:$G$95,1,FALSE)</f>
        <v>97</v>
      </c>
      <c r="T92" s="214" t="str">
        <f>IF(VLOOKUP(H92,'KS2 Fine grades lookup'!$E$10:$G$95,3,FALSE)=M92,"OK","Not OK")</f>
        <v>OK</v>
      </c>
      <c r="U92" s="210" t="str">
        <f>IF(VLOOKUP(H92,'KS2 Fine grades lookup'!$E$10:$G$95,2,FALSE)=N92,"OK","not OK")</f>
        <v>OK</v>
      </c>
    </row>
    <row r="93" spans="8:21" x14ac:dyDescent="0.45">
      <c r="H93" s="234">
        <f t="shared" si="11"/>
        <v>98</v>
      </c>
      <c r="I93" s="234">
        <v>5</v>
      </c>
      <c r="J93" s="234">
        <v>79</v>
      </c>
      <c r="K93" s="234">
        <v>100</v>
      </c>
      <c r="L93" s="234" t="str">
        <f t="shared" si="9"/>
        <v>98 - Fine grade = 5.8636</v>
      </c>
      <c r="M93" s="234">
        <f t="shared" si="12"/>
        <v>5.8636363636363633</v>
      </c>
      <c r="N93" s="234">
        <f t="shared" si="10"/>
        <v>5</v>
      </c>
      <c r="P93" s="208"/>
      <c r="Q93" s="209"/>
      <c r="R93" s="210"/>
      <c r="S93" s="208">
        <f>VLOOKUP(H93,'KS2 Fine grades lookup'!$E$10:$G$95,1,FALSE)</f>
        <v>98</v>
      </c>
      <c r="T93" s="214" t="str">
        <f>IF(VLOOKUP(H93,'KS2 Fine grades lookup'!$E$10:$G$95,3,FALSE)=M93,"OK","Not OK")</f>
        <v>OK</v>
      </c>
      <c r="U93" s="210" t="str">
        <f>IF(VLOOKUP(H93,'KS2 Fine grades lookup'!$E$10:$G$95,2,FALSE)=N93,"OK","not OK")</f>
        <v>OK</v>
      </c>
    </row>
    <row r="94" spans="8:21" x14ac:dyDescent="0.45">
      <c r="H94" s="234">
        <f t="shared" si="11"/>
        <v>99</v>
      </c>
      <c r="I94" s="234">
        <v>5</v>
      </c>
      <c r="J94" s="234">
        <v>79</v>
      </c>
      <c r="K94" s="234">
        <v>100</v>
      </c>
      <c r="L94" s="234" t="str">
        <f t="shared" si="9"/>
        <v>99 - Fine grade = 5.9091</v>
      </c>
      <c r="M94" s="234">
        <f t="shared" si="12"/>
        <v>5.9090909090909092</v>
      </c>
      <c r="N94" s="234">
        <f t="shared" si="10"/>
        <v>5</v>
      </c>
      <c r="P94" s="208"/>
      <c r="Q94" s="209"/>
      <c r="R94" s="210"/>
      <c r="S94" s="208">
        <f>VLOOKUP(H94,'KS2 Fine grades lookup'!$E$10:$G$95,1,FALSE)</f>
        <v>99</v>
      </c>
      <c r="T94" s="214" t="str">
        <f>IF(VLOOKUP(H94,'KS2 Fine grades lookup'!$E$10:$G$95,3,FALSE)=M94,"OK","Not OK")</f>
        <v>OK</v>
      </c>
      <c r="U94" s="210" t="str">
        <f>IF(VLOOKUP(H94,'KS2 Fine grades lookup'!$E$10:$G$95,2,FALSE)=N94,"OK","not OK")</f>
        <v>OK</v>
      </c>
    </row>
    <row r="95" spans="8:21" x14ac:dyDescent="0.45">
      <c r="H95" s="234">
        <f t="shared" si="11"/>
        <v>100</v>
      </c>
      <c r="I95" s="234">
        <v>5</v>
      </c>
      <c r="J95" s="234">
        <v>79</v>
      </c>
      <c r="K95" s="234">
        <v>100</v>
      </c>
      <c r="L95" s="234" t="str">
        <f t="shared" si="9"/>
        <v>100 - Fine grade = 5.9545</v>
      </c>
      <c r="M95" s="234">
        <f t="shared" si="12"/>
        <v>5.954545454545455</v>
      </c>
      <c r="N95" s="234">
        <f t="shared" si="10"/>
        <v>5</v>
      </c>
      <c r="P95" s="208"/>
      <c r="Q95" s="209"/>
      <c r="R95" s="210"/>
      <c r="S95" s="208">
        <f>VLOOKUP(H95,'KS2 Fine grades lookup'!$E$10:$G$95,1,FALSE)</f>
        <v>100</v>
      </c>
      <c r="T95" s="214" t="str">
        <f>IF(VLOOKUP(H95,'KS2 Fine grades lookup'!$E$10:$G$95,3,FALSE)=M95,"OK","Not OK")</f>
        <v>OK</v>
      </c>
      <c r="U95" s="210" t="str">
        <f>IF(VLOOKUP(H95,'KS2 Fine grades lookup'!$E$10:$G$95,2,FALSE)=N95,"OK","not OK")</f>
        <v>OK</v>
      </c>
    </row>
  </sheetData>
  <mergeCells count="3">
    <mergeCell ref="A53:F57"/>
    <mergeCell ref="V3:W3"/>
    <mergeCell ref="X3:Y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R257"/>
  <sheetViews>
    <sheetView workbookViewId="0"/>
  </sheetViews>
  <sheetFormatPr defaultColWidth="9.1328125" defaultRowHeight="10.15" x14ac:dyDescent="0.3"/>
  <cols>
    <col min="1" max="1" width="23" style="132" customWidth="1"/>
    <col min="2" max="2" width="11" style="132" customWidth="1"/>
    <col min="3" max="3" width="11.73046875" style="133" bestFit="1" customWidth="1"/>
    <col min="4" max="4" width="11" style="132" customWidth="1"/>
    <col min="5" max="5" width="15.86328125" style="132" customWidth="1"/>
    <col min="6" max="6" width="11" style="132" customWidth="1"/>
    <col min="7" max="7" width="11" style="133" customWidth="1"/>
    <col min="8" max="10" width="11" style="132" customWidth="1"/>
    <col min="11" max="11" width="11" style="133" customWidth="1"/>
    <col min="12" max="12" width="11" style="132" customWidth="1"/>
    <col min="13" max="13" width="9.1328125" style="132"/>
    <col min="14" max="14" width="13.1328125" style="132" bestFit="1" customWidth="1"/>
    <col min="15" max="16384" width="9.1328125" style="132"/>
  </cols>
  <sheetData>
    <row r="1" spans="1:18" x14ac:dyDescent="0.3">
      <c r="A1" s="132" t="s">
        <v>139</v>
      </c>
      <c r="E1" s="132" t="s">
        <v>48</v>
      </c>
    </row>
    <row r="2" spans="1:18" x14ac:dyDescent="0.3">
      <c r="A2" s="47" t="s">
        <v>140</v>
      </c>
      <c r="B2" s="47" t="s">
        <v>141</v>
      </c>
      <c r="C2" s="202" t="s">
        <v>159</v>
      </c>
      <c r="D2" s="47"/>
      <c r="E2" s="47" t="s">
        <v>7</v>
      </c>
      <c r="F2" s="47" t="s">
        <v>8</v>
      </c>
      <c r="G2" s="202" t="s">
        <v>159</v>
      </c>
      <c r="H2" s="47"/>
      <c r="I2" s="47"/>
      <c r="J2" s="47"/>
      <c r="K2" s="48"/>
      <c r="M2" s="133"/>
      <c r="N2" s="133"/>
      <c r="O2" s="133"/>
      <c r="P2" s="133"/>
      <c r="Q2" s="133"/>
      <c r="R2" s="133"/>
    </row>
    <row r="3" spans="1:18" x14ac:dyDescent="0.3">
      <c r="A3" s="134" t="s">
        <v>32</v>
      </c>
      <c r="B3" s="135" t="s">
        <v>9</v>
      </c>
      <c r="C3" s="136" t="s">
        <v>9</v>
      </c>
      <c r="D3" s="137"/>
      <c r="E3" s="134" t="s">
        <v>32</v>
      </c>
      <c r="F3" s="135" t="s">
        <v>9</v>
      </c>
      <c r="G3" s="136" t="s">
        <v>9</v>
      </c>
      <c r="H3" s="137"/>
      <c r="I3" s="134"/>
      <c r="J3" s="135"/>
      <c r="K3" s="136"/>
      <c r="M3" s="133"/>
      <c r="N3" s="133"/>
      <c r="O3" s="133"/>
      <c r="P3" s="133"/>
      <c r="Q3" s="133"/>
      <c r="R3" s="133"/>
    </row>
    <row r="4" spans="1:18" s="3" customFormat="1" x14ac:dyDescent="0.3">
      <c r="A4" s="138" t="s">
        <v>33</v>
      </c>
      <c r="B4" s="139" t="s">
        <v>9</v>
      </c>
      <c r="C4" s="46" t="s">
        <v>9</v>
      </c>
      <c r="D4" s="46"/>
      <c r="E4" s="138" t="s">
        <v>33</v>
      </c>
      <c r="F4" s="139" t="s">
        <v>9</v>
      </c>
      <c r="G4" s="46" t="s">
        <v>9</v>
      </c>
      <c r="H4" s="46"/>
      <c r="I4" s="138"/>
      <c r="J4" s="139"/>
      <c r="K4" s="46"/>
      <c r="L4" s="2"/>
      <c r="M4" s="140"/>
      <c r="N4" s="140"/>
      <c r="O4" s="140"/>
      <c r="P4" s="140"/>
      <c r="Q4" s="140"/>
      <c r="R4" s="140"/>
    </row>
    <row r="5" spans="1:18" x14ac:dyDescent="0.3">
      <c r="A5" s="138" t="s">
        <v>34</v>
      </c>
      <c r="B5" s="139" t="s">
        <v>9</v>
      </c>
      <c r="C5" s="141" t="s">
        <v>9</v>
      </c>
      <c r="D5" s="139"/>
      <c r="E5" s="138" t="s">
        <v>34</v>
      </c>
      <c r="F5" s="139" t="s">
        <v>9</v>
      </c>
      <c r="G5" s="141" t="s">
        <v>9</v>
      </c>
      <c r="H5" s="139"/>
      <c r="I5" s="138"/>
      <c r="J5" s="139"/>
      <c r="K5" s="141"/>
      <c r="L5" s="4"/>
      <c r="M5" s="133"/>
      <c r="N5" s="133"/>
      <c r="O5" s="133"/>
      <c r="P5" s="133"/>
      <c r="Q5" s="133"/>
      <c r="R5" s="133"/>
    </row>
    <row r="6" spans="1:18" x14ac:dyDescent="0.3">
      <c r="A6" s="142" t="s">
        <v>36</v>
      </c>
      <c r="B6" s="137" t="s">
        <v>9</v>
      </c>
      <c r="C6" s="136" t="s">
        <v>9</v>
      </c>
      <c r="D6" s="137"/>
      <c r="E6" s="142" t="s">
        <v>36</v>
      </c>
      <c r="F6" s="137" t="s">
        <v>9</v>
      </c>
      <c r="G6" s="136" t="s">
        <v>9</v>
      </c>
      <c r="H6" s="137"/>
      <c r="I6" s="142"/>
      <c r="J6" s="137"/>
      <c r="K6" s="136"/>
      <c r="L6" s="4"/>
      <c r="M6" s="133"/>
      <c r="N6" s="133"/>
      <c r="O6" s="133"/>
      <c r="P6" s="133"/>
      <c r="Q6" s="133"/>
      <c r="R6" s="133"/>
    </row>
    <row r="7" spans="1:18" x14ac:dyDescent="0.3">
      <c r="A7" s="142" t="s">
        <v>35</v>
      </c>
      <c r="B7" s="137" t="s">
        <v>9</v>
      </c>
      <c r="C7" s="136" t="s">
        <v>9</v>
      </c>
      <c r="D7" s="137"/>
      <c r="E7" s="142" t="s">
        <v>35</v>
      </c>
      <c r="F7" s="137" t="s">
        <v>9</v>
      </c>
      <c r="G7" s="136" t="s">
        <v>9</v>
      </c>
      <c r="H7" s="137"/>
      <c r="I7" s="142"/>
      <c r="J7" s="137"/>
      <c r="K7" s="136"/>
      <c r="L7" s="4"/>
      <c r="M7" s="133"/>
      <c r="N7" s="133"/>
      <c r="O7" s="133"/>
      <c r="P7" s="133"/>
      <c r="Q7" s="133"/>
      <c r="R7" s="133"/>
    </row>
    <row r="8" spans="1:18" x14ac:dyDescent="0.3">
      <c r="A8" s="142" t="s">
        <v>37</v>
      </c>
      <c r="B8" s="137" t="s">
        <v>9</v>
      </c>
      <c r="C8" s="136" t="s">
        <v>9</v>
      </c>
      <c r="D8" s="137"/>
      <c r="E8" s="143" t="s">
        <v>37</v>
      </c>
      <c r="F8" s="137" t="s">
        <v>9</v>
      </c>
      <c r="G8" s="136" t="s">
        <v>9</v>
      </c>
      <c r="H8" s="137"/>
      <c r="I8" s="143"/>
      <c r="J8" s="137"/>
      <c r="K8" s="136"/>
      <c r="L8" s="4"/>
      <c r="M8" s="133"/>
      <c r="N8" s="133"/>
      <c r="O8" s="133"/>
      <c r="P8" s="133"/>
      <c r="Q8" s="133"/>
      <c r="R8" s="133"/>
    </row>
    <row r="9" spans="1:18" x14ac:dyDescent="0.3">
      <c r="A9" s="143" t="s">
        <v>38</v>
      </c>
      <c r="B9" s="137" t="s">
        <v>9</v>
      </c>
      <c r="C9" s="136" t="s">
        <v>9</v>
      </c>
      <c r="D9" s="206" t="s">
        <v>160</v>
      </c>
      <c r="E9" s="143" t="s">
        <v>38</v>
      </c>
      <c r="F9" s="137" t="s">
        <v>9</v>
      </c>
      <c r="G9" s="136" t="s">
        <v>9</v>
      </c>
      <c r="H9" s="206" t="s">
        <v>160</v>
      </c>
      <c r="I9" s="143"/>
      <c r="J9" s="137"/>
      <c r="K9" s="136"/>
      <c r="L9" s="4"/>
      <c r="M9" s="133"/>
      <c r="N9" s="133"/>
      <c r="O9" s="133"/>
      <c r="P9" s="133"/>
      <c r="Q9" s="133"/>
      <c r="R9" s="133"/>
    </row>
    <row r="10" spans="1:18" x14ac:dyDescent="0.3">
      <c r="A10" s="215">
        <v>12</v>
      </c>
      <c r="B10" s="215">
        <v>3</v>
      </c>
      <c r="C10" s="135">
        <f>B10+((A10-VLOOKUP(B10,$A$103:$E$107,2,FALSE))/(VLOOKUP(B10,$A$103:$E$107,3,FALSE)-VLOOKUP(B10,$A$103:$E$107,2,FALSE)+1))</f>
        <v>3</v>
      </c>
      <c r="D10" s="206" t="str">
        <f>IF(VLOOKUP(A10,'new drop down lookup'!$A$10:$F$48,6,FALSE)=C10,"OK","not OK")</f>
        <v>OK</v>
      </c>
      <c r="E10" s="215">
        <v>15</v>
      </c>
      <c r="F10" s="215">
        <v>2</v>
      </c>
      <c r="G10" s="135">
        <f>3-((VLOOKUP(3,$A$103:$E$107,4,FALSE)-E10)/(VLOOKUP(3,$A$103:$E$107,5,FALSE)-VLOOKUP(3,$A$103:$E$107,4,FALSE)+1))</f>
        <v>2.8928571428571428</v>
      </c>
      <c r="H10" s="206" t="str">
        <f>IF(VLOOKUP(E10,'new drop down lookup'!H10:M95,6,FALSE),"OK","Not OK")</f>
        <v>OK</v>
      </c>
      <c r="I10" s="144"/>
      <c r="J10" s="144"/>
      <c r="K10" s="184"/>
      <c r="L10" s="4"/>
      <c r="M10" s="185"/>
      <c r="N10" s="133"/>
      <c r="O10" s="133"/>
      <c r="P10" s="133"/>
      <c r="Q10" s="133"/>
      <c r="R10" s="133"/>
    </row>
    <row r="11" spans="1:18" x14ac:dyDescent="0.3">
      <c r="A11" s="215">
        <v>13</v>
      </c>
      <c r="B11" s="215">
        <v>3</v>
      </c>
      <c r="C11" s="135">
        <f t="shared" ref="C11:C48" si="0">B11+((A11-VLOOKUP(B11,$A$103:$E$107,2,FALSE))/(VLOOKUP(B11,$A$103:$E$107,3,FALSE)-VLOOKUP(B11,$A$103:$E$107,2,FALSE)+1))</f>
        <v>3.1428571428571428</v>
      </c>
      <c r="D11" s="206" t="str">
        <f>IF(VLOOKUP(A11,'new drop down lookup'!$A$10:$F$48,6,FALSE)=C11,"OK","not OK")</f>
        <v>OK</v>
      </c>
      <c r="E11" s="215">
        <f>E10+1</f>
        <v>16</v>
      </c>
      <c r="F11" s="215">
        <v>2</v>
      </c>
      <c r="G11" s="135">
        <f t="shared" ref="G11:G12" si="1">3-((VLOOKUP(3,$A$103:$E$107,4,FALSE)-E11)/(VLOOKUP(3,$A$103:$E$107,5,FALSE)-VLOOKUP(3,$A$103:$E$107,4,FALSE)+1))</f>
        <v>2.9285714285714284</v>
      </c>
      <c r="H11" s="206" t="str">
        <f>IF(VLOOKUP(E11,'new drop down lookup'!H11:M96,6,FALSE),"OK","Not OK")</f>
        <v>OK</v>
      </c>
      <c r="I11" s="144"/>
      <c r="J11" s="144"/>
      <c r="K11" s="184"/>
      <c r="L11" s="4"/>
      <c r="M11" s="185"/>
      <c r="N11" s="133"/>
      <c r="O11" s="133"/>
      <c r="P11" s="133"/>
      <c r="Q11" s="133"/>
      <c r="R11" s="133"/>
    </row>
    <row r="12" spans="1:18" x14ac:dyDescent="0.3">
      <c r="A12" s="215">
        <v>14</v>
      </c>
      <c r="B12" s="215">
        <v>3</v>
      </c>
      <c r="C12" s="135">
        <f t="shared" si="0"/>
        <v>3.2857142857142856</v>
      </c>
      <c r="D12" s="206" t="str">
        <f>IF(VLOOKUP(A12,'new drop down lookup'!$A$10:$F$48,6,FALSE)=C12,"OK","not OK")</f>
        <v>OK</v>
      </c>
      <c r="E12" s="215">
        <f t="shared" ref="E12:E75" si="2">E11+1</f>
        <v>17</v>
      </c>
      <c r="F12" s="215">
        <v>2</v>
      </c>
      <c r="G12" s="135">
        <f t="shared" si="1"/>
        <v>2.9642857142857144</v>
      </c>
      <c r="H12" s="206" t="str">
        <f>IF(VLOOKUP(E12,'new drop down lookup'!H12:M97,6,FALSE),"OK","Not OK")</f>
        <v>OK</v>
      </c>
      <c r="I12" s="144"/>
      <c r="J12" s="144"/>
      <c r="K12" s="184"/>
      <c r="L12" s="4"/>
      <c r="M12" s="185"/>
      <c r="N12" s="133"/>
      <c r="O12" s="133"/>
      <c r="P12" s="133"/>
      <c r="Q12" s="133"/>
      <c r="R12" s="133"/>
    </row>
    <row r="13" spans="1:18" x14ac:dyDescent="0.3">
      <c r="A13" s="215">
        <v>15</v>
      </c>
      <c r="B13" s="215">
        <v>3</v>
      </c>
      <c r="C13" s="135">
        <f t="shared" si="0"/>
        <v>3.4285714285714284</v>
      </c>
      <c r="D13" s="206" t="str">
        <f>IF(VLOOKUP(A13,'new drop down lookup'!$A$10:$F$48,6,FALSE)=C13,"OK","not OK")</f>
        <v>OK</v>
      </c>
      <c r="E13" s="215">
        <f t="shared" si="2"/>
        <v>18</v>
      </c>
      <c r="F13" s="215">
        <v>3</v>
      </c>
      <c r="G13" s="135">
        <f>F13+((E13-VLOOKUP(F13,$A$103:$E$107,4,FALSE))/(VLOOKUP(F13,$A$103:$E$107,5,FALSE)-VLOOKUP(F13,$A$103:$E$107,4,FALSE)+1))</f>
        <v>3</v>
      </c>
      <c r="H13" s="206" t="str">
        <f>IF(VLOOKUP(E13,'new drop down lookup'!H13:M98,6,FALSE),"OK","Not OK")</f>
        <v>OK</v>
      </c>
      <c r="I13" s="144"/>
      <c r="J13" s="144"/>
      <c r="K13" s="184"/>
      <c r="L13" s="4"/>
      <c r="M13" s="185"/>
      <c r="N13" s="133"/>
      <c r="O13" s="133"/>
      <c r="P13" s="133"/>
      <c r="Q13" s="133"/>
      <c r="R13" s="133"/>
    </row>
    <row r="14" spans="1:18" x14ac:dyDescent="0.3">
      <c r="A14" s="215">
        <v>16</v>
      </c>
      <c r="B14" s="215">
        <v>3</v>
      </c>
      <c r="C14" s="135">
        <f t="shared" si="0"/>
        <v>3.5714285714285712</v>
      </c>
      <c r="D14" s="206" t="str">
        <f>IF(VLOOKUP(A14,'new drop down lookup'!$A$10:$F$48,6,FALSE)=C14,"OK","not OK")</f>
        <v>OK</v>
      </c>
      <c r="E14" s="215">
        <f t="shared" si="2"/>
        <v>19</v>
      </c>
      <c r="F14" s="215">
        <v>3</v>
      </c>
      <c r="G14" s="135">
        <f t="shared" ref="G14:G77" si="3">F14+((E14-VLOOKUP(F14,$A$103:$E$107,4,FALSE))/(VLOOKUP(F14,$A$103:$E$107,5,FALSE)-VLOOKUP(F14,$A$103:$E$107,4,FALSE)+1))</f>
        <v>3.0357142857142856</v>
      </c>
      <c r="H14" s="206" t="str">
        <f>IF(VLOOKUP(E14,'new drop down lookup'!H14:M99,6,FALSE),"OK","Not OK")</f>
        <v>OK</v>
      </c>
      <c r="I14" s="144"/>
      <c r="J14" s="144"/>
      <c r="K14" s="184"/>
      <c r="L14" s="4"/>
      <c r="M14" s="185"/>
      <c r="N14" s="133"/>
      <c r="O14" s="133"/>
      <c r="P14" s="133"/>
      <c r="Q14" s="133"/>
      <c r="R14" s="133"/>
    </row>
    <row r="15" spans="1:18" x14ac:dyDescent="0.3">
      <c r="A15" s="215">
        <v>17</v>
      </c>
      <c r="B15" s="215">
        <v>3</v>
      </c>
      <c r="C15" s="135">
        <f t="shared" si="0"/>
        <v>3.7142857142857144</v>
      </c>
      <c r="D15" s="206" t="str">
        <f>IF(VLOOKUP(A15,'new drop down lookup'!$A$10:$F$48,6,FALSE)=C15,"OK","not OK")</f>
        <v>OK</v>
      </c>
      <c r="E15" s="215">
        <f t="shared" si="2"/>
        <v>20</v>
      </c>
      <c r="F15" s="215">
        <v>3</v>
      </c>
      <c r="G15" s="135">
        <f t="shared" si="3"/>
        <v>3.0714285714285716</v>
      </c>
      <c r="H15" s="206" t="str">
        <f>IF(VLOOKUP(E15,'new drop down lookup'!H15:M100,6,FALSE),"OK","Not OK")</f>
        <v>OK</v>
      </c>
      <c r="I15" s="144"/>
      <c r="J15" s="144"/>
      <c r="K15" s="184"/>
      <c r="L15" s="4"/>
      <c r="M15" s="185"/>
      <c r="N15" s="133"/>
      <c r="O15" s="133"/>
      <c r="P15" s="133"/>
      <c r="Q15" s="133"/>
      <c r="R15" s="133"/>
    </row>
    <row r="16" spans="1:18" x14ac:dyDescent="0.3">
      <c r="A16" s="215">
        <f t="shared" ref="A16:A48" si="4">A15+1</f>
        <v>18</v>
      </c>
      <c r="B16" s="215">
        <v>3</v>
      </c>
      <c r="C16" s="135">
        <f t="shared" si="0"/>
        <v>3.8571428571428572</v>
      </c>
      <c r="D16" s="206" t="str">
        <f>IF(VLOOKUP(A16,'new drop down lookup'!$A$10:$F$48,6,FALSE)=C16,"OK","not OK")</f>
        <v>OK</v>
      </c>
      <c r="E16" s="215">
        <f t="shared" si="2"/>
        <v>21</v>
      </c>
      <c r="F16" s="215">
        <v>3</v>
      </c>
      <c r="G16" s="135">
        <f t="shared" si="3"/>
        <v>3.1071428571428572</v>
      </c>
      <c r="H16" s="206" t="str">
        <f>IF(VLOOKUP(E16,'new drop down lookup'!H16:M101,6,FALSE),"OK","Not OK")</f>
        <v>OK</v>
      </c>
      <c r="I16" s="144"/>
      <c r="J16" s="144"/>
      <c r="K16" s="184"/>
      <c r="L16" s="4"/>
      <c r="M16" s="185"/>
      <c r="N16" s="133"/>
      <c r="O16" s="133"/>
      <c r="P16" s="133"/>
      <c r="Q16" s="133"/>
      <c r="R16" s="133"/>
    </row>
    <row r="17" spans="1:18" x14ac:dyDescent="0.3">
      <c r="A17" s="215">
        <f t="shared" si="4"/>
        <v>19</v>
      </c>
      <c r="B17" s="215">
        <v>4</v>
      </c>
      <c r="C17" s="135">
        <f t="shared" si="0"/>
        <v>4</v>
      </c>
      <c r="D17" s="206" t="str">
        <f>IF(VLOOKUP(A17,'new drop down lookup'!$A$10:$F$48,6,FALSE)=C17,"OK","not OK")</f>
        <v>OK</v>
      </c>
      <c r="E17" s="215">
        <f t="shared" si="2"/>
        <v>22</v>
      </c>
      <c r="F17" s="215">
        <v>3</v>
      </c>
      <c r="G17" s="135">
        <f t="shared" si="3"/>
        <v>3.1428571428571428</v>
      </c>
      <c r="H17" s="206" t="str">
        <f>IF(VLOOKUP(E17,'new drop down lookup'!H17:M102,6,FALSE),"OK","Not OK")</f>
        <v>OK</v>
      </c>
      <c r="I17" s="144"/>
      <c r="J17" s="144"/>
      <c r="K17" s="184"/>
      <c r="L17" s="4"/>
      <c r="M17" s="185"/>
      <c r="N17" s="133"/>
      <c r="O17" s="133"/>
      <c r="P17" s="133"/>
      <c r="Q17" s="133"/>
      <c r="R17" s="133"/>
    </row>
    <row r="18" spans="1:18" x14ac:dyDescent="0.3">
      <c r="A18" s="215">
        <f t="shared" si="4"/>
        <v>20</v>
      </c>
      <c r="B18" s="215">
        <v>4</v>
      </c>
      <c r="C18" s="135">
        <f t="shared" si="0"/>
        <v>4.0769230769230766</v>
      </c>
      <c r="D18" s="206" t="str">
        <f>IF(VLOOKUP(A18,'new drop down lookup'!$A$10:$F$48,6,FALSE)=C18,"OK","not OK")</f>
        <v>OK</v>
      </c>
      <c r="E18" s="215">
        <f t="shared" si="2"/>
        <v>23</v>
      </c>
      <c r="F18" s="215">
        <v>3</v>
      </c>
      <c r="G18" s="135">
        <f t="shared" si="3"/>
        <v>3.1785714285714284</v>
      </c>
      <c r="H18" s="206" t="str">
        <f>IF(VLOOKUP(E18,'new drop down lookup'!H18:M103,6,FALSE),"OK","Not OK")</f>
        <v>OK</v>
      </c>
      <c r="I18" s="144"/>
      <c r="J18" s="144"/>
      <c r="K18" s="184"/>
      <c r="L18" s="4"/>
      <c r="M18" s="185"/>
      <c r="N18" s="133"/>
      <c r="O18" s="133"/>
      <c r="P18" s="133"/>
      <c r="Q18" s="133"/>
      <c r="R18" s="133"/>
    </row>
    <row r="19" spans="1:18" x14ac:dyDescent="0.3">
      <c r="A19" s="215">
        <f t="shared" si="4"/>
        <v>21</v>
      </c>
      <c r="B19" s="215">
        <v>4</v>
      </c>
      <c r="C19" s="135">
        <f t="shared" si="0"/>
        <v>4.1538461538461542</v>
      </c>
      <c r="D19" s="206" t="str">
        <f>IF(VLOOKUP(A19,'new drop down lookup'!$A$10:$F$48,6,FALSE)=C19,"OK","not OK")</f>
        <v>OK</v>
      </c>
      <c r="E19" s="215">
        <f t="shared" si="2"/>
        <v>24</v>
      </c>
      <c r="F19" s="215">
        <v>3</v>
      </c>
      <c r="G19" s="135">
        <f t="shared" si="3"/>
        <v>3.2142857142857144</v>
      </c>
      <c r="H19" s="206" t="str">
        <f>IF(VLOOKUP(E19,'new drop down lookup'!H19:M104,6,FALSE),"OK","Not OK")</f>
        <v>OK</v>
      </c>
      <c r="I19" s="144"/>
      <c r="J19" s="144"/>
      <c r="K19" s="184"/>
      <c r="L19" s="4"/>
      <c r="M19" s="185"/>
      <c r="N19" s="133"/>
      <c r="O19" s="133"/>
      <c r="P19" s="133"/>
      <c r="Q19" s="133"/>
      <c r="R19" s="133"/>
    </row>
    <row r="20" spans="1:18" x14ac:dyDescent="0.3">
      <c r="A20" s="215">
        <f t="shared" si="4"/>
        <v>22</v>
      </c>
      <c r="B20" s="215">
        <v>4</v>
      </c>
      <c r="C20" s="135">
        <f t="shared" si="0"/>
        <v>4.2307692307692308</v>
      </c>
      <c r="D20" s="206" t="str">
        <f>IF(VLOOKUP(A20,'new drop down lookup'!$A$10:$F$48,6,FALSE)=C20,"OK","not OK")</f>
        <v>OK</v>
      </c>
      <c r="E20" s="215">
        <f t="shared" si="2"/>
        <v>25</v>
      </c>
      <c r="F20" s="215">
        <v>3</v>
      </c>
      <c r="G20" s="135">
        <f t="shared" si="3"/>
        <v>3.25</v>
      </c>
      <c r="H20" s="206" t="str">
        <f>IF(VLOOKUP(E20,'new drop down lookup'!H20:M105,6,FALSE),"OK","Not OK")</f>
        <v>OK</v>
      </c>
      <c r="I20" s="144"/>
      <c r="J20" s="144"/>
      <c r="K20" s="184"/>
      <c r="L20" s="4"/>
      <c r="M20" s="185"/>
      <c r="N20" s="133"/>
      <c r="O20" s="133"/>
      <c r="P20" s="133"/>
      <c r="Q20" s="133"/>
      <c r="R20" s="133"/>
    </row>
    <row r="21" spans="1:18" x14ac:dyDescent="0.3">
      <c r="A21" s="215">
        <f t="shared" si="4"/>
        <v>23</v>
      </c>
      <c r="B21" s="215">
        <v>4</v>
      </c>
      <c r="C21" s="135">
        <f t="shared" si="0"/>
        <v>4.3076923076923075</v>
      </c>
      <c r="D21" s="206" t="str">
        <f>IF(VLOOKUP(A21,'new drop down lookup'!$A$10:$F$48,6,FALSE)=C21,"OK","not OK")</f>
        <v>OK</v>
      </c>
      <c r="E21" s="215">
        <f t="shared" si="2"/>
        <v>26</v>
      </c>
      <c r="F21" s="215">
        <v>3</v>
      </c>
      <c r="G21" s="135">
        <f t="shared" si="3"/>
        <v>3.2857142857142856</v>
      </c>
      <c r="H21" s="206" t="str">
        <f>IF(VLOOKUP(E21,'new drop down lookup'!H21:M106,6,FALSE),"OK","Not OK")</f>
        <v>OK</v>
      </c>
      <c r="I21" s="144"/>
      <c r="J21" s="144"/>
      <c r="K21" s="184"/>
      <c r="L21" s="4"/>
      <c r="M21" s="185"/>
      <c r="N21" s="133"/>
      <c r="O21" s="133"/>
      <c r="P21" s="133"/>
      <c r="Q21" s="133"/>
      <c r="R21" s="133"/>
    </row>
    <row r="22" spans="1:18" x14ac:dyDescent="0.3">
      <c r="A22" s="215">
        <f t="shared" si="4"/>
        <v>24</v>
      </c>
      <c r="B22" s="215">
        <v>4</v>
      </c>
      <c r="C22" s="135">
        <f t="shared" si="0"/>
        <v>4.384615384615385</v>
      </c>
      <c r="D22" s="206" t="str">
        <f>IF(VLOOKUP(A22,'new drop down lookup'!$A$10:$F$48,6,FALSE)=C22,"OK","not OK")</f>
        <v>OK</v>
      </c>
      <c r="E22" s="215">
        <f t="shared" si="2"/>
        <v>27</v>
      </c>
      <c r="F22" s="215">
        <v>3</v>
      </c>
      <c r="G22" s="135">
        <f t="shared" si="3"/>
        <v>3.3214285714285716</v>
      </c>
      <c r="H22" s="206" t="str">
        <f>IF(VLOOKUP(E22,'new drop down lookup'!H22:M107,6,FALSE),"OK","Not OK")</f>
        <v>OK</v>
      </c>
      <c r="I22" s="144"/>
      <c r="J22" s="144"/>
      <c r="K22" s="184"/>
      <c r="L22" s="4"/>
      <c r="M22" s="185"/>
      <c r="N22" s="133"/>
      <c r="O22" s="133"/>
      <c r="P22" s="133"/>
      <c r="Q22" s="133"/>
      <c r="R22" s="133"/>
    </row>
    <row r="23" spans="1:18" x14ac:dyDescent="0.3">
      <c r="A23" s="215">
        <f t="shared" si="4"/>
        <v>25</v>
      </c>
      <c r="B23" s="215">
        <v>4</v>
      </c>
      <c r="C23" s="135">
        <f t="shared" si="0"/>
        <v>4.4615384615384617</v>
      </c>
      <c r="D23" s="206" t="str">
        <f>IF(VLOOKUP(A23,'new drop down lookup'!$A$10:$F$48,6,FALSE)=C23,"OK","not OK")</f>
        <v>OK</v>
      </c>
      <c r="E23" s="215">
        <f t="shared" si="2"/>
        <v>28</v>
      </c>
      <c r="F23" s="215">
        <v>3</v>
      </c>
      <c r="G23" s="135">
        <f t="shared" si="3"/>
        <v>3.3571428571428572</v>
      </c>
      <c r="H23" s="206" t="str">
        <f>IF(VLOOKUP(E23,'new drop down lookup'!H23:M108,6,FALSE),"OK","Not OK")</f>
        <v>OK</v>
      </c>
      <c r="I23" s="144"/>
      <c r="J23" s="144"/>
      <c r="K23" s="184"/>
      <c r="L23" s="4"/>
      <c r="M23" s="185"/>
      <c r="N23" s="133"/>
      <c r="O23" s="133"/>
      <c r="P23" s="133"/>
      <c r="Q23" s="133"/>
      <c r="R23" s="133"/>
    </row>
    <row r="24" spans="1:18" x14ac:dyDescent="0.3">
      <c r="A24" s="215">
        <f t="shared" si="4"/>
        <v>26</v>
      </c>
      <c r="B24" s="215">
        <v>4</v>
      </c>
      <c r="C24" s="135">
        <f t="shared" si="0"/>
        <v>4.5384615384615383</v>
      </c>
      <c r="D24" s="206" t="str">
        <f>IF(VLOOKUP(A24,'new drop down lookup'!$A$10:$F$48,6,FALSE)=C24,"OK","not OK")</f>
        <v>OK</v>
      </c>
      <c r="E24" s="215">
        <f t="shared" si="2"/>
        <v>29</v>
      </c>
      <c r="F24" s="215">
        <v>3</v>
      </c>
      <c r="G24" s="135">
        <f t="shared" si="3"/>
        <v>3.3928571428571428</v>
      </c>
      <c r="H24" s="206" t="str">
        <f>IF(VLOOKUP(E24,'new drop down lookup'!H24:M109,6,FALSE),"OK","Not OK")</f>
        <v>OK</v>
      </c>
      <c r="I24" s="144"/>
      <c r="J24" s="144"/>
      <c r="K24" s="184"/>
      <c r="L24" s="4"/>
      <c r="M24" s="185"/>
      <c r="N24" s="133"/>
      <c r="O24" s="133"/>
      <c r="P24" s="133"/>
      <c r="Q24" s="133"/>
      <c r="R24" s="133"/>
    </row>
    <row r="25" spans="1:18" x14ac:dyDescent="0.3">
      <c r="A25" s="215">
        <f t="shared" si="4"/>
        <v>27</v>
      </c>
      <c r="B25" s="215">
        <v>4</v>
      </c>
      <c r="C25" s="135">
        <f t="shared" si="0"/>
        <v>4.615384615384615</v>
      </c>
      <c r="D25" s="206" t="str">
        <f>IF(VLOOKUP(A25,'new drop down lookup'!$A$10:$F$48,6,FALSE)=C25,"OK","not OK")</f>
        <v>OK</v>
      </c>
      <c r="E25" s="215">
        <f t="shared" si="2"/>
        <v>30</v>
      </c>
      <c r="F25" s="215">
        <v>3</v>
      </c>
      <c r="G25" s="135">
        <f t="shared" si="3"/>
        <v>3.4285714285714284</v>
      </c>
      <c r="H25" s="206" t="str">
        <f>IF(VLOOKUP(E25,'new drop down lookup'!H25:M110,6,FALSE),"OK","Not OK")</f>
        <v>OK</v>
      </c>
      <c r="I25" s="144"/>
      <c r="J25" s="144"/>
      <c r="K25" s="184"/>
      <c r="L25" s="4"/>
      <c r="M25" s="185"/>
      <c r="N25" s="133"/>
      <c r="O25" s="133"/>
      <c r="P25" s="133"/>
      <c r="Q25" s="133"/>
      <c r="R25" s="133"/>
    </row>
    <row r="26" spans="1:18" x14ac:dyDescent="0.3">
      <c r="A26" s="215">
        <f t="shared" si="4"/>
        <v>28</v>
      </c>
      <c r="B26" s="215">
        <v>4</v>
      </c>
      <c r="C26" s="135">
        <f t="shared" si="0"/>
        <v>4.6923076923076925</v>
      </c>
      <c r="D26" s="206" t="str">
        <f>IF(VLOOKUP(A26,'new drop down lookup'!$A$10:$F$48,6,FALSE)=C26,"OK","not OK")</f>
        <v>OK</v>
      </c>
      <c r="E26" s="215">
        <f t="shared" si="2"/>
        <v>31</v>
      </c>
      <c r="F26" s="215">
        <v>3</v>
      </c>
      <c r="G26" s="135">
        <f t="shared" si="3"/>
        <v>3.4642857142857144</v>
      </c>
      <c r="H26" s="206" t="str">
        <f>IF(VLOOKUP(E26,'new drop down lookup'!H26:M111,6,FALSE),"OK","Not OK")</f>
        <v>OK</v>
      </c>
      <c r="I26" s="144"/>
      <c r="J26" s="144"/>
      <c r="K26" s="184"/>
      <c r="L26" s="4"/>
      <c r="M26" s="185"/>
      <c r="N26" s="133"/>
      <c r="O26" s="133"/>
      <c r="P26" s="133"/>
      <c r="Q26" s="133"/>
      <c r="R26" s="133"/>
    </row>
    <row r="27" spans="1:18" x14ac:dyDescent="0.3">
      <c r="A27" s="215">
        <f t="shared" si="4"/>
        <v>29</v>
      </c>
      <c r="B27" s="215">
        <v>4</v>
      </c>
      <c r="C27" s="135">
        <f t="shared" si="0"/>
        <v>4.7692307692307692</v>
      </c>
      <c r="D27" s="206" t="str">
        <f>IF(VLOOKUP(A27,'new drop down lookup'!$A$10:$F$48,6,FALSE)=C27,"OK","not OK")</f>
        <v>OK</v>
      </c>
      <c r="E27" s="215">
        <f t="shared" si="2"/>
        <v>32</v>
      </c>
      <c r="F27" s="215">
        <v>3</v>
      </c>
      <c r="G27" s="135">
        <f t="shared" si="3"/>
        <v>3.5</v>
      </c>
      <c r="H27" s="206" t="str">
        <f>IF(VLOOKUP(E27,'new drop down lookup'!H27:M112,6,FALSE),"OK","Not OK")</f>
        <v>OK</v>
      </c>
      <c r="I27" s="144"/>
      <c r="J27" s="144"/>
      <c r="K27" s="184"/>
      <c r="L27" s="4"/>
      <c r="M27" s="185"/>
      <c r="N27" s="133"/>
      <c r="O27" s="133"/>
      <c r="P27" s="133"/>
      <c r="Q27" s="133"/>
      <c r="R27" s="133"/>
    </row>
    <row r="28" spans="1:18" x14ac:dyDescent="0.3">
      <c r="A28" s="215">
        <f t="shared" si="4"/>
        <v>30</v>
      </c>
      <c r="B28" s="215">
        <v>4</v>
      </c>
      <c r="C28" s="135">
        <f t="shared" si="0"/>
        <v>4.8461538461538458</v>
      </c>
      <c r="D28" s="206" t="str">
        <f>IF(VLOOKUP(A28,'new drop down lookup'!$A$10:$F$48,6,FALSE)=C28,"OK","not OK")</f>
        <v>OK</v>
      </c>
      <c r="E28" s="215">
        <f t="shared" si="2"/>
        <v>33</v>
      </c>
      <c r="F28" s="215">
        <v>3</v>
      </c>
      <c r="G28" s="135">
        <f t="shared" si="3"/>
        <v>3.5357142857142856</v>
      </c>
      <c r="H28" s="206" t="str">
        <f>IF(VLOOKUP(E28,'new drop down lookup'!H28:M113,6,FALSE),"OK","Not OK")</f>
        <v>OK</v>
      </c>
      <c r="I28" s="144"/>
      <c r="J28" s="144"/>
      <c r="K28" s="184"/>
      <c r="L28" s="4"/>
      <c r="M28" s="185"/>
      <c r="N28" s="133"/>
      <c r="O28" s="133"/>
      <c r="P28" s="133"/>
      <c r="Q28" s="133"/>
      <c r="R28" s="133"/>
    </row>
    <row r="29" spans="1:18" x14ac:dyDescent="0.3">
      <c r="A29" s="215">
        <f t="shared" si="4"/>
        <v>31</v>
      </c>
      <c r="B29" s="215">
        <v>4</v>
      </c>
      <c r="C29" s="135">
        <f t="shared" si="0"/>
        <v>4.9230769230769234</v>
      </c>
      <c r="D29" s="206" t="str">
        <f>IF(VLOOKUP(A29,'new drop down lookup'!$A$10:$F$48,6,FALSE)=C29,"OK","not OK")</f>
        <v>OK</v>
      </c>
      <c r="E29" s="215">
        <f t="shared" si="2"/>
        <v>34</v>
      </c>
      <c r="F29" s="215">
        <v>3</v>
      </c>
      <c r="G29" s="135">
        <f t="shared" si="3"/>
        <v>3.5714285714285712</v>
      </c>
      <c r="H29" s="206" t="str">
        <f>IF(VLOOKUP(E29,'new drop down lookup'!H29:M114,6,FALSE),"OK","Not OK")</f>
        <v>OK</v>
      </c>
      <c r="I29" s="144"/>
      <c r="J29" s="144"/>
      <c r="K29" s="184"/>
      <c r="L29" s="4"/>
      <c r="M29" s="185"/>
      <c r="N29" s="133"/>
      <c r="O29" s="133"/>
      <c r="P29" s="133"/>
      <c r="Q29" s="133"/>
      <c r="R29" s="133"/>
    </row>
    <row r="30" spans="1:18" x14ac:dyDescent="0.3">
      <c r="A30" s="215">
        <f t="shared" si="4"/>
        <v>32</v>
      </c>
      <c r="B30" s="215">
        <v>5</v>
      </c>
      <c r="C30" s="135">
        <f t="shared" si="0"/>
        <v>5</v>
      </c>
      <c r="D30" s="206" t="str">
        <f>IF(VLOOKUP(A30,'new drop down lookup'!$A$10:$F$48,6,FALSE)=C30,"OK","not OK")</f>
        <v>OK</v>
      </c>
      <c r="E30" s="215">
        <f t="shared" si="2"/>
        <v>35</v>
      </c>
      <c r="F30" s="215">
        <v>3</v>
      </c>
      <c r="G30" s="135">
        <f t="shared" si="3"/>
        <v>3.6071428571428572</v>
      </c>
      <c r="H30" s="206" t="str">
        <f>IF(VLOOKUP(E30,'new drop down lookup'!H30:M115,6,FALSE),"OK","Not OK")</f>
        <v>OK</v>
      </c>
      <c r="I30" s="144"/>
      <c r="J30" s="144"/>
      <c r="K30" s="184"/>
      <c r="L30" s="4"/>
      <c r="M30" s="185"/>
      <c r="N30" s="133"/>
      <c r="O30" s="133"/>
      <c r="P30" s="133"/>
      <c r="Q30" s="133"/>
      <c r="R30" s="133"/>
    </row>
    <row r="31" spans="1:18" x14ac:dyDescent="0.3">
      <c r="A31" s="215">
        <f t="shared" si="4"/>
        <v>33</v>
      </c>
      <c r="B31" s="215">
        <v>5</v>
      </c>
      <c r="C31" s="135">
        <f t="shared" si="0"/>
        <v>5.0526315789473681</v>
      </c>
      <c r="D31" s="206" t="str">
        <f>IF(VLOOKUP(A31,'new drop down lookup'!$A$10:$F$48,6,FALSE)=C31,"OK","not OK")</f>
        <v>OK</v>
      </c>
      <c r="E31" s="215">
        <f t="shared" si="2"/>
        <v>36</v>
      </c>
      <c r="F31" s="215">
        <v>3</v>
      </c>
      <c r="G31" s="135">
        <f t="shared" si="3"/>
        <v>3.6428571428571428</v>
      </c>
      <c r="H31" s="206" t="str">
        <f>IF(VLOOKUP(E31,'new drop down lookup'!H31:M116,6,FALSE),"OK","Not OK")</f>
        <v>OK</v>
      </c>
      <c r="I31" s="144"/>
      <c r="J31" s="144"/>
      <c r="K31" s="184"/>
      <c r="L31" s="4"/>
      <c r="M31" s="185"/>
      <c r="N31" s="133"/>
      <c r="O31" s="133"/>
      <c r="P31" s="133"/>
      <c r="Q31" s="133"/>
      <c r="R31" s="133"/>
    </row>
    <row r="32" spans="1:18" x14ac:dyDescent="0.3">
      <c r="A32" s="215">
        <f t="shared" si="4"/>
        <v>34</v>
      </c>
      <c r="B32" s="215">
        <v>5</v>
      </c>
      <c r="C32" s="135">
        <f t="shared" si="0"/>
        <v>5.1052631578947372</v>
      </c>
      <c r="D32" s="206" t="str">
        <f>IF(VLOOKUP(A32,'new drop down lookup'!$A$10:$F$48,6,FALSE)=C32,"OK","not OK")</f>
        <v>OK</v>
      </c>
      <c r="E32" s="215">
        <f t="shared" si="2"/>
        <v>37</v>
      </c>
      <c r="F32" s="215">
        <v>3</v>
      </c>
      <c r="G32" s="135">
        <f t="shared" si="3"/>
        <v>3.6785714285714288</v>
      </c>
      <c r="H32" s="206" t="str">
        <f>IF(VLOOKUP(E32,'new drop down lookup'!H32:M117,6,FALSE),"OK","Not OK")</f>
        <v>OK</v>
      </c>
      <c r="I32" s="144"/>
      <c r="J32" s="144"/>
      <c r="K32" s="184"/>
      <c r="L32" s="4"/>
      <c r="M32" s="185"/>
      <c r="N32" s="133"/>
      <c r="O32" s="133"/>
      <c r="P32" s="133"/>
      <c r="Q32" s="133"/>
      <c r="R32" s="133"/>
    </row>
    <row r="33" spans="1:18" x14ac:dyDescent="0.3">
      <c r="A33" s="215">
        <f t="shared" si="4"/>
        <v>35</v>
      </c>
      <c r="B33" s="215">
        <v>5</v>
      </c>
      <c r="C33" s="135">
        <f t="shared" si="0"/>
        <v>5.1578947368421053</v>
      </c>
      <c r="D33" s="206" t="str">
        <f>IF(VLOOKUP(A33,'new drop down lookup'!$A$10:$F$48,6,FALSE)=C33,"OK","not OK")</f>
        <v>OK</v>
      </c>
      <c r="E33" s="215">
        <f t="shared" si="2"/>
        <v>38</v>
      </c>
      <c r="F33" s="215">
        <v>3</v>
      </c>
      <c r="G33" s="135">
        <f t="shared" si="3"/>
        <v>3.7142857142857144</v>
      </c>
      <c r="H33" s="206" t="str">
        <f>IF(VLOOKUP(E33,'new drop down lookup'!H33:M118,6,FALSE),"OK","Not OK")</f>
        <v>OK</v>
      </c>
      <c r="I33" s="144"/>
      <c r="J33" s="144"/>
      <c r="K33" s="184"/>
      <c r="L33" s="4"/>
      <c r="M33" s="185"/>
      <c r="N33" s="133"/>
      <c r="O33" s="133"/>
      <c r="P33" s="133"/>
      <c r="Q33" s="133"/>
      <c r="R33" s="133"/>
    </row>
    <row r="34" spans="1:18" x14ac:dyDescent="0.3">
      <c r="A34" s="215">
        <f t="shared" si="4"/>
        <v>36</v>
      </c>
      <c r="B34" s="215">
        <v>5</v>
      </c>
      <c r="C34" s="135">
        <f t="shared" si="0"/>
        <v>5.2105263157894735</v>
      </c>
      <c r="D34" s="206" t="str">
        <f>IF(VLOOKUP(A34,'new drop down lookup'!$A$10:$F$48,6,FALSE)=C34,"OK","not OK")</f>
        <v>OK</v>
      </c>
      <c r="E34" s="215">
        <f t="shared" si="2"/>
        <v>39</v>
      </c>
      <c r="F34" s="215">
        <v>3</v>
      </c>
      <c r="G34" s="135">
        <f t="shared" si="3"/>
        <v>3.75</v>
      </c>
      <c r="H34" s="206" t="str">
        <f>IF(VLOOKUP(E34,'new drop down lookup'!H34:M119,6,FALSE),"OK","Not OK")</f>
        <v>OK</v>
      </c>
      <c r="I34" s="144"/>
      <c r="J34" s="144"/>
      <c r="K34" s="184"/>
      <c r="L34" s="4"/>
      <c r="M34" s="185"/>
      <c r="N34" s="133"/>
      <c r="O34" s="133"/>
      <c r="P34" s="133"/>
      <c r="Q34" s="133"/>
      <c r="R34" s="133"/>
    </row>
    <row r="35" spans="1:18" x14ac:dyDescent="0.3">
      <c r="A35" s="215">
        <f t="shared" si="4"/>
        <v>37</v>
      </c>
      <c r="B35" s="215">
        <v>5</v>
      </c>
      <c r="C35" s="135">
        <f t="shared" si="0"/>
        <v>5.2631578947368425</v>
      </c>
      <c r="D35" s="206" t="str">
        <f>IF(VLOOKUP(A35,'new drop down lookup'!$A$10:$F$48,6,FALSE)=C35,"OK","not OK")</f>
        <v>OK</v>
      </c>
      <c r="E35" s="215">
        <f t="shared" si="2"/>
        <v>40</v>
      </c>
      <c r="F35" s="215">
        <v>3</v>
      </c>
      <c r="G35" s="135">
        <f t="shared" si="3"/>
        <v>3.7857142857142856</v>
      </c>
      <c r="H35" s="206" t="str">
        <f>IF(VLOOKUP(E35,'new drop down lookup'!H35:M120,6,FALSE),"OK","Not OK")</f>
        <v>OK</v>
      </c>
      <c r="I35" s="144"/>
      <c r="J35" s="144"/>
      <c r="K35" s="184"/>
      <c r="L35" s="4"/>
      <c r="M35" s="185"/>
      <c r="N35" s="133"/>
      <c r="O35" s="133"/>
      <c r="P35" s="133"/>
      <c r="Q35" s="133"/>
      <c r="R35" s="133"/>
    </row>
    <row r="36" spans="1:18" x14ac:dyDescent="0.3">
      <c r="A36" s="215">
        <f t="shared" si="4"/>
        <v>38</v>
      </c>
      <c r="B36" s="215">
        <v>5</v>
      </c>
      <c r="C36" s="135">
        <f t="shared" si="0"/>
        <v>5.3157894736842106</v>
      </c>
      <c r="D36" s="206" t="str">
        <f>IF(VLOOKUP(A36,'new drop down lookup'!$A$10:$F$48,6,FALSE)=C36,"OK","not OK")</f>
        <v>OK</v>
      </c>
      <c r="E36" s="215">
        <f t="shared" si="2"/>
        <v>41</v>
      </c>
      <c r="F36" s="215">
        <v>3</v>
      </c>
      <c r="G36" s="135">
        <f t="shared" si="3"/>
        <v>3.8214285714285712</v>
      </c>
      <c r="H36" s="206" t="str">
        <f>IF(VLOOKUP(E36,'new drop down lookup'!H36:M121,6,FALSE),"OK","Not OK")</f>
        <v>OK</v>
      </c>
      <c r="I36" s="144"/>
      <c r="J36" s="144"/>
      <c r="K36" s="184"/>
      <c r="L36" s="4"/>
      <c r="M36" s="185"/>
      <c r="N36" s="133"/>
      <c r="O36" s="133"/>
      <c r="P36" s="133"/>
      <c r="Q36" s="133"/>
      <c r="R36" s="133"/>
    </row>
    <row r="37" spans="1:18" x14ac:dyDescent="0.3">
      <c r="A37" s="215">
        <f t="shared" si="4"/>
        <v>39</v>
      </c>
      <c r="B37" s="215">
        <v>5</v>
      </c>
      <c r="C37" s="135">
        <f t="shared" si="0"/>
        <v>5.3684210526315788</v>
      </c>
      <c r="D37" s="206" t="str">
        <f>IF(VLOOKUP(A37,'new drop down lookup'!$A$10:$F$48,6,FALSE)=C37,"OK","not OK")</f>
        <v>OK</v>
      </c>
      <c r="E37" s="215">
        <f t="shared" si="2"/>
        <v>42</v>
      </c>
      <c r="F37" s="215">
        <v>3</v>
      </c>
      <c r="G37" s="135">
        <f t="shared" si="3"/>
        <v>3.8571428571428572</v>
      </c>
      <c r="H37" s="206" t="str">
        <f>IF(VLOOKUP(E37,'new drop down lookup'!H37:M122,6,FALSE),"OK","Not OK")</f>
        <v>OK</v>
      </c>
      <c r="I37" s="144"/>
      <c r="J37" s="144"/>
      <c r="K37" s="184"/>
      <c r="L37" s="4"/>
      <c r="M37" s="185"/>
      <c r="N37" s="133"/>
      <c r="O37" s="133"/>
      <c r="P37" s="133"/>
      <c r="Q37" s="133"/>
      <c r="R37" s="133"/>
    </row>
    <row r="38" spans="1:18" x14ac:dyDescent="0.3">
      <c r="A38" s="215">
        <f t="shared" si="4"/>
        <v>40</v>
      </c>
      <c r="B38" s="215">
        <v>5</v>
      </c>
      <c r="C38" s="135">
        <f t="shared" si="0"/>
        <v>5.4210526315789469</v>
      </c>
      <c r="D38" s="206" t="str">
        <f>IF(VLOOKUP(A38,'new drop down lookup'!$A$10:$F$48,6,FALSE)=C38,"OK","not OK")</f>
        <v>OK</v>
      </c>
      <c r="E38" s="215">
        <f t="shared" si="2"/>
        <v>43</v>
      </c>
      <c r="F38" s="215">
        <v>3</v>
      </c>
      <c r="G38" s="135">
        <f t="shared" si="3"/>
        <v>3.8928571428571428</v>
      </c>
      <c r="H38" s="206" t="str">
        <f>IF(VLOOKUP(E38,'new drop down lookup'!H38:M123,6,FALSE),"OK","Not OK")</f>
        <v>OK</v>
      </c>
      <c r="I38" s="144"/>
      <c r="J38" s="144"/>
      <c r="K38" s="184"/>
      <c r="L38" s="4"/>
      <c r="M38" s="185"/>
      <c r="N38" s="133"/>
      <c r="O38" s="133"/>
      <c r="P38" s="133"/>
      <c r="Q38" s="133"/>
      <c r="R38" s="133"/>
    </row>
    <row r="39" spans="1:18" x14ac:dyDescent="0.3">
      <c r="A39" s="215">
        <f t="shared" si="4"/>
        <v>41</v>
      </c>
      <c r="B39" s="215">
        <v>5</v>
      </c>
      <c r="C39" s="135">
        <f t="shared" si="0"/>
        <v>5.4736842105263159</v>
      </c>
      <c r="D39" s="206" t="str">
        <f>IF(VLOOKUP(A39,'new drop down lookup'!$A$10:$F$48,6,FALSE)=C39,"OK","not OK")</f>
        <v>OK</v>
      </c>
      <c r="E39" s="215">
        <f t="shared" si="2"/>
        <v>44</v>
      </c>
      <c r="F39" s="215">
        <v>3</v>
      </c>
      <c r="G39" s="135">
        <f t="shared" si="3"/>
        <v>3.9285714285714288</v>
      </c>
      <c r="H39" s="206" t="str">
        <f>IF(VLOOKUP(E39,'new drop down lookup'!H39:M124,6,FALSE),"OK","Not OK")</f>
        <v>OK</v>
      </c>
      <c r="I39" s="144"/>
      <c r="J39" s="144"/>
      <c r="K39" s="184"/>
      <c r="L39" s="4"/>
      <c r="M39" s="185"/>
      <c r="N39" s="133"/>
      <c r="O39" s="133"/>
      <c r="P39" s="133"/>
      <c r="Q39" s="133"/>
      <c r="R39" s="133"/>
    </row>
    <row r="40" spans="1:18" x14ac:dyDescent="0.3">
      <c r="A40" s="215">
        <f t="shared" si="4"/>
        <v>42</v>
      </c>
      <c r="B40" s="215">
        <v>5</v>
      </c>
      <c r="C40" s="135">
        <f t="shared" si="0"/>
        <v>5.5263157894736841</v>
      </c>
      <c r="D40" s="206" t="str">
        <f>IF(VLOOKUP(A40,'new drop down lookup'!$A$10:$F$48,6,FALSE)=C40,"OK","not OK")</f>
        <v>OK</v>
      </c>
      <c r="E40" s="215">
        <f t="shared" si="2"/>
        <v>45</v>
      </c>
      <c r="F40" s="215">
        <v>3</v>
      </c>
      <c r="G40" s="135">
        <f t="shared" si="3"/>
        <v>3.9642857142857144</v>
      </c>
      <c r="H40" s="206" t="str">
        <f>IF(VLOOKUP(E40,'new drop down lookup'!H40:M125,6,FALSE),"OK","Not OK")</f>
        <v>OK</v>
      </c>
      <c r="I40" s="144"/>
      <c r="J40" s="144"/>
      <c r="K40" s="184"/>
      <c r="L40" s="4"/>
      <c r="M40" s="185"/>
      <c r="N40" s="133"/>
      <c r="O40" s="133"/>
      <c r="P40" s="133"/>
      <c r="Q40" s="133"/>
      <c r="R40" s="133"/>
    </row>
    <row r="41" spans="1:18" x14ac:dyDescent="0.3">
      <c r="A41" s="215">
        <f t="shared" si="4"/>
        <v>43</v>
      </c>
      <c r="B41" s="215">
        <v>5</v>
      </c>
      <c r="C41" s="135">
        <f t="shared" si="0"/>
        <v>5.5789473684210531</v>
      </c>
      <c r="D41" s="206" t="str">
        <f>IF(VLOOKUP(A41,'new drop down lookup'!$A$10:$F$48,6,FALSE)=C41,"OK","not OK")</f>
        <v>OK</v>
      </c>
      <c r="E41" s="215">
        <f t="shared" si="2"/>
        <v>46</v>
      </c>
      <c r="F41" s="215">
        <v>4</v>
      </c>
      <c r="G41" s="135">
        <f t="shared" si="3"/>
        <v>4</v>
      </c>
      <c r="H41" s="206" t="str">
        <f>IF(VLOOKUP(E41,'new drop down lookup'!H41:M126,6,FALSE),"OK","Not OK")</f>
        <v>OK</v>
      </c>
      <c r="I41" s="144"/>
      <c r="J41" s="144"/>
      <c r="K41" s="184"/>
      <c r="L41" s="4"/>
      <c r="M41" s="185"/>
      <c r="N41" s="133"/>
      <c r="O41" s="133"/>
      <c r="P41" s="133"/>
      <c r="Q41" s="133"/>
      <c r="R41" s="133"/>
    </row>
    <row r="42" spans="1:18" x14ac:dyDescent="0.3">
      <c r="A42" s="215">
        <f t="shared" si="4"/>
        <v>44</v>
      </c>
      <c r="B42" s="215">
        <v>5</v>
      </c>
      <c r="C42" s="135">
        <f t="shared" si="0"/>
        <v>5.6315789473684212</v>
      </c>
      <c r="D42" s="206" t="str">
        <f>IF(VLOOKUP(A42,'new drop down lookup'!$A$10:$F$48,6,FALSE)=C42,"OK","not OK")</f>
        <v>OK</v>
      </c>
      <c r="E42" s="215">
        <f t="shared" si="2"/>
        <v>47</v>
      </c>
      <c r="F42" s="215">
        <v>4</v>
      </c>
      <c r="G42" s="135">
        <f t="shared" si="3"/>
        <v>4.0303030303030303</v>
      </c>
      <c r="H42" s="206" t="str">
        <f>IF(VLOOKUP(E42,'new drop down lookup'!H42:M127,6,FALSE),"OK","Not OK")</f>
        <v>OK</v>
      </c>
      <c r="I42" s="144"/>
      <c r="J42" s="144"/>
      <c r="K42" s="184"/>
      <c r="L42" s="4"/>
      <c r="M42" s="185"/>
      <c r="N42" s="133"/>
      <c r="O42" s="133"/>
      <c r="P42" s="133"/>
      <c r="Q42" s="133"/>
      <c r="R42" s="133"/>
    </row>
    <row r="43" spans="1:18" x14ac:dyDescent="0.3">
      <c r="A43" s="215">
        <f t="shared" si="4"/>
        <v>45</v>
      </c>
      <c r="B43" s="215">
        <v>5</v>
      </c>
      <c r="C43" s="135">
        <f t="shared" si="0"/>
        <v>5.6842105263157894</v>
      </c>
      <c r="D43" s="206" t="str">
        <f>IF(VLOOKUP(A43,'new drop down lookup'!$A$10:$F$48,6,FALSE)=C43,"OK","not OK")</f>
        <v>OK</v>
      </c>
      <c r="E43" s="215">
        <f t="shared" si="2"/>
        <v>48</v>
      </c>
      <c r="F43" s="215">
        <v>4</v>
      </c>
      <c r="G43" s="135">
        <f t="shared" si="3"/>
        <v>4.0606060606060606</v>
      </c>
      <c r="H43" s="206" t="str">
        <f>IF(VLOOKUP(E43,'new drop down lookup'!H43:M128,6,FALSE),"OK","Not OK")</f>
        <v>OK</v>
      </c>
      <c r="I43" s="144"/>
      <c r="J43" s="144"/>
      <c r="K43" s="184"/>
      <c r="L43" s="4"/>
      <c r="M43" s="185"/>
      <c r="N43" s="133"/>
      <c r="O43" s="133"/>
      <c r="P43" s="133"/>
      <c r="Q43" s="133"/>
      <c r="R43" s="133"/>
    </row>
    <row r="44" spans="1:18" x14ac:dyDescent="0.3">
      <c r="A44" s="215">
        <f t="shared" si="4"/>
        <v>46</v>
      </c>
      <c r="B44" s="215">
        <v>5</v>
      </c>
      <c r="C44" s="135">
        <f t="shared" si="0"/>
        <v>5.7368421052631575</v>
      </c>
      <c r="D44" s="206" t="str">
        <f>IF(VLOOKUP(A44,'new drop down lookup'!$A$10:$F$48,6,FALSE)=C44,"OK","not OK")</f>
        <v>OK</v>
      </c>
      <c r="E44" s="215">
        <f t="shared" si="2"/>
        <v>49</v>
      </c>
      <c r="F44" s="215">
        <v>4</v>
      </c>
      <c r="G44" s="135">
        <f t="shared" si="3"/>
        <v>4.0909090909090908</v>
      </c>
      <c r="H44" s="206" t="str">
        <f>IF(VLOOKUP(E44,'new drop down lookup'!H44:M129,6,FALSE),"OK","Not OK")</f>
        <v>OK</v>
      </c>
      <c r="I44" s="144"/>
      <c r="J44" s="144"/>
      <c r="K44" s="184"/>
      <c r="L44" s="4"/>
      <c r="M44" s="185"/>
      <c r="N44" s="133"/>
      <c r="O44" s="133"/>
      <c r="P44" s="133"/>
      <c r="Q44" s="133"/>
      <c r="R44" s="133"/>
    </row>
    <row r="45" spans="1:18" x14ac:dyDescent="0.3">
      <c r="A45" s="215">
        <f t="shared" si="4"/>
        <v>47</v>
      </c>
      <c r="B45" s="215">
        <v>5</v>
      </c>
      <c r="C45" s="135">
        <f t="shared" si="0"/>
        <v>5.7894736842105265</v>
      </c>
      <c r="D45" s="206" t="str">
        <f>IF(VLOOKUP(A45,'new drop down lookup'!$A$10:$F$48,6,FALSE)=C45,"OK","not OK")</f>
        <v>OK</v>
      </c>
      <c r="E45" s="215">
        <f t="shared" si="2"/>
        <v>50</v>
      </c>
      <c r="F45" s="215">
        <v>4</v>
      </c>
      <c r="G45" s="135">
        <f t="shared" si="3"/>
        <v>4.1212121212121211</v>
      </c>
      <c r="H45" s="206" t="str">
        <f>IF(VLOOKUP(E45,'new drop down lookup'!H45:M130,6,FALSE),"OK","Not OK")</f>
        <v>OK</v>
      </c>
      <c r="I45" s="144"/>
      <c r="J45" s="144"/>
      <c r="K45" s="184"/>
      <c r="L45" s="4"/>
      <c r="M45" s="185"/>
      <c r="N45" s="133"/>
      <c r="O45" s="133"/>
      <c r="P45" s="133"/>
      <c r="Q45" s="133"/>
      <c r="R45" s="133"/>
    </row>
    <row r="46" spans="1:18" x14ac:dyDescent="0.3">
      <c r="A46" s="215">
        <f t="shared" si="4"/>
        <v>48</v>
      </c>
      <c r="B46" s="215">
        <v>5</v>
      </c>
      <c r="C46" s="135">
        <f t="shared" si="0"/>
        <v>5.8421052631578947</v>
      </c>
      <c r="D46" s="206" t="str">
        <f>IF(VLOOKUP(A46,'new drop down lookup'!$A$10:$F$48,6,FALSE)=C46,"OK","not OK")</f>
        <v>OK</v>
      </c>
      <c r="E46" s="215">
        <f t="shared" si="2"/>
        <v>51</v>
      </c>
      <c r="F46" s="215">
        <v>4</v>
      </c>
      <c r="G46" s="135">
        <f t="shared" si="3"/>
        <v>4.1515151515151514</v>
      </c>
      <c r="H46" s="206" t="str">
        <f>IF(VLOOKUP(E46,'new drop down lookup'!H46:M131,6,FALSE),"OK","Not OK")</f>
        <v>OK</v>
      </c>
      <c r="I46" s="144"/>
      <c r="J46" s="144"/>
      <c r="K46" s="184"/>
      <c r="L46" s="4"/>
      <c r="M46" s="185"/>
      <c r="N46" s="133"/>
      <c r="O46" s="133"/>
      <c r="P46" s="133"/>
      <c r="Q46" s="133"/>
      <c r="R46" s="133"/>
    </row>
    <row r="47" spans="1:18" x14ac:dyDescent="0.3">
      <c r="A47" s="215">
        <f t="shared" si="4"/>
        <v>49</v>
      </c>
      <c r="B47" s="215">
        <v>5</v>
      </c>
      <c r="C47" s="135">
        <f t="shared" si="0"/>
        <v>5.8947368421052628</v>
      </c>
      <c r="D47" s="206" t="str">
        <f>IF(VLOOKUP(A47,'new drop down lookup'!$A$10:$F$48,6,FALSE)=C47,"OK","not OK")</f>
        <v>OK</v>
      </c>
      <c r="E47" s="215">
        <f t="shared" si="2"/>
        <v>52</v>
      </c>
      <c r="F47" s="215">
        <v>4</v>
      </c>
      <c r="G47" s="135">
        <f t="shared" si="3"/>
        <v>4.1818181818181817</v>
      </c>
      <c r="H47" s="206" t="str">
        <f>IF(VLOOKUP(E47,'new drop down lookup'!H47:M132,6,FALSE),"OK","Not OK")</f>
        <v>OK</v>
      </c>
      <c r="I47" s="144"/>
      <c r="J47" s="144"/>
      <c r="K47" s="184"/>
      <c r="L47" s="4"/>
      <c r="M47" s="185"/>
      <c r="N47" s="133"/>
      <c r="O47" s="133"/>
      <c r="P47" s="133"/>
      <c r="Q47" s="133"/>
      <c r="R47" s="133"/>
    </row>
    <row r="48" spans="1:18" x14ac:dyDescent="0.3">
      <c r="A48" s="215">
        <f t="shared" si="4"/>
        <v>50</v>
      </c>
      <c r="B48" s="215">
        <v>5</v>
      </c>
      <c r="C48" s="135">
        <f t="shared" si="0"/>
        <v>5.9473684210526319</v>
      </c>
      <c r="D48" s="206" t="str">
        <f>IF(VLOOKUP(A48,'new drop down lookup'!$A$10:$F$48,6,FALSE)=C48,"OK","not OK")</f>
        <v>OK</v>
      </c>
      <c r="E48" s="215">
        <f t="shared" si="2"/>
        <v>53</v>
      </c>
      <c r="F48" s="215">
        <v>4</v>
      </c>
      <c r="G48" s="135">
        <f t="shared" si="3"/>
        <v>4.2121212121212119</v>
      </c>
      <c r="H48" s="206" t="str">
        <f>IF(VLOOKUP(E48,'new drop down lookup'!H48:M133,6,FALSE),"OK","Not OK")</f>
        <v>OK</v>
      </c>
      <c r="I48" s="144"/>
      <c r="J48" s="144"/>
      <c r="K48" s="184"/>
      <c r="L48" s="4"/>
      <c r="M48" s="185"/>
      <c r="N48" s="133"/>
      <c r="O48" s="133"/>
      <c r="P48" s="133"/>
      <c r="Q48" s="133"/>
      <c r="R48" s="133"/>
    </row>
    <row r="49" spans="1:18" x14ac:dyDescent="0.3">
      <c r="A49" s="144"/>
      <c r="B49" s="144"/>
      <c r="C49" s="135"/>
      <c r="D49" s="206"/>
      <c r="E49" s="215">
        <f t="shared" si="2"/>
        <v>54</v>
      </c>
      <c r="F49" s="215">
        <v>4</v>
      </c>
      <c r="G49" s="135">
        <f t="shared" si="3"/>
        <v>4.2424242424242422</v>
      </c>
      <c r="H49" s="206" t="str">
        <f>IF(VLOOKUP(E49,'new drop down lookup'!H49:M134,6,FALSE),"OK","Not OK")</f>
        <v>OK</v>
      </c>
      <c r="I49" s="144"/>
      <c r="J49" s="144"/>
      <c r="K49" s="184"/>
      <c r="L49" s="4"/>
      <c r="M49" s="185"/>
      <c r="N49" s="133"/>
      <c r="O49" s="133"/>
      <c r="P49" s="133"/>
      <c r="Q49" s="133"/>
      <c r="R49" s="133"/>
    </row>
    <row r="50" spans="1:18" x14ac:dyDescent="0.3">
      <c r="A50" s="144"/>
      <c r="B50" s="144"/>
      <c r="C50" s="135"/>
      <c r="D50" s="137"/>
      <c r="E50" s="215">
        <f t="shared" si="2"/>
        <v>55</v>
      </c>
      <c r="F50" s="215">
        <v>4</v>
      </c>
      <c r="G50" s="135">
        <f t="shared" si="3"/>
        <v>4.2727272727272725</v>
      </c>
      <c r="H50" s="206" t="str">
        <f>IF(VLOOKUP(E50,'new drop down lookup'!H50:M135,6,FALSE),"OK","Not OK")</f>
        <v>OK</v>
      </c>
      <c r="I50" s="144"/>
      <c r="J50" s="144"/>
      <c r="K50" s="135"/>
      <c r="L50" s="4"/>
      <c r="M50" s="185"/>
      <c r="N50" s="133"/>
      <c r="O50" s="133"/>
      <c r="P50" s="133"/>
      <c r="Q50" s="133"/>
      <c r="R50" s="133"/>
    </row>
    <row r="51" spans="1:18" x14ac:dyDescent="0.3">
      <c r="A51" s="144"/>
      <c r="B51" s="144"/>
      <c r="C51" s="135"/>
      <c r="D51" s="137"/>
      <c r="E51" s="215">
        <f t="shared" si="2"/>
        <v>56</v>
      </c>
      <c r="F51" s="215">
        <v>4</v>
      </c>
      <c r="G51" s="135">
        <f t="shared" si="3"/>
        <v>4.3030303030303028</v>
      </c>
      <c r="H51" s="206" t="str">
        <f>IF(VLOOKUP(E51,'new drop down lookup'!H51:M136,6,FALSE),"OK","Not OK")</f>
        <v>OK</v>
      </c>
      <c r="I51" s="144"/>
      <c r="J51" s="144"/>
      <c r="K51" s="135"/>
      <c r="L51" s="4"/>
      <c r="M51" s="185"/>
      <c r="N51" s="133"/>
      <c r="O51" s="133"/>
      <c r="P51" s="133"/>
      <c r="Q51" s="133"/>
      <c r="R51" s="133"/>
    </row>
    <row r="52" spans="1:18" x14ac:dyDescent="0.3">
      <c r="A52" s="144"/>
      <c r="B52" s="144"/>
      <c r="C52" s="135"/>
      <c r="D52" s="137"/>
      <c r="E52" s="215">
        <f t="shared" si="2"/>
        <v>57</v>
      </c>
      <c r="F52" s="215">
        <v>4</v>
      </c>
      <c r="G52" s="135">
        <f t="shared" si="3"/>
        <v>4.333333333333333</v>
      </c>
      <c r="H52" s="206" t="str">
        <f>IF(VLOOKUP(E52,'new drop down lookup'!H52:M137,6,FALSE),"OK","Not OK")</f>
        <v>OK</v>
      </c>
      <c r="I52" s="144"/>
      <c r="J52" s="144"/>
      <c r="K52" s="135"/>
      <c r="L52" s="4"/>
      <c r="M52" s="185"/>
      <c r="N52" s="133"/>
      <c r="O52" s="133"/>
      <c r="P52" s="133"/>
      <c r="Q52" s="133"/>
      <c r="R52" s="133"/>
    </row>
    <row r="53" spans="1:18" x14ac:dyDescent="0.3">
      <c r="A53" s="144"/>
      <c r="B53" s="144"/>
      <c r="C53" s="135"/>
      <c r="D53" s="137"/>
      <c r="E53" s="215">
        <f t="shared" si="2"/>
        <v>58</v>
      </c>
      <c r="F53" s="215">
        <v>4</v>
      </c>
      <c r="G53" s="135">
        <f t="shared" si="3"/>
        <v>4.3636363636363633</v>
      </c>
      <c r="H53" s="206" t="str">
        <f>IF(VLOOKUP(E53,'new drop down lookup'!H53:M138,6,FALSE),"OK","Not OK")</f>
        <v>OK</v>
      </c>
      <c r="I53" s="144"/>
      <c r="J53" s="144"/>
      <c r="K53" s="135"/>
      <c r="L53" s="4"/>
      <c r="M53" s="185"/>
      <c r="N53" s="133"/>
      <c r="O53" s="133"/>
      <c r="P53" s="133"/>
      <c r="Q53" s="133"/>
      <c r="R53" s="133"/>
    </row>
    <row r="54" spans="1:18" x14ac:dyDescent="0.3">
      <c r="A54" s="144"/>
      <c r="B54" s="144"/>
      <c r="C54" s="135"/>
      <c r="D54" s="137"/>
      <c r="E54" s="215">
        <f t="shared" si="2"/>
        <v>59</v>
      </c>
      <c r="F54" s="215">
        <v>4</v>
      </c>
      <c r="G54" s="135">
        <f t="shared" si="3"/>
        <v>4.3939393939393936</v>
      </c>
      <c r="H54" s="206" t="str">
        <f>IF(VLOOKUP(E54,'new drop down lookup'!H54:M139,6,FALSE),"OK","Not OK")</f>
        <v>OK</v>
      </c>
      <c r="I54" s="144"/>
      <c r="J54" s="144"/>
      <c r="K54" s="135"/>
      <c r="L54" s="4"/>
      <c r="M54" s="185"/>
      <c r="N54" s="133"/>
      <c r="O54" s="133"/>
      <c r="P54" s="133"/>
      <c r="Q54" s="133"/>
      <c r="R54" s="133"/>
    </row>
    <row r="55" spans="1:18" x14ac:dyDescent="0.3">
      <c r="A55" s="144"/>
      <c r="B55" s="144"/>
      <c r="C55" s="135"/>
      <c r="D55" s="137"/>
      <c r="E55" s="215">
        <f t="shared" si="2"/>
        <v>60</v>
      </c>
      <c r="F55" s="215">
        <v>4</v>
      </c>
      <c r="G55" s="135">
        <f t="shared" si="3"/>
        <v>4.4242424242424239</v>
      </c>
      <c r="H55" s="206" t="str">
        <f>IF(VLOOKUP(E55,'new drop down lookup'!H55:M140,6,FALSE),"OK","Not OK")</f>
        <v>OK</v>
      </c>
      <c r="I55" s="144"/>
      <c r="J55" s="144"/>
      <c r="K55" s="135"/>
      <c r="L55" s="4"/>
      <c r="M55" s="185"/>
      <c r="N55" s="133"/>
      <c r="O55" s="133"/>
      <c r="P55" s="133"/>
      <c r="Q55" s="133"/>
      <c r="R55" s="133"/>
    </row>
    <row r="56" spans="1:18" x14ac:dyDescent="0.3">
      <c r="A56" s="144"/>
      <c r="B56" s="144"/>
      <c r="C56" s="135"/>
      <c r="D56" s="137"/>
      <c r="E56" s="215">
        <f t="shared" si="2"/>
        <v>61</v>
      </c>
      <c r="F56" s="215">
        <v>4</v>
      </c>
      <c r="G56" s="135">
        <f t="shared" si="3"/>
        <v>4.4545454545454541</v>
      </c>
      <c r="H56" s="206" t="str">
        <f>IF(VLOOKUP(E56,'new drop down lookup'!H56:M141,6,FALSE),"OK","Not OK")</f>
        <v>OK</v>
      </c>
      <c r="I56" s="144"/>
      <c r="J56" s="144"/>
      <c r="K56" s="135"/>
      <c r="L56" s="4"/>
      <c r="M56" s="185"/>
      <c r="N56" s="133"/>
      <c r="O56" s="133"/>
      <c r="P56" s="133"/>
      <c r="Q56" s="133"/>
      <c r="R56" s="133"/>
    </row>
    <row r="57" spans="1:18" x14ac:dyDescent="0.3">
      <c r="A57" s="144"/>
      <c r="B57" s="144"/>
      <c r="C57" s="135"/>
      <c r="D57" s="137"/>
      <c r="E57" s="215">
        <f t="shared" si="2"/>
        <v>62</v>
      </c>
      <c r="F57" s="215">
        <v>4</v>
      </c>
      <c r="G57" s="135">
        <f t="shared" si="3"/>
        <v>4.4848484848484844</v>
      </c>
      <c r="H57" s="206" t="str">
        <f>IF(VLOOKUP(E57,'new drop down lookup'!H57:M142,6,FALSE),"OK","Not OK")</f>
        <v>OK</v>
      </c>
      <c r="I57" s="144"/>
      <c r="J57" s="144"/>
      <c r="K57" s="135"/>
      <c r="L57" s="4"/>
      <c r="M57" s="185"/>
      <c r="N57" s="133"/>
      <c r="O57" s="133"/>
      <c r="P57" s="133"/>
      <c r="Q57" s="133"/>
      <c r="R57" s="133"/>
    </row>
    <row r="58" spans="1:18" x14ac:dyDescent="0.3">
      <c r="A58" s="144"/>
      <c r="B58" s="144"/>
      <c r="C58" s="135"/>
      <c r="D58" s="137"/>
      <c r="E58" s="215">
        <f t="shared" si="2"/>
        <v>63</v>
      </c>
      <c r="F58" s="215">
        <v>4</v>
      </c>
      <c r="G58" s="135">
        <f t="shared" si="3"/>
        <v>4.5151515151515156</v>
      </c>
      <c r="H58" s="206" t="str">
        <f>IF(VLOOKUP(E58,'new drop down lookup'!H58:M143,6,FALSE),"OK","Not OK")</f>
        <v>OK</v>
      </c>
      <c r="I58" s="144"/>
      <c r="J58" s="144"/>
      <c r="K58" s="135"/>
      <c r="L58" s="4"/>
      <c r="M58" s="185"/>
      <c r="N58" s="133"/>
      <c r="O58" s="133"/>
      <c r="P58" s="133"/>
      <c r="Q58" s="133"/>
      <c r="R58" s="133"/>
    </row>
    <row r="59" spans="1:18" x14ac:dyDescent="0.3">
      <c r="A59" s="144"/>
      <c r="B59" s="144"/>
      <c r="C59" s="135"/>
      <c r="D59" s="137"/>
      <c r="E59" s="215">
        <f t="shared" si="2"/>
        <v>64</v>
      </c>
      <c r="F59" s="215">
        <v>4</v>
      </c>
      <c r="G59" s="135">
        <f t="shared" si="3"/>
        <v>4.545454545454545</v>
      </c>
      <c r="H59" s="206" t="str">
        <f>IF(VLOOKUP(E59,'new drop down lookup'!H59:M144,6,FALSE),"OK","Not OK")</f>
        <v>OK</v>
      </c>
      <c r="I59" s="144"/>
      <c r="J59" s="144"/>
      <c r="K59" s="135"/>
      <c r="L59" s="4"/>
      <c r="M59" s="185"/>
      <c r="N59" s="133"/>
      <c r="O59" s="133"/>
      <c r="P59" s="133"/>
      <c r="Q59" s="133"/>
      <c r="R59" s="133"/>
    </row>
    <row r="60" spans="1:18" x14ac:dyDescent="0.3">
      <c r="A60" s="144"/>
      <c r="B60" s="144"/>
      <c r="C60" s="135"/>
      <c r="D60" s="137"/>
      <c r="E60" s="215">
        <f t="shared" si="2"/>
        <v>65</v>
      </c>
      <c r="F60" s="215">
        <v>4</v>
      </c>
      <c r="G60" s="135">
        <f t="shared" si="3"/>
        <v>4.5757575757575761</v>
      </c>
      <c r="H60" s="206" t="str">
        <f>IF(VLOOKUP(E60,'new drop down lookup'!H60:M145,6,FALSE),"OK","Not OK")</f>
        <v>OK</v>
      </c>
      <c r="I60" s="144"/>
      <c r="J60" s="144"/>
      <c r="K60" s="135"/>
      <c r="L60" s="4"/>
      <c r="M60" s="185"/>
      <c r="N60" s="133"/>
      <c r="O60" s="133"/>
      <c r="P60" s="133"/>
      <c r="Q60" s="133"/>
      <c r="R60" s="133"/>
    </row>
    <row r="61" spans="1:18" x14ac:dyDescent="0.3">
      <c r="A61" s="144"/>
      <c r="B61" s="144"/>
      <c r="C61" s="135"/>
      <c r="D61" s="137"/>
      <c r="E61" s="215">
        <f t="shared" si="2"/>
        <v>66</v>
      </c>
      <c r="F61" s="215">
        <v>4</v>
      </c>
      <c r="G61" s="135">
        <f t="shared" si="3"/>
        <v>4.6060606060606064</v>
      </c>
      <c r="H61" s="206" t="str">
        <f>IF(VLOOKUP(E61,'new drop down lookup'!H61:M146,6,FALSE),"OK","Not OK")</f>
        <v>OK</v>
      </c>
      <c r="I61" s="144"/>
      <c r="J61" s="144"/>
      <c r="K61" s="135"/>
      <c r="L61" s="4"/>
      <c r="M61" s="185"/>
      <c r="N61" s="133"/>
      <c r="O61" s="133"/>
      <c r="P61" s="133"/>
      <c r="Q61" s="133"/>
      <c r="R61" s="133"/>
    </row>
    <row r="62" spans="1:18" x14ac:dyDescent="0.3">
      <c r="A62" s="144"/>
      <c r="B62" s="144"/>
      <c r="C62" s="135"/>
      <c r="D62" s="137"/>
      <c r="E62" s="215">
        <f t="shared" si="2"/>
        <v>67</v>
      </c>
      <c r="F62" s="215">
        <v>4</v>
      </c>
      <c r="G62" s="135">
        <f t="shared" si="3"/>
        <v>4.6363636363636367</v>
      </c>
      <c r="H62" s="206" t="str">
        <f>IF(VLOOKUP(E62,'new drop down lookup'!H62:M147,6,FALSE),"OK","Not OK")</f>
        <v>OK</v>
      </c>
      <c r="I62" s="144"/>
      <c r="J62" s="144"/>
      <c r="K62" s="135"/>
      <c r="L62" s="4"/>
      <c r="M62" s="185"/>
      <c r="N62" s="133"/>
      <c r="O62" s="133"/>
      <c r="P62" s="133"/>
      <c r="Q62" s="133"/>
      <c r="R62" s="133"/>
    </row>
    <row r="63" spans="1:18" x14ac:dyDescent="0.3">
      <c r="A63" s="144"/>
      <c r="B63" s="144"/>
      <c r="C63" s="135"/>
      <c r="D63" s="137"/>
      <c r="E63" s="215">
        <f t="shared" si="2"/>
        <v>68</v>
      </c>
      <c r="F63" s="215">
        <v>4</v>
      </c>
      <c r="G63" s="135">
        <f t="shared" si="3"/>
        <v>4.666666666666667</v>
      </c>
      <c r="H63" s="206" t="str">
        <f>IF(VLOOKUP(E63,'new drop down lookup'!H63:M148,6,FALSE),"OK","Not OK")</f>
        <v>OK</v>
      </c>
      <c r="I63" s="144"/>
      <c r="J63" s="144"/>
      <c r="K63" s="135"/>
      <c r="L63" s="4"/>
      <c r="M63" s="185"/>
      <c r="N63" s="133"/>
      <c r="O63" s="133"/>
      <c r="P63" s="133"/>
      <c r="Q63" s="133"/>
      <c r="R63" s="133"/>
    </row>
    <row r="64" spans="1:18" x14ac:dyDescent="0.3">
      <c r="A64" s="144"/>
      <c r="B64" s="144"/>
      <c r="C64" s="135"/>
      <c r="D64" s="137"/>
      <c r="E64" s="215">
        <f t="shared" si="2"/>
        <v>69</v>
      </c>
      <c r="F64" s="215">
        <v>4</v>
      </c>
      <c r="G64" s="135">
        <f t="shared" si="3"/>
        <v>4.6969696969696972</v>
      </c>
      <c r="H64" s="206" t="str">
        <f>IF(VLOOKUP(E64,'new drop down lookup'!H64:M149,6,FALSE),"OK","Not OK")</f>
        <v>OK</v>
      </c>
      <c r="I64" s="144"/>
      <c r="J64" s="144"/>
      <c r="K64" s="135"/>
      <c r="L64" s="4"/>
      <c r="M64" s="185"/>
      <c r="N64" s="133"/>
      <c r="O64" s="133"/>
      <c r="P64" s="133"/>
      <c r="Q64" s="133"/>
      <c r="R64" s="133"/>
    </row>
    <row r="65" spans="1:18" x14ac:dyDescent="0.3">
      <c r="A65" s="144"/>
      <c r="B65" s="144"/>
      <c r="C65" s="135"/>
      <c r="D65" s="137"/>
      <c r="E65" s="215">
        <f t="shared" si="2"/>
        <v>70</v>
      </c>
      <c r="F65" s="215">
        <v>4</v>
      </c>
      <c r="G65" s="135">
        <f t="shared" si="3"/>
        <v>4.7272727272727275</v>
      </c>
      <c r="H65" s="206" t="str">
        <f>IF(VLOOKUP(E65,'new drop down lookup'!H65:M150,6,FALSE),"OK","Not OK")</f>
        <v>OK</v>
      </c>
      <c r="I65" s="144"/>
      <c r="J65" s="144"/>
      <c r="K65" s="135"/>
      <c r="L65" s="4"/>
      <c r="M65" s="185"/>
      <c r="N65" s="133"/>
      <c r="O65" s="133"/>
      <c r="P65" s="133"/>
      <c r="Q65" s="133"/>
      <c r="R65" s="133"/>
    </row>
    <row r="66" spans="1:18" x14ac:dyDescent="0.3">
      <c r="A66" s="144"/>
      <c r="B66" s="144"/>
      <c r="C66" s="135"/>
      <c r="D66" s="137"/>
      <c r="E66" s="215">
        <f t="shared" si="2"/>
        <v>71</v>
      </c>
      <c r="F66" s="215">
        <v>4</v>
      </c>
      <c r="G66" s="135">
        <f t="shared" si="3"/>
        <v>4.7575757575757578</v>
      </c>
      <c r="H66" s="206" t="str">
        <f>IF(VLOOKUP(E66,'new drop down lookup'!H66:M151,6,FALSE),"OK","Not OK")</f>
        <v>OK</v>
      </c>
      <c r="I66" s="144"/>
      <c r="J66" s="144"/>
      <c r="K66" s="135"/>
      <c r="L66" s="4"/>
      <c r="M66" s="185"/>
      <c r="N66" s="133"/>
      <c r="O66" s="133"/>
      <c r="P66" s="133"/>
      <c r="Q66" s="133"/>
      <c r="R66" s="133"/>
    </row>
    <row r="67" spans="1:18" x14ac:dyDescent="0.3">
      <c r="A67" s="144"/>
      <c r="B67" s="144"/>
      <c r="C67" s="135"/>
      <c r="D67" s="137"/>
      <c r="E67" s="215">
        <f t="shared" si="2"/>
        <v>72</v>
      </c>
      <c r="F67" s="215">
        <v>4</v>
      </c>
      <c r="G67" s="135">
        <f t="shared" si="3"/>
        <v>4.7878787878787881</v>
      </c>
      <c r="H67" s="206" t="str">
        <f>IF(VLOOKUP(E67,'new drop down lookup'!H67:M152,6,FALSE),"OK","Not OK")</f>
        <v>OK</v>
      </c>
      <c r="I67" s="144"/>
      <c r="J67" s="144"/>
      <c r="K67" s="135"/>
      <c r="L67" s="4"/>
      <c r="M67" s="185"/>
      <c r="N67" s="133"/>
      <c r="O67" s="133"/>
      <c r="P67" s="133"/>
      <c r="Q67" s="133"/>
      <c r="R67" s="133"/>
    </row>
    <row r="68" spans="1:18" x14ac:dyDescent="0.3">
      <c r="A68" s="144"/>
      <c r="B68" s="144"/>
      <c r="C68" s="135"/>
      <c r="D68" s="137"/>
      <c r="E68" s="215">
        <f t="shared" si="2"/>
        <v>73</v>
      </c>
      <c r="F68" s="215">
        <v>4</v>
      </c>
      <c r="G68" s="135">
        <f t="shared" si="3"/>
        <v>4.8181818181818183</v>
      </c>
      <c r="H68" s="206" t="str">
        <f>IF(VLOOKUP(E68,'new drop down lookup'!H68:M153,6,FALSE),"OK","Not OK")</f>
        <v>OK</v>
      </c>
      <c r="I68" s="144"/>
      <c r="J68" s="144"/>
      <c r="K68" s="135"/>
      <c r="L68" s="4"/>
      <c r="M68" s="185"/>
      <c r="N68" s="133"/>
      <c r="O68" s="133"/>
      <c r="P68" s="133"/>
      <c r="Q68" s="133"/>
      <c r="R68" s="133"/>
    </row>
    <row r="69" spans="1:18" x14ac:dyDescent="0.3">
      <c r="A69" s="144"/>
      <c r="B69" s="144"/>
      <c r="C69" s="135"/>
      <c r="D69" s="137"/>
      <c r="E69" s="215">
        <f t="shared" si="2"/>
        <v>74</v>
      </c>
      <c r="F69" s="215">
        <v>4</v>
      </c>
      <c r="G69" s="135">
        <f t="shared" si="3"/>
        <v>4.8484848484848486</v>
      </c>
      <c r="H69" s="206" t="str">
        <f>IF(VLOOKUP(E69,'new drop down lookup'!H69:M154,6,FALSE),"OK","Not OK")</f>
        <v>OK</v>
      </c>
      <c r="I69" s="144"/>
      <c r="J69" s="144"/>
      <c r="K69" s="135"/>
      <c r="L69" s="4"/>
      <c r="M69" s="185"/>
      <c r="N69" s="133"/>
      <c r="O69" s="133"/>
      <c r="P69" s="133"/>
      <c r="Q69" s="133"/>
      <c r="R69" s="133"/>
    </row>
    <row r="70" spans="1:18" x14ac:dyDescent="0.3">
      <c r="A70" s="144"/>
      <c r="B70" s="144"/>
      <c r="C70" s="135"/>
      <c r="D70" s="137"/>
      <c r="E70" s="215">
        <f t="shared" si="2"/>
        <v>75</v>
      </c>
      <c r="F70" s="215">
        <v>4</v>
      </c>
      <c r="G70" s="135">
        <f t="shared" si="3"/>
        <v>4.8787878787878789</v>
      </c>
      <c r="H70" s="206" t="str">
        <f>IF(VLOOKUP(E70,'new drop down lookup'!H70:M155,6,FALSE),"OK","Not OK")</f>
        <v>OK</v>
      </c>
      <c r="I70" s="144"/>
      <c r="J70" s="144"/>
      <c r="K70" s="135"/>
      <c r="L70" s="4"/>
      <c r="M70" s="185"/>
      <c r="N70" s="133"/>
      <c r="O70" s="133"/>
      <c r="P70" s="133"/>
      <c r="Q70" s="133"/>
      <c r="R70" s="133"/>
    </row>
    <row r="71" spans="1:18" x14ac:dyDescent="0.3">
      <c r="A71" s="144"/>
      <c r="B71" s="144"/>
      <c r="C71" s="135"/>
      <c r="D71" s="137"/>
      <c r="E71" s="215">
        <f t="shared" si="2"/>
        <v>76</v>
      </c>
      <c r="F71" s="215">
        <v>4</v>
      </c>
      <c r="G71" s="135">
        <f t="shared" si="3"/>
        <v>4.9090909090909092</v>
      </c>
      <c r="H71" s="206" t="str">
        <f>IF(VLOOKUP(E71,'new drop down lookup'!H71:M156,6,FALSE),"OK","Not OK")</f>
        <v>OK</v>
      </c>
      <c r="I71" s="144"/>
      <c r="J71" s="144"/>
      <c r="K71" s="135"/>
      <c r="L71" s="4"/>
      <c r="M71" s="185"/>
      <c r="N71" s="133"/>
      <c r="O71" s="133"/>
      <c r="P71" s="133"/>
      <c r="Q71" s="133"/>
      <c r="R71" s="133"/>
    </row>
    <row r="72" spans="1:18" x14ac:dyDescent="0.3">
      <c r="A72" s="144"/>
      <c r="B72" s="144"/>
      <c r="C72" s="135"/>
      <c r="D72" s="137"/>
      <c r="E72" s="215">
        <f t="shared" si="2"/>
        <v>77</v>
      </c>
      <c r="F72" s="215">
        <v>4</v>
      </c>
      <c r="G72" s="135">
        <f t="shared" si="3"/>
        <v>4.9393939393939394</v>
      </c>
      <c r="H72" s="206" t="str">
        <f>IF(VLOOKUP(E72,'new drop down lookup'!H72:M157,6,FALSE),"OK","Not OK")</f>
        <v>OK</v>
      </c>
      <c r="L72" s="4"/>
      <c r="M72" s="185"/>
      <c r="N72" s="133"/>
      <c r="O72" s="133"/>
      <c r="P72" s="133"/>
      <c r="Q72" s="133"/>
      <c r="R72" s="133"/>
    </row>
    <row r="73" spans="1:18" x14ac:dyDescent="0.3">
      <c r="A73" s="144"/>
      <c r="B73" s="144"/>
      <c r="C73" s="135"/>
      <c r="D73" s="137"/>
      <c r="E73" s="215">
        <f t="shared" si="2"/>
        <v>78</v>
      </c>
      <c r="F73" s="215">
        <v>4</v>
      </c>
      <c r="G73" s="135">
        <f t="shared" si="3"/>
        <v>4.9696969696969697</v>
      </c>
      <c r="H73" s="206" t="str">
        <f>IF(VLOOKUP(E73,'new drop down lookup'!H73:M158,6,FALSE),"OK","Not OK")</f>
        <v>OK</v>
      </c>
      <c r="L73" s="4"/>
      <c r="M73" s="185"/>
      <c r="N73" s="133"/>
      <c r="O73" s="133"/>
      <c r="P73" s="133"/>
      <c r="Q73" s="133"/>
      <c r="R73" s="133"/>
    </row>
    <row r="74" spans="1:18" x14ac:dyDescent="0.3">
      <c r="A74" s="144"/>
      <c r="B74" s="144"/>
      <c r="C74" s="135"/>
      <c r="D74" s="137"/>
      <c r="E74" s="215">
        <f t="shared" si="2"/>
        <v>79</v>
      </c>
      <c r="F74" s="215">
        <v>5</v>
      </c>
      <c r="G74" s="135">
        <f t="shared" si="3"/>
        <v>5</v>
      </c>
      <c r="H74" s="206" t="str">
        <f>IF(VLOOKUP(E74,'new drop down lookup'!H74:M159,6,FALSE),"OK","Not OK")</f>
        <v>OK</v>
      </c>
      <c r="I74" s="136"/>
      <c r="J74" s="145"/>
      <c r="K74" s="135"/>
      <c r="L74" s="4"/>
      <c r="M74" s="185"/>
      <c r="N74" s="133"/>
      <c r="O74" s="133"/>
      <c r="P74" s="133"/>
      <c r="Q74" s="133"/>
      <c r="R74" s="133"/>
    </row>
    <row r="75" spans="1:18" x14ac:dyDescent="0.3">
      <c r="A75" s="144"/>
      <c r="B75" s="144"/>
      <c r="C75" s="135"/>
      <c r="D75" s="137"/>
      <c r="E75" s="215">
        <f t="shared" si="2"/>
        <v>80</v>
      </c>
      <c r="F75" s="215">
        <v>5</v>
      </c>
      <c r="G75" s="135">
        <f t="shared" si="3"/>
        <v>5.0454545454545459</v>
      </c>
      <c r="H75" s="206" t="str">
        <f>IF(VLOOKUP(E75,'new drop down lookup'!H75:M160,6,FALSE),"OK","Not OK")</f>
        <v>OK</v>
      </c>
      <c r="I75" s="136"/>
      <c r="J75" s="145"/>
      <c r="K75" s="135"/>
      <c r="L75" s="6"/>
      <c r="M75" s="185"/>
      <c r="N75" s="133"/>
      <c r="O75" s="133"/>
      <c r="P75" s="133"/>
      <c r="Q75" s="133"/>
      <c r="R75" s="133"/>
    </row>
    <row r="76" spans="1:18" x14ac:dyDescent="0.3">
      <c r="A76" s="144"/>
      <c r="B76" s="144"/>
      <c r="C76" s="135"/>
      <c r="D76" s="137"/>
      <c r="E76" s="215">
        <f t="shared" ref="E76:E95" si="5">E75+1</f>
        <v>81</v>
      </c>
      <c r="F76" s="215">
        <v>5</v>
      </c>
      <c r="G76" s="135">
        <f t="shared" si="3"/>
        <v>5.0909090909090908</v>
      </c>
      <c r="H76" s="206" t="str">
        <f>IF(VLOOKUP(E76,'new drop down lookup'!H76:M161,6,FALSE),"OK","Not OK")</f>
        <v>OK</v>
      </c>
      <c r="I76" s="136"/>
      <c r="J76" s="145"/>
      <c r="K76" s="135"/>
      <c r="L76" s="4"/>
      <c r="M76" s="185"/>
      <c r="N76" s="133"/>
      <c r="O76" s="133"/>
      <c r="P76" s="133"/>
      <c r="Q76" s="133"/>
      <c r="R76" s="133"/>
    </row>
    <row r="77" spans="1:18" x14ac:dyDescent="0.3">
      <c r="A77" s="144"/>
      <c r="B77" s="144"/>
      <c r="C77" s="135"/>
      <c r="D77" s="137"/>
      <c r="E77" s="215">
        <f t="shared" si="5"/>
        <v>82</v>
      </c>
      <c r="F77" s="215">
        <v>5</v>
      </c>
      <c r="G77" s="135">
        <f t="shared" si="3"/>
        <v>5.1363636363636367</v>
      </c>
      <c r="H77" s="206" t="str">
        <f>IF(VLOOKUP(E77,'new drop down lookup'!H77:M162,6,FALSE),"OK","Not OK")</f>
        <v>OK</v>
      </c>
      <c r="I77" s="136"/>
      <c r="J77" s="146"/>
      <c r="K77" s="147"/>
      <c r="L77" s="4"/>
      <c r="M77" s="185"/>
      <c r="N77" s="133"/>
      <c r="O77" s="133"/>
      <c r="P77" s="133"/>
      <c r="Q77" s="133"/>
      <c r="R77" s="133"/>
    </row>
    <row r="78" spans="1:18" x14ac:dyDescent="0.3">
      <c r="A78" s="144"/>
      <c r="B78" s="144"/>
      <c r="C78" s="135"/>
      <c r="D78" s="137"/>
      <c r="E78" s="215">
        <f t="shared" si="5"/>
        <v>83</v>
      </c>
      <c r="F78" s="215">
        <v>5</v>
      </c>
      <c r="G78" s="135">
        <f t="shared" ref="G78:G95" si="6">F78+((E78-VLOOKUP(F78,$A$103:$E$107,4,FALSE))/(VLOOKUP(F78,$A$103:$E$107,5,FALSE)-VLOOKUP(F78,$A$103:$E$107,4,FALSE)+1))</f>
        <v>5.1818181818181817</v>
      </c>
      <c r="H78" s="206" t="str">
        <f>IF(VLOOKUP(E78,'new drop down lookup'!H78:M163,6,FALSE),"OK","Not OK")</f>
        <v>OK</v>
      </c>
      <c r="I78" s="146"/>
      <c r="J78" s="146"/>
      <c r="K78" s="147"/>
      <c r="L78" s="4"/>
      <c r="M78" s="185"/>
      <c r="N78" s="133"/>
      <c r="O78" s="133"/>
      <c r="P78" s="133"/>
      <c r="Q78" s="133"/>
      <c r="R78" s="133"/>
    </row>
    <row r="79" spans="1:18" x14ac:dyDescent="0.3">
      <c r="A79" s="144"/>
      <c r="B79" s="144"/>
      <c r="C79" s="135"/>
      <c r="D79" s="137"/>
      <c r="E79" s="215">
        <f t="shared" si="5"/>
        <v>84</v>
      </c>
      <c r="F79" s="215">
        <v>5</v>
      </c>
      <c r="G79" s="135">
        <f t="shared" si="6"/>
        <v>5.2272727272727275</v>
      </c>
      <c r="H79" s="206" t="str">
        <f>IF(VLOOKUP(E79,'new drop down lookup'!H79:M164,6,FALSE),"OK","Not OK")</f>
        <v>OK</v>
      </c>
      <c r="I79" s="146"/>
      <c r="J79" s="146"/>
      <c r="K79" s="147"/>
      <c r="L79" s="6"/>
      <c r="M79" s="185"/>
      <c r="N79" s="133"/>
      <c r="O79" s="133"/>
      <c r="P79" s="133"/>
      <c r="Q79" s="133"/>
      <c r="R79" s="133"/>
    </row>
    <row r="80" spans="1:18" x14ac:dyDescent="0.3">
      <c r="A80" s="144"/>
      <c r="B80" s="144"/>
      <c r="C80" s="135"/>
      <c r="D80" s="137"/>
      <c r="E80" s="215">
        <f t="shared" si="5"/>
        <v>85</v>
      </c>
      <c r="F80" s="215">
        <v>5</v>
      </c>
      <c r="G80" s="135">
        <f t="shared" si="6"/>
        <v>5.2727272727272725</v>
      </c>
      <c r="H80" s="206" t="str">
        <f>IF(VLOOKUP(E80,'new drop down lookup'!H80:M165,6,FALSE),"OK","Not OK")</f>
        <v>OK</v>
      </c>
      <c r="I80" s="148"/>
      <c r="J80" s="148"/>
      <c r="K80" s="149"/>
      <c r="L80" s="6"/>
      <c r="M80" s="185"/>
      <c r="N80" s="133"/>
      <c r="O80" s="133"/>
      <c r="P80" s="133"/>
      <c r="Q80" s="133"/>
      <c r="R80" s="133"/>
    </row>
    <row r="81" spans="1:18" x14ac:dyDescent="0.3">
      <c r="A81" s="144"/>
      <c r="B81" s="144"/>
      <c r="C81" s="135"/>
      <c r="D81" s="137"/>
      <c r="E81" s="215">
        <f t="shared" si="5"/>
        <v>86</v>
      </c>
      <c r="F81" s="215">
        <v>5</v>
      </c>
      <c r="G81" s="135">
        <f t="shared" si="6"/>
        <v>5.3181818181818183</v>
      </c>
      <c r="H81" s="206" t="str">
        <f>IF(VLOOKUP(E81,'new drop down lookup'!H81:M166,6,FALSE),"OK","Not OK")</f>
        <v>OK</v>
      </c>
      <c r="I81" s="148"/>
      <c r="J81" s="148"/>
      <c r="K81" s="149"/>
      <c r="L81" s="6"/>
      <c r="M81" s="185"/>
      <c r="N81" s="133"/>
      <c r="O81" s="133"/>
      <c r="P81" s="133"/>
      <c r="Q81" s="133"/>
      <c r="R81" s="133"/>
    </row>
    <row r="82" spans="1:18" x14ac:dyDescent="0.3">
      <c r="A82" s="144"/>
      <c r="B82" s="144"/>
      <c r="C82" s="135"/>
      <c r="D82" s="137"/>
      <c r="E82" s="215">
        <f t="shared" si="5"/>
        <v>87</v>
      </c>
      <c r="F82" s="215">
        <v>5</v>
      </c>
      <c r="G82" s="135">
        <f t="shared" si="6"/>
        <v>5.3636363636363633</v>
      </c>
      <c r="H82" s="206" t="str">
        <f>IF(VLOOKUP(E82,'new drop down lookup'!H82:M167,6,FALSE),"OK","Not OK")</f>
        <v>OK</v>
      </c>
      <c r="I82" s="148"/>
      <c r="J82" s="148"/>
      <c r="K82" s="149"/>
      <c r="L82" s="6"/>
      <c r="M82" s="185"/>
      <c r="N82" s="133"/>
      <c r="O82" s="133"/>
      <c r="P82" s="133"/>
      <c r="Q82" s="133"/>
      <c r="R82" s="133"/>
    </row>
    <row r="83" spans="1:18" x14ac:dyDescent="0.3">
      <c r="A83" s="144"/>
      <c r="B83" s="144"/>
      <c r="C83" s="135"/>
      <c r="D83" s="137"/>
      <c r="E83" s="215">
        <f t="shared" si="5"/>
        <v>88</v>
      </c>
      <c r="F83" s="215">
        <v>5</v>
      </c>
      <c r="G83" s="135">
        <f t="shared" si="6"/>
        <v>5.4090909090909092</v>
      </c>
      <c r="H83" s="206" t="str">
        <f>IF(VLOOKUP(E83,'new drop down lookup'!H83:M168,6,FALSE),"OK","Not OK")</f>
        <v>OK</v>
      </c>
      <c r="I83" s="148"/>
      <c r="J83" s="148"/>
      <c r="K83" s="149"/>
      <c r="L83" s="6"/>
      <c r="M83" s="185"/>
      <c r="N83" s="133"/>
      <c r="O83" s="133"/>
      <c r="P83" s="133"/>
      <c r="Q83" s="133"/>
      <c r="R83" s="133"/>
    </row>
    <row r="84" spans="1:18" x14ac:dyDescent="0.3">
      <c r="A84" s="144"/>
      <c r="B84" s="144"/>
      <c r="C84" s="135"/>
      <c r="D84" s="137"/>
      <c r="E84" s="215">
        <f t="shared" si="5"/>
        <v>89</v>
      </c>
      <c r="F84" s="215">
        <v>5</v>
      </c>
      <c r="G84" s="135">
        <f t="shared" si="6"/>
        <v>5.4545454545454541</v>
      </c>
      <c r="H84" s="206" t="str">
        <f>IF(VLOOKUP(E84,'new drop down lookup'!H84:M169,6,FALSE),"OK","Not OK")</f>
        <v>OK</v>
      </c>
      <c r="I84" s="148"/>
      <c r="J84" s="148"/>
      <c r="K84" s="149"/>
      <c r="L84" s="6"/>
      <c r="M84" s="185"/>
      <c r="N84" s="133"/>
      <c r="O84" s="133"/>
      <c r="P84" s="133"/>
      <c r="Q84" s="133"/>
      <c r="R84" s="133"/>
    </row>
    <row r="85" spans="1:18" x14ac:dyDescent="0.3">
      <c r="A85" s="144"/>
      <c r="B85" s="144"/>
      <c r="C85" s="135"/>
      <c r="D85" s="137"/>
      <c r="E85" s="215">
        <f t="shared" si="5"/>
        <v>90</v>
      </c>
      <c r="F85" s="215">
        <v>5</v>
      </c>
      <c r="G85" s="135">
        <f t="shared" si="6"/>
        <v>5.5</v>
      </c>
      <c r="H85" s="206" t="str">
        <f>IF(VLOOKUP(E85,'new drop down lookup'!H85:M170,6,FALSE),"OK","Not OK")</f>
        <v>OK</v>
      </c>
      <c r="I85" s="148"/>
      <c r="J85" s="148"/>
      <c r="K85" s="149"/>
      <c r="L85" s="6"/>
      <c r="M85" s="185"/>
      <c r="N85" s="133"/>
      <c r="O85" s="133"/>
      <c r="P85" s="133"/>
      <c r="Q85" s="133"/>
      <c r="R85" s="133"/>
    </row>
    <row r="86" spans="1:18" x14ac:dyDescent="0.3">
      <c r="A86" s="144"/>
      <c r="B86" s="144"/>
      <c r="C86" s="135"/>
      <c r="D86" s="137"/>
      <c r="E86" s="215">
        <f t="shared" si="5"/>
        <v>91</v>
      </c>
      <c r="F86" s="215">
        <v>5</v>
      </c>
      <c r="G86" s="135">
        <f t="shared" si="6"/>
        <v>5.545454545454545</v>
      </c>
      <c r="H86" s="206" t="str">
        <f>IF(VLOOKUP(E86,'new drop down lookup'!H86:M171,6,FALSE),"OK","Not OK")</f>
        <v>OK</v>
      </c>
      <c r="I86" s="148"/>
      <c r="J86" s="148"/>
      <c r="K86" s="149"/>
      <c r="L86" s="6"/>
      <c r="M86" s="185"/>
      <c r="N86" s="133"/>
      <c r="O86" s="133"/>
      <c r="P86" s="133"/>
      <c r="Q86" s="133"/>
      <c r="R86" s="133"/>
    </row>
    <row r="87" spans="1:18" x14ac:dyDescent="0.3">
      <c r="A87" s="144"/>
      <c r="B87" s="144"/>
      <c r="C87" s="135"/>
      <c r="D87" s="137"/>
      <c r="E87" s="215">
        <f t="shared" si="5"/>
        <v>92</v>
      </c>
      <c r="F87" s="215">
        <v>5</v>
      </c>
      <c r="G87" s="135">
        <f t="shared" si="6"/>
        <v>5.5909090909090908</v>
      </c>
      <c r="H87" s="206" t="str">
        <f>IF(VLOOKUP(E87,'new drop down lookup'!H87:M172,6,FALSE),"OK","Not OK")</f>
        <v>OK</v>
      </c>
      <c r="I87" s="148"/>
      <c r="J87" s="148"/>
      <c r="K87" s="149"/>
      <c r="L87" s="6"/>
      <c r="M87" s="185"/>
      <c r="N87" s="133"/>
      <c r="O87" s="133"/>
      <c r="P87" s="133"/>
      <c r="Q87" s="133"/>
      <c r="R87" s="133"/>
    </row>
    <row r="88" spans="1:18" x14ac:dyDescent="0.3">
      <c r="A88" s="144"/>
      <c r="B88" s="144"/>
      <c r="C88" s="135"/>
      <c r="D88" s="137"/>
      <c r="E88" s="215">
        <f t="shared" si="5"/>
        <v>93</v>
      </c>
      <c r="F88" s="215">
        <v>5</v>
      </c>
      <c r="G88" s="135">
        <f t="shared" si="6"/>
        <v>5.6363636363636367</v>
      </c>
      <c r="H88" s="206" t="str">
        <f>IF(VLOOKUP(E88,'new drop down lookup'!H88:M173,6,FALSE),"OK","Not OK")</f>
        <v>OK</v>
      </c>
      <c r="I88" s="148"/>
      <c r="J88" s="148"/>
      <c r="K88" s="149"/>
      <c r="L88" s="6"/>
      <c r="M88" s="185"/>
      <c r="N88" s="133"/>
      <c r="O88" s="133"/>
      <c r="P88" s="133"/>
      <c r="Q88" s="133"/>
      <c r="R88" s="133"/>
    </row>
    <row r="89" spans="1:18" x14ac:dyDescent="0.3">
      <c r="A89" s="144"/>
      <c r="B89" s="144"/>
      <c r="C89" s="135"/>
      <c r="D89" s="137"/>
      <c r="E89" s="215">
        <f t="shared" si="5"/>
        <v>94</v>
      </c>
      <c r="F89" s="215">
        <v>5</v>
      </c>
      <c r="G89" s="135">
        <f t="shared" si="6"/>
        <v>5.6818181818181817</v>
      </c>
      <c r="H89" s="206" t="str">
        <f>IF(VLOOKUP(E89,'new drop down lookup'!H89:M174,6,FALSE),"OK","Not OK")</f>
        <v>OK</v>
      </c>
      <c r="I89" s="148"/>
      <c r="J89" s="148"/>
      <c r="K89" s="149"/>
      <c r="L89" s="6"/>
      <c r="M89" s="185"/>
      <c r="N89" s="133"/>
      <c r="O89" s="133"/>
      <c r="P89" s="133"/>
      <c r="Q89" s="133"/>
      <c r="R89" s="133"/>
    </row>
    <row r="90" spans="1:18" x14ac:dyDescent="0.3">
      <c r="A90" s="144"/>
      <c r="B90" s="144"/>
      <c r="C90" s="135"/>
      <c r="D90" s="137"/>
      <c r="E90" s="215">
        <f t="shared" si="5"/>
        <v>95</v>
      </c>
      <c r="F90" s="215">
        <v>5</v>
      </c>
      <c r="G90" s="135">
        <f t="shared" si="6"/>
        <v>5.7272727272727275</v>
      </c>
      <c r="H90" s="206" t="str">
        <f>IF(VLOOKUP(E90,'new drop down lookup'!H90:M175,6,FALSE),"OK","Not OK")</f>
        <v>OK</v>
      </c>
      <c r="I90" s="148"/>
      <c r="J90" s="148"/>
      <c r="K90" s="149"/>
      <c r="L90" s="6"/>
      <c r="M90" s="185"/>
      <c r="N90" s="133"/>
      <c r="O90" s="133"/>
      <c r="P90" s="133"/>
      <c r="Q90" s="133"/>
      <c r="R90" s="133"/>
    </row>
    <row r="91" spans="1:18" x14ac:dyDescent="0.3">
      <c r="A91" s="150"/>
      <c r="B91" s="151"/>
      <c r="C91" s="152"/>
      <c r="D91" s="137"/>
      <c r="E91" s="215">
        <f t="shared" si="5"/>
        <v>96</v>
      </c>
      <c r="F91" s="215">
        <v>5</v>
      </c>
      <c r="G91" s="135">
        <f t="shared" si="6"/>
        <v>5.7727272727272725</v>
      </c>
      <c r="H91" s="206" t="str">
        <f>IF(VLOOKUP(E91,'new drop down lookup'!H91:M176,6,FALSE),"OK","Not OK")</f>
        <v>OK</v>
      </c>
      <c r="I91" s="148"/>
      <c r="J91" s="148"/>
      <c r="K91" s="149"/>
      <c r="L91" s="6"/>
      <c r="M91" s="185"/>
      <c r="N91" s="133"/>
      <c r="O91" s="133"/>
      <c r="P91" s="133"/>
      <c r="Q91" s="133"/>
      <c r="R91" s="133"/>
    </row>
    <row r="92" spans="1:18" x14ac:dyDescent="0.3">
      <c r="D92" s="137"/>
      <c r="E92" s="215">
        <f t="shared" si="5"/>
        <v>97</v>
      </c>
      <c r="F92" s="215">
        <v>5</v>
      </c>
      <c r="G92" s="135">
        <f t="shared" si="6"/>
        <v>5.8181818181818183</v>
      </c>
      <c r="H92" s="206" t="str">
        <f>IF(VLOOKUP(E92,'new drop down lookup'!H92:M177,6,FALSE),"OK","Not OK")</f>
        <v>OK</v>
      </c>
      <c r="I92" s="148"/>
      <c r="J92" s="148"/>
      <c r="K92" s="149"/>
      <c r="L92" s="6"/>
      <c r="M92" s="185"/>
      <c r="N92" s="133"/>
      <c r="O92" s="133"/>
      <c r="P92" s="133"/>
      <c r="Q92" s="133"/>
      <c r="R92" s="133"/>
    </row>
    <row r="93" spans="1:18" x14ac:dyDescent="0.3">
      <c r="C93" s="152"/>
      <c r="D93" s="137"/>
      <c r="E93" s="215">
        <f t="shared" si="5"/>
        <v>98</v>
      </c>
      <c r="F93" s="215">
        <v>5</v>
      </c>
      <c r="G93" s="135">
        <f t="shared" si="6"/>
        <v>5.8636363636363633</v>
      </c>
      <c r="H93" s="206" t="str">
        <f>IF(VLOOKUP(E93,'new drop down lookup'!H93:M178,6,FALSE),"OK","Not OK")</f>
        <v>OK</v>
      </c>
      <c r="I93" s="6"/>
      <c r="J93" s="6"/>
      <c r="K93" s="154"/>
      <c r="L93" s="6"/>
      <c r="M93" s="185"/>
      <c r="N93" s="133"/>
      <c r="O93" s="133"/>
      <c r="P93" s="133"/>
      <c r="Q93" s="133"/>
      <c r="R93" s="133"/>
    </row>
    <row r="94" spans="1:18" x14ac:dyDescent="0.3">
      <c r="C94" s="152"/>
      <c r="D94" s="137"/>
      <c r="E94" s="215">
        <f t="shared" si="5"/>
        <v>99</v>
      </c>
      <c r="F94" s="215">
        <v>5</v>
      </c>
      <c r="G94" s="135">
        <f t="shared" si="6"/>
        <v>5.9090909090909092</v>
      </c>
      <c r="H94" s="206" t="str">
        <f>IF(VLOOKUP(E94,'new drop down lookup'!H94:M179,6,FALSE),"OK","Not OK")</f>
        <v>OK</v>
      </c>
      <c r="I94" s="6"/>
      <c r="J94" s="6"/>
      <c r="K94" s="154"/>
      <c r="L94" s="6"/>
      <c r="M94" s="185"/>
      <c r="N94" s="133"/>
      <c r="O94" s="133"/>
      <c r="P94" s="133"/>
      <c r="Q94" s="133"/>
      <c r="R94" s="133"/>
    </row>
    <row r="95" spans="1:18" x14ac:dyDescent="0.3">
      <c r="C95" s="152"/>
      <c r="D95" s="137"/>
      <c r="E95" s="215">
        <f t="shared" si="5"/>
        <v>100</v>
      </c>
      <c r="F95" s="215">
        <v>5</v>
      </c>
      <c r="G95" s="135">
        <f t="shared" si="6"/>
        <v>5.954545454545455</v>
      </c>
      <c r="H95" s="206" t="str">
        <f>IF(VLOOKUP(E95,'new drop down lookup'!H95:M180,6,FALSE),"OK","Not OK")</f>
        <v>OK</v>
      </c>
      <c r="I95" s="6"/>
      <c r="J95" s="6"/>
      <c r="K95" s="154"/>
      <c r="L95" s="6"/>
      <c r="M95" s="185"/>
      <c r="N95" s="133"/>
      <c r="O95" s="133"/>
      <c r="P95" s="133"/>
      <c r="Q95" s="133"/>
      <c r="R95" s="133"/>
    </row>
    <row r="96" spans="1:18" x14ac:dyDescent="0.3">
      <c r="C96" s="152"/>
      <c r="D96" s="153"/>
      <c r="E96" s="144"/>
      <c r="F96" s="144"/>
      <c r="G96" s="135"/>
      <c r="H96" s="5"/>
      <c r="I96" s="6"/>
      <c r="J96" s="5"/>
      <c r="K96" s="154"/>
      <c r="L96" s="6"/>
      <c r="M96" s="133"/>
      <c r="N96" s="133"/>
      <c r="O96" s="133"/>
      <c r="P96" s="133"/>
      <c r="Q96" s="133"/>
      <c r="R96" s="133"/>
    </row>
    <row r="97" spans="1:18" x14ac:dyDescent="0.3">
      <c r="C97" s="152"/>
      <c r="D97" s="153"/>
      <c r="H97" s="153"/>
      <c r="I97" s="155"/>
      <c r="J97" s="153"/>
      <c r="K97" s="152"/>
      <c r="L97" s="155"/>
      <c r="M97" s="133"/>
      <c r="N97" s="133"/>
      <c r="O97" s="133"/>
      <c r="P97" s="133"/>
      <c r="Q97" s="133"/>
      <c r="R97" s="133"/>
    </row>
    <row r="98" spans="1:18" x14ac:dyDescent="0.3">
      <c r="C98" s="152"/>
      <c r="D98" s="153"/>
      <c r="E98" s="156"/>
      <c r="F98" s="151"/>
      <c r="G98" s="152"/>
      <c r="H98" s="153"/>
      <c r="I98" s="155"/>
      <c r="J98" s="153"/>
      <c r="K98" s="152"/>
      <c r="L98" s="155"/>
      <c r="M98" s="133"/>
      <c r="N98" s="133"/>
      <c r="O98" s="133"/>
      <c r="P98" s="133"/>
      <c r="Q98" s="133"/>
      <c r="R98" s="133"/>
    </row>
    <row r="99" spans="1:18" x14ac:dyDescent="0.3">
      <c r="A99" s="25" t="s">
        <v>169</v>
      </c>
      <c r="B99" s="26"/>
      <c r="C99" s="27"/>
      <c r="D99" s="28"/>
      <c r="H99" s="153"/>
      <c r="I99" s="155"/>
      <c r="J99" s="153"/>
      <c r="K99" s="152"/>
      <c r="L99" s="155"/>
      <c r="M99" s="133"/>
      <c r="N99" s="133"/>
      <c r="O99" s="133"/>
      <c r="P99" s="133"/>
      <c r="Q99" s="133"/>
      <c r="R99" s="133"/>
    </row>
    <row r="100" spans="1:18" x14ac:dyDescent="0.3">
      <c r="A100" s="29"/>
      <c r="B100" s="29"/>
      <c r="C100" s="27"/>
      <c r="D100" s="29"/>
      <c r="E100" s="26"/>
      <c r="F100" s="26"/>
      <c r="G100" s="26"/>
      <c r="H100" s="153"/>
      <c r="I100" s="155"/>
      <c r="J100" s="155"/>
      <c r="K100" s="155"/>
      <c r="L100" s="155"/>
      <c r="M100" s="133"/>
      <c r="N100" s="133"/>
      <c r="O100" s="133"/>
      <c r="P100" s="133"/>
      <c r="Q100" s="133"/>
      <c r="R100" s="133"/>
    </row>
    <row r="101" spans="1:18" x14ac:dyDescent="0.3">
      <c r="A101" s="29"/>
      <c r="B101" s="265" t="s">
        <v>144</v>
      </c>
      <c r="C101" s="265"/>
      <c r="D101" s="31" t="s">
        <v>10</v>
      </c>
      <c r="E101" s="26"/>
      <c r="F101" s="26"/>
      <c r="G101" s="30"/>
      <c r="H101" s="155"/>
      <c r="I101" s="155"/>
      <c r="J101" s="155"/>
      <c r="K101" s="155"/>
      <c r="L101" s="155"/>
      <c r="M101" s="133"/>
      <c r="N101" s="133"/>
      <c r="O101" s="133"/>
      <c r="P101" s="133"/>
      <c r="Q101" s="133"/>
      <c r="R101" s="133"/>
    </row>
    <row r="102" spans="1:18" x14ac:dyDescent="0.3">
      <c r="A102" s="29"/>
      <c r="B102" s="29" t="s">
        <v>12</v>
      </c>
      <c r="C102" s="27" t="s">
        <v>13</v>
      </c>
      <c r="D102" s="29" t="s">
        <v>12</v>
      </c>
      <c r="E102" s="29" t="s">
        <v>13</v>
      </c>
      <c r="F102" s="265"/>
      <c r="G102" s="265"/>
      <c r="H102" s="155"/>
      <c r="I102" s="155"/>
      <c r="J102" s="155"/>
      <c r="K102" s="155"/>
      <c r="L102" s="155"/>
      <c r="M102" s="133"/>
      <c r="N102" s="133"/>
      <c r="O102" s="133"/>
      <c r="P102" s="133"/>
      <c r="Q102" s="133"/>
      <c r="R102" s="133"/>
    </row>
    <row r="103" spans="1:18" x14ac:dyDescent="0.3">
      <c r="A103" s="203" t="s">
        <v>0</v>
      </c>
      <c r="B103" s="29">
        <v>0</v>
      </c>
      <c r="C103" s="204">
        <v>11</v>
      </c>
      <c r="D103" s="204">
        <v>0</v>
      </c>
      <c r="E103" s="204">
        <v>14</v>
      </c>
      <c r="F103" s="29"/>
      <c r="G103" s="27"/>
      <c r="H103" s="155"/>
      <c r="I103" s="155"/>
      <c r="J103" s="155"/>
      <c r="K103" s="155"/>
      <c r="L103" s="155"/>
      <c r="M103" s="133"/>
      <c r="N103" s="133"/>
      <c r="O103" s="133"/>
      <c r="P103" s="133"/>
      <c r="Q103" s="133"/>
      <c r="R103" s="133"/>
    </row>
    <row r="104" spans="1:18" x14ac:dyDescent="0.3">
      <c r="A104" s="45">
        <v>2</v>
      </c>
      <c r="B104" s="27"/>
      <c r="C104" s="27"/>
      <c r="D104" s="204">
        <v>15</v>
      </c>
      <c r="E104" s="204">
        <v>17</v>
      </c>
      <c r="F104" s="29"/>
      <c r="G104" s="27"/>
      <c r="H104" s="155"/>
      <c r="I104" s="157"/>
      <c r="J104" s="155"/>
      <c r="K104" s="155"/>
      <c r="L104" s="155"/>
      <c r="M104" s="133"/>
      <c r="N104" s="133"/>
      <c r="O104" s="133"/>
      <c r="P104" s="133"/>
      <c r="Q104" s="133"/>
      <c r="R104" s="133"/>
    </row>
    <row r="105" spans="1:18" x14ac:dyDescent="0.3">
      <c r="A105" s="45">
        <v>3</v>
      </c>
      <c r="B105" s="204">
        <v>12</v>
      </c>
      <c r="C105" s="204">
        <v>18</v>
      </c>
      <c r="D105" s="204">
        <v>18</v>
      </c>
      <c r="E105" s="204">
        <v>45</v>
      </c>
      <c r="F105" s="27"/>
      <c r="G105" s="27"/>
      <c r="H105" s="155"/>
      <c r="I105" s="157"/>
      <c r="J105" s="155"/>
      <c r="K105" s="155"/>
      <c r="L105" s="155"/>
      <c r="M105" s="133"/>
      <c r="N105" s="133"/>
      <c r="O105" s="133"/>
      <c r="P105" s="133"/>
      <c r="Q105" s="133"/>
      <c r="R105" s="133"/>
    </row>
    <row r="106" spans="1:18" x14ac:dyDescent="0.3">
      <c r="A106" s="45">
        <v>4</v>
      </c>
      <c r="B106" s="204">
        <v>19</v>
      </c>
      <c r="C106" s="204">
        <v>31</v>
      </c>
      <c r="D106" s="204">
        <v>46</v>
      </c>
      <c r="E106" s="204">
        <v>78</v>
      </c>
      <c r="F106" s="27"/>
      <c r="G106" s="27"/>
      <c r="H106" s="155"/>
      <c r="I106" s="157"/>
      <c r="J106" s="155"/>
      <c r="K106" s="155"/>
      <c r="L106" s="155"/>
      <c r="M106" s="133"/>
      <c r="N106" s="133"/>
      <c r="O106" s="133"/>
      <c r="P106" s="133"/>
      <c r="Q106" s="133"/>
      <c r="R106" s="133"/>
    </row>
    <row r="107" spans="1:18" x14ac:dyDescent="0.3">
      <c r="A107" s="45">
        <v>5</v>
      </c>
      <c r="B107" s="204">
        <v>32</v>
      </c>
      <c r="C107" s="204">
        <v>50</v>
      </c>
      <c r="D107" s="204">
        <v>79</v>
      </c>
      <c r="E107" s="205">
        <v>100</v>
      </c>
      <c r="F107" s="27"/>
      <c r="G107" s="27"/>
      <c r="H107" s="155"/>
      <c r="I107" s="157"/>
      <c r="J107" s="155"/>
      <c r="K107" s="155"/>
      <c r="L107" s="155"/>
      <c r="M107" s="133"/>
      <c r="N107" s="133"/>
      <c r="O107" s="133"/>
      <c r="P107" s="133"/>
      <c r="Q107" s="133"/>
      <c r="R107" s="133"/>
    </row>
    <row r="108" spans="1:18" x14ac:dyDescent="0.3">
      <c r="A108" s="155"/>
      <c r="B108" s="155"/>
      <c r="C108" s="152"/>
      <c r="D108" s="155"/>
      <c r="E108" s="155"/>
      <c r="F108" s="27"/>
      <c r="G108" s="27"/>
      <c r="H108" s="153"/>
      <c r="I108" s="157"/>
      <c r="J108" s="155"/>
      <c r="K108" s="155"/>
      <c r="L108" s="155"/>
      <c r="M108" s="133"/>
      <c r="N108" s="133"/>
      <c r="O108" s="133"/>
      <c r="P108" s="133"/>
      <c r="Q108" s="133"/>
      <c r="R108" s="133"/>
    </row>
    <row r="109" spans="1:18" x14ac:dyDescent="0.3">
      <c r="A109" s="7"/>
      <c r="B109" s="155"/>
      <c r="C109" s="152"/>
      <c r="D109" s="155"/>
      <c r="E109" s="155"/>
      <c r="F109" s="155"/>
      <c r="G109" s="152"/>
      <c r="H109" s="153"/>
      <c r="I109" s="157"/>
      <c r="J109" s="155"/>
      <c r="K109" s="155"/>
      <c r="L109" s="155"/>
      <c r="M109" s="133"/>
      <c r="N109" s="133"/>
      <c r="O109" s="133"/>
      <c r="P109" s="133"/>
      <c r="Q109" s="133"/>
      <c r="R109" s="133"/>
    </row>
    <row r="110" spans="1:18" x14ac:dyDescent="0.3">
      <c r="A110" s="155"/>
      <c r="B110" s="155"/>
      <c r="C110" s="152"/>
      <c r="D110" s="155"/>
      <c r="E110" s="155"/>
      <c r="F110" s="155"/>
      <c r="G110" s="152"/>
      <c r="H110" s="153"/>
      <c r="I110" s="157"/>
      <c r="J110" s="155"/>
      <c r="K110" s="155"/>
      <c r="L110" s="155"/>
      <c r="M110" s="133"/>
      <c r="N110" s="133"/>
      <c r="O110" s="133"/>
      <c r="P110" s="133"/>
      <c r="Q110" s="133"/>
      <c r="R110" s="133"/>
    </row>
    <row r="111" spans="1:18" x14ac:dyDescent="0.3">
      <c r="A111" s="155"/>
      <c r="B111" s="155"/>
      <c r="C111" s="152"/>
      <c r="D111" s="152"/>
      <c r="E111" s="152"/>
      <c r="F111" s="155"/>
      <c r="G111" s="152"/>
      <c r="H111" s="153"/>
      <c r="I111" s="157"/>
      <c r="J111" s="155"/>
      <c r="K111" s="155"/>
      <c r="L111" s="155"/>
      <c r="M111" s="133"/>
      <c r="N111" s="133"/>
      <c r="O111" s="133"/>
      <c r="P111" s="133"/>
      <c r="Q111" s="133"/>
      <c r="R111" s="133"/>
    </row>
    <row r="112" spans="1:18" x14ac:dyDescent="0.3">
      <c r="A112" s="158"/>
      <c r="B112" s="155"/>
      <c r="C112" s="152"/>
      <c r="D112" s="155"/>
      <c r="E112" s="155"/>
      <c r="F112" s="155"/>
      <c r="G112" s="152"/>
      <c r="I112" s="157"/>
      <c r="J112" s="155"/>
      <c r="K112" s="155"/>
      <c r="L112" s="155"/>
      <c r="M112" s="133"/>
      <c r="N112" s="133"/>
      <c r="O112" s="133"/>
      <c r="P112" s="133"/>
      <c r="Q112" s="133"/>
      <c r="R112" s="133"/>
    </row>
    <row r="113" spans="1:18" x14ac:dyDescent="0.3">
      <c r="A113" s="260" t="s">
        <v>170</v>
      </c>
      <c r="B113" s="260"/>
      <c r="C113" s="260"/>
      <c r="D113" s="260"/>
      <c r="E113" s="260"/>
      <c r="F113" s="260"/>
      <c r="G113" s="152"/>
      <c r="I113" s="155"/>
      <c r="J113" s="155"/>
      <c r="K113" s="155"/>
      <c r="L113" s="155"/>
      <c r="M113" s="133"/>
      <c r="N113" s="133"/>
      <c r="O113" s="133"/>
      <c r="P113" s="133"/>
      <c r="Q113" s="133"/>
      <c r="R113" s="133"/>
    </row>
    <row r="114" spans="1:18" x14ac:dyDescent="0.3">
      <c r="A114" s="260"/>
      <c r="B114" s="260"/>
      <c r="C114" s="260"/>
      <c r="D114" s="260"/>
      <c r="E114" s="260"/>
      <c r="F114" s="260"/>
      <c r="G114" s="152"/>
      <c r="I114" s="155"/>
      <c r="J114" s="155"/>
      <c r="K114" s="152"/>
      <c r="L114" s="155"/>
      <c r="M114" s="133"/>
      <c r="N114" s="133"/>
      <c r="O114" s="133"/>
      <c r="P114" s="133"/>
      <c r="Q114" s="133"/>
      <c r="R114" s="133"/>
    </row>
    <row r="115" spans="1:18" x14ac:dyDescent="0.3">
      <c r="A115" s="260"/>
      <c r="B115" s="260"/>
      <c r="C115" s="260"/>
      <c r="D115" s="260"/>
      <c r="E115" s="260"/>
      <c r="F115" s="260"/>
      <c r="G115" s="152"/>
      <c r="I115" s="155"/>
      <c r="J115" s="155"/>
      <c r="K115" s="152"/>
      <c r="L115" s="155"/>
      <c r="M115" s="133"/>
      <c r="N115" s="133"/>
      <c r="O115" s="133"/>
      <c r="P115" s="133"/>
      <c r="Q115" s="133"/>
      <c r="R115" s="133"/>
    </row>
    <row r="116" spans="1:18" x14ac:dyDescent="0.3">
      <c r="A116" s="260"/>
      <c r="B116" s="260"/>
      <c r="C116" s="260"/>
      <c r="D116" s="260"/>
      <c r="E116" s="260"/>
      <c r="F116" s="260"/>
      <c r="G116" s="152"/>
      <c r="I116" s="155"/>
      <c r="J116" s="155"/>
      <c r="K116" s="152"/>
      <c r="L116" s="155"/>
      <c r="M116" s="133"/>
      <c r="N116" s="133"/>
      <c r="O116" s="133"/>
      <c r="P116" s="133"/>
      <c r="Q116" s="133"/>
      <c r="R116" s="133"/>
    </row>
    <row r="117" spans="1:18" ht="30.6" customHeight="1" x14ac:dyDescent="0.3">
      <c r="A117" s="260"/>
      <c r="B117" s="260"/>
      <c r="C117" s="260"/>
      <c r="D117" s="260"/>
      <c r="E117" s="260"/>
      <c r="F117" s="260"/>
      <c r="G117" s="152"/>
      <c r="I117" s="155"/>
      <c r="J117" s="155"/>
      <c r="K117" s="152"/>
      <c r="L117" s="155"/>
      <c r="M117" s="133"/>
      <c r="N117" s="133"/>
      <c r="O117" s="133"/>
      <c r="P117" s="133"/>
      <c r="Q117" s="133"/>
      <c r="R117" s="133"/>
    </row>
    <row r="118" spans="1:18" x14ac:dyDescent="0.3">
      <c r="A118" s="158"/>
      <c r="B118" s="155"/>
      <c r="C118" s="152"/>
      <c r="D118" s="155"/>
      <c r="E118" s="155"/>
      <c r="F118" s="155"/>
      <c r="G118" s="152"/>
      <c r="I118" s="155"/>
      <c r="J118" s="155"/>
      <c r="K118" s="152"/>
      <c r="L118" s="155"/>
      <c r="M118" s="133"/>
      <c r="N118" s="133"/>
      <c r="O118" s="133"/>
      <c r="P118" s="133"/>
      <c r="Q118" s="133"/>
      <c r="R118" s="133"/>
    </row>
    <row r="119" spans="1:18" x14ac:dyDescent="0.3">
      <c r="A119" s="158"/>
      <c r="B119" s="155"/>
      <c r="C119" s="152"/>
      <c r="D119" s="155"/>
      <c r="E119" s="155"/>
      <c r="F119" s="155"/>
      <c r="G119" s="152"/>
      <c r="I119" s="155"/>
      <c r="J119" s="155"/>
      <c r="K119" s="152"/>
      <c r="L119" s="155"/>
      <c r="M119" s="133"/>
      <c r="N119" s="133"/>
      <c r="O119" s="133"/>
      <c r="P119" s="133"/>
      <c r="Q119" s="133"/>
      <c r="R119" s="133"/>
    </row>
    <row r="120" spans="1:18" x14ac:dyDescent="0.3">
      <c r="A120" s="155"/>
      <c r="B120" s="155"/>
      <c r="C120" s="152"/>
      <c r="D120" s="155"/>
      <c r="E120" s="155"/>
      <c r="F120" s="155"/>
      <c r="G120" s="152"/>
      <c r="I120" s="155"/>
      <c r="J120" s="155"/>
      <c r="K120" s="152"/>
      <c r="L120" s="155"/>
      <c r="M120" s="133"/>
      <c r="N120" s="133"/>
      <c r="O120" s="133"/>
      <c r="P120" s="133"/>
      <c r="Q120" s="133"/>
      <c r="R120" s="133"/>
    </row>
    <row r="121" spans="1:18" x14ac:dyDescent="0.3">
      <c r="A121" s="155"/>
      <c r="B121" s="155"/>
      <c r="C121" s="152"/>
      <c r="D121" s="155"/>
      <c r="E121" s="155"/>
      <c r="F121" s="155"/>
      <c r="G121" s="152"/>
      <c r="I121" s="155"/>
      <c r="J121" s="155"/>
      <c r="K121" s="152"/>
      <c r="L121" s="155"/>
      <c r="M121" s="133"/>
      <c r="N121" s="133"/>
      <c r="O121" s="133"/>
      <c r="P121" s="133"/>
      <c r="Q121" s="133"/>
      <c r="R121" s="133"/>
    </row>
    <row r="122" spans="1:18" x14ac:dyDescent="0.3">
      <c r="A122" s="155"/>
      <c r="B122" s="155"/>
      <c r="C122" s="152"/>
      <c r="D122" s="155"/>
      <c r="E122" s="155"/>
      <c r="F122" s="155"/>
      <c r="G122" s="152"/>
      <c r="I122" s="155"/>
      <c r="J122" s="155"/>
      <c r="K122" s="152"/>
      <c r="L122" s="155"/>
      <c r="M122" s="133"/>
      <c r="N122" s="133"/>
      <c r="O122" s="133"/>
      <c r="P122" s="133"/>
      <c r="Q122" s="133"/>
      <c r="R122" s="133"/>
    </row>
    <row r="123" spans="1:18" x14ac:dyDescent="0.3">
      <c r="A123" s="155"/>
      <c r="B123" s="155"/>
      <c r="C123" s="152"/>
      <c r="D123" s="155"/>
      <c r="E123" s="155"/>
      <c r="F123" s="155"/>
      <c r="G123" s="152"/>
      <c r="I123" s="155"/>
      <c r="J123" s="155"/>
      <c r="K123" s="152"/>
      <c r="L123" s="155"/>
      <c r="M123" s="133"/>
      <c r="N123" s="133"/>
      <c r="O123" s="133"/>
      <c r="P123" s="133"/>
      <c r="Q123" s="133"/>
      <c r="R123" s="133"/>
    </row>
    <row r="124" spans="1:18" x14ac:dyDescent="0.3">
      <c r="A124" s="155"/>
      <c r="B124" s="155"/>
      <c r="C124" s="152"/>
      <c r="D124" s="155"/>
      <c r="E124" s="155"/>
      <c r="F124" s="155"/>
      <c r="G124" s="152"/>
      <c r="I124" s="155"/>
      <c r="J124" s="155"/>
      <c r="K124" s="152"/>
      <c r="L124" s="155"/>
      <c r="M124" s="133"/>
      <c r="N124" s="133"/>
      <c r="O124" s="133"/>
      <c r="P124" s="133"/>
      <c r="Q124" s="133"/>
      <c r="R124" s="133"/>
    </row>
    <row r="125" spans="1:18" x14ac:dyDescent="0.3">
      <c r="A125" s="155"/>
      <c r="B125" s="155"/>
      <c r="C125" s="152"/>
      <c r="D125" s="155"/>
      <c r="E125" s="155"/>
      <c r="F125" s="155"/>
      <c r="G125" s="152"/>
      <c r="I125" s="155"/>
      <c r="J125" s="155"/>
      <c r="K125" s="152"/>
      <c r="L125" s="155"/>
      <c r="M125" s="133"/>
      <c r="N125" s="133"/>
      <c r="O125" s="133"/>
      <c r="P125" s="133"/>
      <c r="Q125" s="133"/>
      <c r="R125" s="133"/>
    </row>
    <row r="126" spans="1:18" x14ac:dyDescent="0.3">
      <c r="A126" s="155"/>
      <c r="B126" s="155"/>
      <c r="C126" s="152"/>
      <c r="D126" s="155"/>
      <c r="E126" s="155"/>
      <c r="F126" s="155"/>
      <c r="G126" s="152"/>
      <c r="I126" s="155"/>
      <c r="J126" s="155"/>
      <c r="K126" s="152"/>
      <c r="L126" s="155"/>
      <c r="M126" s="133"/>
      <c r="N126" s="133"/>
      <c r="O126" s="133"/>
      <c r="P126" s="133"/>
      <c r="Q126" s="133"/>
      <c r="R126" s="133"/>
    </row>
    <row r="127" spans="1:18" x14ac:dyDescent="0.3">
      <c r="A127" s="155"/>
      <c r="B127" s="155"/>
      <c r="C127" s="152"/>
      <c r="D127" s="155"/>
      <c r="E127" s="155"/>
      <c r="F127" s="155"/>
      <c r="G127" s="152"/>
      <c r="I127" s="155"/>
      <c r="J127" s="155"/>
      <c r="K127" s="152"/>
      <c r="L127" s="155"/>
      <c r="M127" s="133"/>
      <c r="N127" s="133"/>
      <c r="O127" s="133"/>
      <c r="P127" s="133"/>
      <c r="Q127" s="133"/>
      <c r="R127" s="133"/>
    </row>
    <row r="128" spans="1:18" x14ac:dyDescent="0.3">
      <c r="A128" s="155"/>
      <c r="B128" s="155"/>
      <c r="C128" s="152"/>
      <c r="D128" s="155"/>
      <c r="E128" s="155"/>
      <c r="F128" s="155"/>
      <c r="G128" s="152"/>
      <c r="I128" s="155"/>
      <c r="J128" s="155"/>
      <c r="K128" s="152"/>
      <c r="L128" s="155"/>
      <c r="M128" s="133"/>
      <c r="N128" s="133"/>
      <c r="O128" s="133"/>
      <c r="P128" s="133"/>
      <c r="Q128" s="133"/>
      <c r="R128" s="133"/>
    </row>
    <row r="129" spans="1:18" x14ac:dyDescent="0.3">
      <c r="A129" s="155"/>
      <c r="B129" s="155"/>
      <c r="C129" s="152"/>
      <c r="D129" s="155"/>
      <c r="E129" s="155"/>
      <c r="F129" s="155"/>
      <c r="G129" s="152"/>
      <c r="I129" s="155"/>
      <c r="J129" s="155"/>
      <c r="K129" s="152"/>
      <c r="L129" s="155"/>
      <c r="M129" s="133"/>
      <c r="N129" s="133"/>
      <c r="O129" s="133"/>
      <c r="P129" s="133"/>
      <c r="Q129" s="133"/>
      <c r="R129" s="133"/>
    </row>
    <row r="130" spans="1:18" x14ac:dyDescent="0.3">
      <c r="A130" s="155"/>
      <c r="B130" s="155"/>
      <c r="C130" s="152"/>
      <c r="D130" s="155"/>
      <c r="E130" s="155"/>
      <c r="F130" s="155"/>
      <c r="G130" s="152"/>
      <c r="I130" s="155"/>
      <c r="J130" s="155"/>
      <c r="K130" s="152"/>
      <c r="L130" s="155"/>
      <c r="M130" s="133"/>
      <c r="N130" s="133"/>
      <c r="O130" s="133"/>
      <c r="P130" s="133"/>
      <c r="Q130" s="133"/>
      <c r="R130" s="133"/>
    </row>
    <row r="131" spans="1:18" x14ac:dyDescent="0.3">
      <c r="A131" s="155"/>
      <c r="B131" s="155"/>
      <c r="C131" s="152"/>
      <c r="D131" s="155"/>
      <c r="E131" s="155"/>
      <c r="F131" s="155"/>
      <c r="G131" s="152"/>
      <c r="I131" s="155"/>
      <c r="J131" s="155"/>
      <c r="K131" s="152"/>
      <c r="L131" s="155"/>
      <c r="M131" s="133"/>
      <c r="N131" s="133"/>
      <c r="O131" s="133"/>
      <c r="P131" s="133"/>
      <c r="Q131" s="133"/>
      <c r="R131" s="133"/>
    </row>
    <row r="132" spans="1:18" x14ac:dyDescent="0.3">
      <c r="A132" s="155"/>
      <c r="B132" s="155"/>
      <c r="C132" s="152"/>
      <c r="D132" s="155"/>
      <c r="E132" s="155"/>
      <c r="F132" s="155"/>
      <c r="G132" s="152"/>
      <c r="I132" s="155"/>
      <c r="J132" s="155"/>
      <c r="K132" s="152"/>
      <c r="L132" s="155"/>
      <c r="M132" s="133"/>
      <c r="N132" s="133"/>
      <c r="O132" s="133"/>
      <c r="P132" s="133"/>
      <c r="Q132" s="133"/>
      <c r="R132" s="133"/>
    </row>
    <row r="133" spans="1:18" x14ac:dyDescent="0.3">
      <c r="A133" s="155"/>
      <c r="B133" s="155"/>
      <c r="C133" s="152"/>
      <c r="D133" s="155"/>
      <c r="E133" s="155"/>
      <c r="F133" s="155"/>
      <c r="G133" s="152"/>
      <c r="I133" s="155"/>
      <c r="J133" s="155"/>
      <c r="K133" s="152"/>
      <c r="L133" s="155"/>
      <c r="M133" s="133"/>
      <c r="N133" s="133"/>
      <c r="O133" s="133"/>
      <c r="P133" s="133"/>
      <c r="Q133" s="133"/>
      <c r="R133" s="133"/>
    </row>
    <row r="134" spans="1:18" x14ac:dyDescent="0.3">
      <c r="A134" s="155"/>
      <c r="B134" s="155"/>
      <c r="C134" s="152"/>
      <c r="D134" s="155"/>
      <c r="E134" s="155"/>
      <c r="F134" s="155"/>
      <c r="G134" s="152"/>
      <c r="I134" s="155"/>
      <c r="J134" s="155"/>
      <c r="K134" s="152"/>
      <c r="L134" s="155"/>
      <c r="M134" s="133"/>
      <c r="N134" s="133"/>
      <c r="O134" s="133"/>
      <c r="P134" s="133"/>
      <c r="Q134" s="133"/>
      <c r="R134" s="133"/>
    </row>
    <row r="135" spans="1:18" x14ac:dyDescent="0.3">
      <c r="A135" s="155"/>
      <c r="B135" s="155"/>
      <c r="C135" s="152"/>
      <c r="D135" s="155"/>
      <c r="E135" s="155"/>
      <c r="F135" s="155"/>
      <c r="G135" s="152"/>
      <c r="I135" s="155"/>
      <c r="J135" s="155"/>
      <c r="K135" s="152"/>
      <c r="L135" s="155"/>
      <c r="M135" s="133"/>
      <c r="N135" s="133"/>
      <c r="O135" s="133"/>
      <c r="P135" s="133"/>
      <c r="Q135" s="133"/>
      <c r="R135" s="133"/>
    </row>
    <row r="136" spans="1:18" x14ac:dyDescent="0.3">
      <c r="A136" s="155"/>
      <c r="B136" s="155"/>
      <c r="C136" s="152"/>
      <c r="D136" s="155"/>
      <c r="E136" s="155"/>
      <c r="F136" s="155"/>
      <c r="G136" s="152"/>
      <c r="I136" s="155"/>
      <c r="J136" s="155"/>
      <c r="K136" s="152"/>
      <c r="L136" s="155"/>
      <c r="M136" s="133"/>
      <c r="N136" s="133"/>
      <c r="O136" s="133"/>
      <c r="P136" s="133"/>
      <c r="Q136" s="133"/>
      <c r="R136" s="133"/>
    </row>
    <row r="137" spans="1:18" x14ac:dyDescent="0.3">
      <c r="A137" s="155"/>
      <c r="B137" s="155"/>
      <c r="C137" s="152"/>
      <c r="D137" s="155"/>
      <c r="E137" s="155"/>
      <c r="F137" s="155"/>
      <c r="G137" s="152"/>
      <c r="I137" s="155"/>
      <c r="J137" s="155"/>
      <c r="K137" s="152"/>
      <c r="L137" s="155"/>
      <c r="M137" s="133"/>
      <c r="N137" s="133"/>
      <c r="O137" s="133"/>
      <c r="P137" s="133"/>
      <c r="Q137" s="133"/>
      <c r="R137" s="133"/>
    </row>
    <row r="138" spans="1:18" x14ac:dyDescent="0.3">
      <c r="A138" s="155"/>
      <c r="B138" s="155"/>
      <c r="C138" s="152"/>
      <c r="D138" s="155"/>
      <c r="E138" s="155"/>
      <c r="F138" s="155"/>
      <c r="G138" s="152"/>
      <c r="I138" s="155"/>
      <c r="J138" s="155"/>
      <c r="K138" s="152"/>
      <c r="L138" s="155"/>
      <c r="M138" s="133"/>
      <c r="N138" s="133"/>
      <c r="O138" s="133"/>
      <c r="P138" s="133"/>
      <c r="Q138" s="133"/>
      <c r="R138" s="133"/>
    </row>
    <row r="139" spans="1:18" x14ac:dyDescent="0.3">
      <c r="A139" s="155"/>
      <c r="B139" s="155"/>
      <c r="C139" s="152"/>
      <c r="D139" s="155"/>
      <c r="E139" s="155"/>
      <c r="F139" s="155"/>
      <c r="G139" s="152"/>
      <c r="I139" s="155"/>
      <c r="J139" s="155"/>
      <c r="K139" s="152"/>
      <c r="L139" s="155"/>
      <c r="M139" s="133"/>
      <c r="N139" s="133"/>
      <c r="O139" s="133"/>
      <c r="P139" s="133"/>
      <c r="Q139" s="133"/>
      <c r="R139" s="133"/>
    </row>
    <row r="140" spans="1:18" x14ac:dyDescent="0.3">
      <c r="A140" s="155"/>
      <c r="B140" s="155"/>
      <c r="C140" s="152"/>
      <c r="D140" s="155"/>
      <c r="E140" s="155"/>
      <c r="F140" s="155"/>
      <c r="G140" s="152"/>
      <c r="I140" s="155"/>
      <c r="J140" s="155"/>
      <c r="K140" s="152"/>
      <c r="L140" s="155"/>
      <c r="M140" s="133"/>
      <c r="N140" s="133"/>
      <c r="O140" s="133"/>
      <c r="P140" s="133"/>
      <c r="Q140" s="133"/>
      <c r="R140" s="133"/>
    </row>
    <row r="141" spans="1:18" x14ac:dyDescent="0.3">
      <c r="A141" s="155"/>
      <c r="B141" s="155"/>
      <c r="C141" s="152"/>
      <c r="D141" s="155"/>
      <c r="E141" s="155"/>
      <c r="F141" s="155"/>
      <c r="G141" s="152"/>
      <c r="I141" s="155"/>
      <c r="J141" s="155"/>
      <c r="K141" s="152"/>
      <c r="L141" s="155"/>
      <c r="M141" s="133"/>
      <c r="N141" s="133"/>
      <c r="O141" s="133"/>
      <c r="P141" s="133"/>
      <c r="Q141" s="133"/>
      <c r="R141" s="133"/>
    </row>
    <row r="142" spans="1:18" x14ac:dyDescent="0.3">
      <c r="A142" s="155"/>
      <c r="B142" s="155"/>
      <c r="C142" s="152"/>
      <c r="D142" s="155"/>
      <c r="E142" s="155"/>
      <c r="F142" s="155"/>
      <c r="G142" s="152"/>
      <c r="I142" s="155"/>
      <c r="J142" s="155"/>
      <c r="K142" s="152"/>
      <c r="L142" s="155"/>
      <c r="M142" s="133"/>
      <c r="N142" s="133"/>
      <c r="O142" s="133"/>
      <c r="P142" s="133"/>
      <c r="Q142" s="133"/>
      <c r="R142" s="133"/>
    </row>
    <row r="143" spans="1:18" x14ac:dyDescent="0.3">
      <c r="A143" s="155"/>
      <c r="B143" s="155"/>
      <c r="C143" s="152"/>
      <c r="D143" s="155"/>
      <c r="E143" s="155"/>
      <c r="F143" s="155"/>
      <c r="G143" s="152"/>
      <c r="I143" s="155"/>
      <c r="J143" s="155"/>
      <c r="K143" s="152"/>
      <c r="L143" s="155"/>
      <c r="M143" s="133"/>
      <c r="N143" s="133"/>
      <c r="O143" s="133"/>
      <c r="P143" s="133"/>
      <c r="Q143" s="133"/>
      <c r="R143" s="133"/>
    </row>
    <row r="144" spans="1:18" x14ac:dyDescent="0.3">
      <c r="A144" s="155"/>
      <c r="B144" s="155"/>
      <c r="C144" s="152"/>
      <c r="D144" s="155"/>
      <c r="E144" s="155"/>
      <c r="F144" s="155"/>
      <c r="G144" s="152"/>
      <c r="I144" s="155"/>
      <c r="J144" s="155"/>
      <c r="K144" s="152"/>
      <c r="L144" s="155"/>
      <c r="M144" s="133"/>
      <c r="N144" s="133"/>
      <c r="O144" s="133"/>
      <c r="P144" s="133"/>
      <c r="Q144" s="133"/>
      <c r="R144" s="133"/>
    </row>
    <row r="145" spans="1:18" x14ac:dyDescent="0.3">
      <c r="A145" s="155"/>
      <c r="B145" s="155"/>
      <c r="C145" s="152"/>
      <c r="D145" s="155"/>
      <c r="E145" s="155"/>
      <c r="F145" s="155"/>
      <c r="G145" s="152"/>
      <c r="I145" s="155"/>
      <c r="J145" s="155"/>
      <c r="K145" s="152"/>
      <c r="L145" s="155"/>
      <c r="M145" s="133"/>
      <c r="N145" s="133"/>
      <c r="O145" s="133"/>
      <c r="P145" s="133"/>
      <c r="Q145" s="133"/>
      <c r="R145" s="133"/>
    </row>
    <row r="146" spans="1:18" x14ac:dyDescent="0.3">
      <c r="A146" s="155"/>
      <c r="B146" s="155"/>
      <c r="C146" s="152"/>
      <c r="D146" s="155"/>
      <c r="E146" s="155"/>
      <c r="F146" s="155"/>
      <c r="G146" s="152"/>
      <c r="I146" s="155"/>
      <c r="J146" s="155"/>
      <c r="K146" s="152"/>
      <c r="L146" s="155"/>
      <c r="M146" s="133"/>
      <c r="N146" s="133"/>
      <c r="O146" s="133"/>
      <c r="P146" s="133"/>
      <c r="Q146" s="133"/>
      <c r="R146" s="133"/>
    </row>
    <row r="147" spans="1:18" x14ac:dyDescent="0.3">
      <c r="A147" s="155"/>
      <c r="B147" s="155"/>
      <c r="C147" s="152"/>
      <c r="D147" s="155"/>
      <c r="E147" s="155"/>
      <c r="F147" s="155"/>
      <c r="G147" s="152"/>
      <c r="I147" s="155"/>
      <c r="J147" s="155"/>
      <c r="K147" s="152"/>
      <c r="L147" s="155"/>
      <c r="M147" s="133"/>
      <c r="N147" s="133"/>
      <c r="O147" s="133"/>
      <c r="P147" s="133"/>
      <c r="Q147" s="133"/>
      <c r="R147" s="133"/>
    </row>
    <row r="148" spans="1:18" x14ac:dyDescent="0.3">
      <c r="A148" s="155"/>
      <c r="B148" s="155"/>
      <c r="C148" s="152"/>
      <c r="D148" s="155"/>
      <c r="E148" s="155"/>
      <c r="F148" s="155"/>
      <c r="G148" s="152"/>
      <c r="I148" s="155"/>
      <c r="J148" s="155"/>
      <c r="K148" s="152"/>
      <c r="L148" s="155"/>
      <c r="M148" s="133"/>
      <c r="N148" s="133"/>
      <c r="O148" s="133"/>
      <c r="P148" s="133"/>
      <c r="Q148" s="133"/>
      <c r="R148" s="133"/>
    </row>
    <row r="149" spans="1:18" x14ac:dyDescent="0.3">
      <c r="A149" s="155"/>
      <c r="B149" s="155"/>
      <c r="C149" s="152"/>
      <c r="D149" s="155"/>
      <c r="E149" s="155"/>
      <c r="F149" s="155"/>
      <c r="G149" s="152"/>
      <c r="I149" s="155"/>
      <c r="J149" s="155"/>
      <c r="K149" s="152"/>
      <c r="L149" s="155"/>
      <c r="M149" s="133"/>
      <c r="N149" s="133"/>
      <c r="O149" s="133"/>
      <c r="P149" s="133"/>
      <c r="Q149" s="133"/>
      <c r="R149" s="133"/>
    </row>
    <row r="150" spans="1:18" x14ac:dyDescent="0.3">
      <c r="A150" s="155"/>
      <c r="B150" s="155"/>
      <c r="C150" s="152"/>
      <c r="D150" s="155"/>
      <c r="E150" s="155"/>
      <c r="F150" s="155"/>
      <c r="G150" s="152"/>
      <c r="I150" s="155"/>
      <c r="J150" s="155"/>
      <c r="K150" s="152"/>
      <c r="L150" s="155"/>
      <c r="M150" s="133"/>
      <c r="N150" s="133"/>
      <c r="O150" s="133"/>
      <c r="P150" s="133"/>
      <c r="Q150" s="133"/>
      <c r="R150" s="133"/>
    </row>
    <row r="151" spans="1:18" x14ac:dyDescent="0.3">
      <c r="A151" s="155"/>
      <c r="B151" s="155"/>
      <c r="C151" s="152"/>
      <c r="D151" s="155"/>
      <c r="E151" s="155"/>
      <c r="F151" s="155"/>
      <c r="G151" s="152"/>
      <c r="I151" s="155"/>
      <c r="J151" s="155"/>
      <c r="K151" s="152"/>
      <c r="L151" s="155"/>
      <c r="M151" s="133"/>
      <c r="N151" s="133"/>
      <c r="O151" s="133"/>
      <c r="P151" s="133"/>
      <c r="Q151" s="133"/>
      <c r="R151" s="133"/>
    </row>
    <row r="152" spans="1:18" x14ac:dyDescent="0.3">
      <c r="A152" s="155"/>
      <c r="B152" s="155"/>
      <c r="C152" s="152"/>
      <c r="D152" s="155"/>
      <c r="E152" s="155"/>
      <c r="F152" s="155"/>
      <c r="G152" s="152"/>
      <c r="I152" s="155"/>
      <c r="J152" s="155"/>
      <c r="K152" s="152"/>
      <c r="L152" s="155"/>
      <c r="M152" s="133"/>
      <c r="N152" s="133"/>
      <c r="O152" s="133"/>
      <c r="P152" s="133"/>
      <c r="Q152" s="133"/>
      <c r="R152" s="133"/>
    </row>
    <row r="153" spans="1:18" x14ac:dyDescent="0.3">
      <c r="A153" s="155"/>
      <c r="B153" s="155"/>
      <c r="C153" s="152"/>
      <c r="D153" s="155"/>
      <c r="E153" s="155"/>
      <c r="F153" s="155"/>
      <c r="G153" s="152"/>
      <c r="I153" s="155"/>
      <c r="J153" s="155"/>
      <c r="K153" s="152"/>
      <c r="L153" s="155"/>
      <c r="M153" s="133"/>
      <c r="N153" s="133"/>
      <c r="O153" s="133"/>
      <c r="P153" s="133"/>
      <c r="Q153" s="133"/>
      <c r="R153" s="133"/>
    </row>
    <row r="154" spans="1:18" x14ac:dyDescent="0.3">
      <c r="A154" s="155"/>
      <c r="B154" s="155"/>
      <c r="C154" s="152"/>
      <c r="D154" s="155"/>
      <c r="E154" s="155"/>
      <c r="F154" s="155"/>
      <c r="G154" s="152"/>
      <c r="I154" s="155"/>
      <c r="J154" s="155"/>
      <c r="K154" s="152"/>
      <c r="L154" s="155"/>
      <c r="M154" s="133"/>
      <c r="N154" s="133"/>
      <c r="O154" s="133"/>
      <c r="P154" s="133"/>
      <c r="Q154" s="133"/>
      <c r="R154" s="133"/>
    </row>
    <row r="155" spans="1:18" x14ac:dyDescent="0.3">
      <c r="A155" s="155"/>
      <c r="B155" s="155"/>
      <c r="C155" s="152"/>
      <c r="D155" s="155"/>
      <c r="E155" s="155"/>
      <c r="F155" s="155"/>
      <c r="G155" s="152"/>
      <c r="I155" s="155"/>
      <c r="J155" s="155"/>
      <c r="K155" s="152"/>
      <c r="L155" s="155"/>
      <c r="M155" s="133"/>
      <c r="N155" s="133"/>
      <c r="O155" s="133"/>
      <c r="P155" s="133"/>
      <c r="Q155" s="133"/>
      <c r="R155" s="133"/>
    </row>
    <row r="156" spans="1:18" x14ac:dyDescent="0.3">
      <c r="A156" s="155"/>
      <c r="B156" s="155"/>
      <c r="C156" s="152"/>
      <c r="D156" s="155"/>
      <c r="E156" s="155"/>
      <c r="F156" s="155"/>
      <c r="G156" s="152"/>
      <c r="I156" s="155"/>
      <c r="J156" s="155"/>
      <c r="K156" s="152"/>
      <c r="L156" s="155"/>
      <c r="M156" s="133"/>
      <c r="N156" s="133"/>
      <c r="O156" s="133"/>
      <c r="P156" s="133"/>
      <c r="Q156" s="133"/>
      <c r="R156" s="133"/>
    </row>
    <row r="157" spans="1:18" x14ac:dyDescent="0.3">
      <c r="A157" s="155"/>
      <c r="B157" s="155"/>
      <c r="C157" s="152"/>
      <c r="D157" s="155"/>
      <c r="E157" s="155"/>
      <c r="F157" s="155"/>
      <c r="G157" s="152"/>
      <c r="I157" s="155"/>
      <c r="J157" s="155"/>
      <c r="K157" s="152"/>
      <c r="L157" s="155"/>
      <c r="M157" s="133"/>
      <c r="N157" s="133"/>
      <c r="O157" s="133"/>
      <c r="P157" s="133"/>
      <c r="Q157" s="133"/>
      <c r="R157" s="133"/>
    </row>
    <row r="158" spans="1:18" x14ac:dyDescent="0.3">
      <c r="A158" s="155"/>
      <c r="B158" s="155"/>
      <c r="C158" s="152"/>
      <c r="D158" s="155"/>
      <c r="E158" s="155"/>
      <c r="F158" s="155"/>
      <c r="G158" s="152"/>
      <c r="I158" s="155"/>
      <c r="J158" s="155"/>
      <c r="K158" s="152"/>
      <c r="L158" s="155"/>
      <c r="M158" s="133"/>
      <c r="N158" s="133"/>
      <c r="O158" s="133"/>
      <c r="P158" s="133"/>
      <c r="Q158" s="133"/>
      <c r="R158" s="133"/>
    </row>
    <row r="159" spans="1:18" x14ac:dyDescent="0.3">
      <c r="A159" s="155"/>
      <c r="B159" s="155"/>
      <c r="C159" s="152"/>
      <c r="D159" s="155"/>
      <c r="E159" s="155"/>
      <c r="F159" s="155"/>
      <c r="G159" s="152"/>
      <c r="I159" s="155"/>
      <c r="J159" s="155"/>
      <c r="K159" s="152"/>
      <c r="L159" s="155"/>
      <c r="M159" s="133"/>
      <c r="N159" s="133"/>
      <c r="O159" s="133"/>
      <c r="P159" s="133"/>
      <c r="Q159" s="133"/>
      <c r="R159" s="133"/>
    </row>
    <row r="160" spans="1:18" x14ac:dyDescent="0.3">
      <c r="A160" s="155"/>
      <c r="B160" s="155"/>
      <c r="C160" s="152"/>
      <c r="D160" s="155"/>
      <c r="E160" s="155"/>
      <c r="F160" s="155"/>
      <c r="G160" s="152"/>
      <c r="I160" s="155"/>
      <c r="J160" s="155"/>
      <c r="K160" s="152"/>
      <c r="L160" s="155"/>
      <c r="M160" s="133"/>
      <c r="N160" s="133"/>
      <c r="O160" s="133"/>
      <c r="P160" s="133"/>
      <c r="Q160" s="133"/>
      <c r="R160" s="133"/>
    </row>
    <row r="161" spans="1:18" x14ac:dyDescent="0.3">
      <c r="A161" s="155"/>
      <c r="B161" s="155"/>
      <c r="C161" s="152"/>
      <c r="D161" s="155"/>
      <c r="E161" s="155"/>
      <c r="F161" s="155"/>
      <c r="G161" s="152"/>
      <c r="L161" s="155"/>
      <c r="M161" s="133"/>
      <c r="N161" s="133"/>
      <c r="O161" s="133"/>
      <c r="P161" s="133"/>
      <c r="Q161" s="133"/>
      <c r="R161" s="133"/>
    </row>
    <row r="162" spans="1:18" x14ac:dyDescent="0.3">
      <c r="A162" s="155"/>
      <c r="B162" s="155"/>
      <c r="C162" s="152"/>
      <c r="D162" s="155"/>
      <c r="E162" s="155"/>
      <c r="F162" s="155"/>
      <c r="G162" s="152"/>
      <c r="L162" s="155"/>
      <c r="M162" s="133"/>
      <c r="N162" s="133"/>
      <c r="O162" s="133"/>
      <c r="P162" s="133"/>
      <c r="Q162" s="133"/>
      <c r="R162" s="133"/>
    </row>
    <row r="163" spans="1:18" x14ac:dyDescent="0.3">
      <c r="A163" s="155"/>
      <c r="B163" s="155"/>
      <c r="C163" s="152"/>
      <c r="D163" s="155"/>
      <c r="E163" s="155"/>
      <c r="F163" s="155"/>
      <c r="G163" s="152"/>
      <c r="L163" s="155"/>
      <c r="M163" s="133"/>
      <c r="N163" s="133"/>
      <c r="O163" s="133"/>
      <c r="P163" s="133"/>
      <c r="Q163" s="133"/>
      <c r="R163" s="133"/>
    </row>
    <row r="164" spans="1:18" x14ac:dyDescent="0.3">
      <c r="A164" s="155"/>
      <c r="B164" s="155"/>
      <c r="C164" s="152"/>
      <c r="D164" s="155"/>
      <c r="E164" s="155"/>
      <c r="F164" s="155"/>
      <c r="G164" s="152"/>
    </row>
    <row r="165" spans="1:18" x14ac:dyDescent="0.3">
      <c r="A165" s="155"/>
      <c r="B165" s="155"/>
      <c r="C165" s="152"/>
      <c r="D165" s="155"/>
      <c r="E165" s="155"/>
      <c r="F165" s="155"/>
      <c r="G165" s="152"/>
    </row>
    <row r="166" spans="1:18" x14ac:dyDescent="0.3">
      <c r="A166" s="155"/>
      <c r="B166" s="155"/>
      <c r="C166" s="152"/>
      <c r="D166" s="155"/>
      <c r="E166" s="155"/>
      <c r="F166" s="155"/>
      <c r="G166" s="152"/>
    </row>
    <row r="167" spans="1:18" x14ac:dyDescent="0.3">
      <c r="A167" s="155"/>
      <c r="B167" s="155"/>
      <c r="C167" s="152"/>
      <c r="D167" s="155"/>
      <c r="E167" s="155"/>
      <c r="F167" s="155"/>
      <c r="G167" s="152"/>
    </row>
    <row r="168" spans="1:18" x14ac:dyDescent="0.3">
      <c r="A168" s="155"/>
      <c r="B168" s="155"/>
      <c r="C168" s="152"/>
      <c r="D168" s="155"/>
      <c r="E168" s="155"/>
      <c r="F168" s="155"/>
      <c r="G168" s="152"/>
    </row>
    <row r="169" spans="1:18" x14ac:dyDescent="0.3">
      <c r="A169" s="155"/>
      <c r="B169" s="155"/>
      <c r="C169" s="152"/>
      <c r="D169" s="155"/>
      <c r="E169" s="155"/>
      <c r="F169" s="155"/>
      <c r="G169" s="152"/>
    </row>
    <row r="170" spans="1:18" x14ac:dyDescent="0.3">
      <c r="A170" s="155"/>
      <c r="B170" s="155"/>
      <c r="C170" s="152"/>
      <c r="D170" s="155"/>
      <c r="E170" s="155"/>
      <c r="F170" s="155"/>
      <c r="G170" s="152"/>
    </row>
    <row r="171" spans="1:18" x14ac:dyDescent="0.3">
      <c r="A171" s="155"/>
      <c r="B171" s="155"/>
      <c r="C171" s="152"/>
      <c r="D171" s="155"/>
      <c r="E171" s="155"/>
      <c r="F171" s="155"/>
      <c r="G171" s="152"/>
    </row>
    <row r="172" spans="1:18" x14ac:dyDescent="0.3">
      <c r="A172" s="155"/>
      <c r="B172" s="155"/>
      <c r="C172" s="152"/>
      <c r="D172" s="155"/>
      <c r="E172" s="155"/>
      <c r="F172" s="155"/>
      <c r="G172" s="152"/>
    </row>
    <row r="173" spans="1:18" x14ac:dyDescent="0.3">
      <c r="A173" s="155"/>
      <c r="B173" s="155"/>
      <c r="C173" s="152"/>
      <c r="D173" s="155"/>
      <c r="E173" s="155"/>
      <c r="F173" s="155"/>
      <c r="G173" s="152"/>
    </row>
    <row r="174" spans="1:18" x14ac:dyDescent="0.3">
      <c r="A174" s="155"/>
      <c r="B174" s="155"/>
      <c r="C174" s="152"/>
      <c r="D174" s="155"/>
      <c r="E174" s="155"/>
      <c r="F174" s="155"/>
      <c r="G174" s="152"/>
    </row>
    <row r="175" spans="1:18" x14ac:dyDescent="0.3">
      <c r="A175" s="155"/>
      <c r="B175" s="155"/>
      <c r="C175" s="152"/>
      <c r="D175" s="155"/>
      <c r="E175" s="155"/>
      <c r="F175" s="155"/>
      <c r="G175" s="152"/>
    </row>
    <row r="176" spans="1:18" x14ac:dyDescent="0.3">
      <c r="A176" s="155"/>
      <c r="B176" s="155"/>
      <c r="C176" s="152"/>
      <c r="D176" s="155"/>
      <c r="E176" s="155"/>
      <c r="F176" s="155"/>
      <c r="G176" s="152"/>
    </row>
    <row r="177" spans="1:7" x14ac:dyDescent="0.3">
      <c r="A177" s="155"/>
      <c r="B177" s="155"/>
      <c r="C177" s="152"/>
      <c r="D177" s="155"/>
      <c r="E177" s="155"/>
      <c r="F177" s="155"/>
      <c r="G177" s="152"/>
    </row>
    <row r="178" spans="1:7" x14ac:dyDescent="0.3">
      <c r="A178" s="155"/>
      <c r="B178" s="155"/>
      <c r="C178" s="152"/>
      <c r="D178" s="155"/>
      <c r="E178" s="155"/>
      <c r="F178" s="155"/>
      <c r="G178" s="152"/>
    </row>
    <row r="179" spans="1:7" x14ac:dyDescent="0.3">
      <c r="A179" s="155"/>
      <c r="B179" s="155"/>
      <c r="C179" s="152"/>
      <c r="D179" s="155"/>
      <c r="E179" s="155"/>
      <c r="F179" s="155"/>
      <c r="G179" s="152"/>
    </row>
    <row r="180" spans="1:7" x14ac:dyDescent="0.3">
      <c r="A180" s="155"/>
      <c r="B180" s="155"/>
      <c r="C180" s="152"/>
      <c r="D180" s="155"/>
      <c r="E180" s="155"/>
      <c r="F180" s="155"/>
      <c r="G180" s="152"/>
    </row>
    <row r="181" spans="1:7" x14ac:dyDescent="0.3">
      <c r="A181" s="155"/>
      <c r="B181" s="155"/>
      <c r="C181" s="152"/>
      <c r="D181" s="155"/>
      <c r="E181" s="155"/>
      <c r="F181" s="155"/>
      <c r="G181" s="152"/>
    </row>
    <row r="182" spans="1:7" x14ac:dyDescent="0.3">
      <c r="A182" s="155"/>
      <c r="B182" s="155"/>
      <c r="C182" s="152"/>
      <c r="D182" s="155"/>
      <c r="E182" s="155"/>
      <c r="F182" s="155"/>
      <c r="G182" s="152"/>
    </row>
    <row r="183" spans="1:7" x14ac:dyDescent="0.3">
      <c r="A183" s="155"/>
      <c r="B183" s="155"/>
      <c r="C183" s="152"/>
      <c r="D183" s="155"/>
      <c r="E183" s="155"/>
      <c r="F183" s="155"/>
      <c r="G183" s="152"/>
    </row>
    <row r="184" spans="1:7" x14ac:dyDescent="0.3">
      <c r="A184" s="159"/>
      <c r="B184" s="153"/>
      <c r="C184" s="152"/>
      <c r="F184" s="155"/>
      <c r="G184" s="152"/>
    </row>
    <row r="185" spans="1:7" x14ac:dyDescent="0.3">
      <c r="A185" s="159"/>
      <c r="B185" s="153"/>
      <c r="C185" s="152"/>
    </row>
    <row r="186" spans="1:7" x14ac:dyDescent="0.3">
      <c r="A186" s="159"/>
      <c r="B186" s="153"/>
      <c r="C186" s="152"/>
    </row>
    <row r="187" spans="1:7" x14ac:dyDescent="0.3">
      <c r="A187" s="159"/>
      <c r="B187" s="153"/>
      <c r="C187" s="152"/>
    </row>
    <row r="188" spans="1:7" x14ac:dyDescent="0.3">
      <c r="A188" s="159"/>
      <c r="B188" s="153"/>
      <c r="C188" s="152"/>
    </row>
    <row r="189" spans="1:7" x14ac:dyDescent="0.3">
      <c r="A189" s="159"/>
      <c r="B189" s="153"/>
      <c r="C189" s="152"/>
    </row>
    <row r="190" spans="1:7" x14ac:dyDescent="0.3">
      <c r="A190" s="159"/>
      <c r="B190" s="153"/>
      <c r="C190" s="152"/>
    </row>
    <row r="191" spans="1:7" x14ac:dyDescent="0.3">
      <c r="A191" s="159"/>
      <c r="B191" s="153"/>
      <c r="C191" s="152"/>
    </row>
    <row r="192" spans="1:7" x14ac:dyDescent="0.3">
      <c r="A192" s="159"/>
      <c r="B192" s="153"/>
      <c r="C192" s="152"/>
    </row>
    <row r="193" spans="1:3" x14ac:dyDescent="0.3">
      <c r="A193" s="159"/>
      <c r="B193" s="153"/>
      <c r="C193" s="152"/>
    </row>
    <row r="194" spans="1:3" x14ac:dyDescent="0.3">
      <c r="A194" s="159"/>
      <c r="B194" s="153"/>
      <c r="C194" s="152"/>
    </row>
    <row r="195" spans="1:3" x14ac:dyDescent="0.3">
      <c r="A195" s="159"/>
      <c r="B195" s="153"/>
      <c r="C195" s="152"/>
    </row>
    <row r="196" spans="1:3" x14ac:dyDescent="0.3">
      <c r="A196" s="159"/>
      <c r="B196" s="153"/>
      <c r="C196" s="152"/>
    </row>
    <row r="198" spans="1:3" x14ac:dyDescent="0.3">
      <c r="B198" s="160"/>
    </row>
    <row r="199" spans="1:3" x14ac:dyDescent="0.3">
      <c r="B199" s="160"/>
    </row>
    <row r="200" spans="1:3" x14ac:dyDescent="0.3">
      <c r="B200" s="160"/>
    </row>
    <row r="201" spans="1:3" x14ac:dyDescent="0.3">
      <c r="B201" s="160"/>
    </row>
    <row r="202" spans="1:3" x14ac:dyDescent="0.3">
      <c r="B202" s="160"/>
    </row>
    <row r="203" spans="1:3" x14ac:dyDescent="0.3">
      <c r="B203" s="160"/>
    </row>
    <row r="204" spans="1:3" x14ac:dyDescent="0.3">
      <c r="B204" s="160"/>
    </row>
    <row r="205" spans="1:3" x14ac:dyDescent="0.3">
      <c r="B205" s="160"/>
    </row>
    <row r="206" spans="1:3" x14ac:dyDescent="0.3">
      <c r="B206" s="160"/>
    </row>
    <row r="207" spans="1:3" x14ac:dyDescent="0.3">
      <c r="B207" s="160"/>
    </row>
    <row r="208" spans="1:3" x14ac:dyDescent="0.3">
      <c r="B208" s="160"/>
    </row>
    <row r="209" spans="2:2" x14ac:dyDescent="0.3">
      <c r="B209" s="160"/>
    </row>
    <row r="210" spans="2:2" x14ac:dyDescent="0.3">
      <c r="B210" s="160"/>
    </row>
    <row r="211" spans="2:2" x14ac:dyDescent="0.3">
      <c r="B211" s="160"/>
    </row>
    <row r="212" spans="2:2" x14ac:dyDescent="0.3">
      <c r="B212" s="160"/>
    </row>
    <row r="213" spans="2:2" x14ac:dyDescent="0.3">
      <c r="B213" s="160"/>
    </row>
    <row r="214" spans="2:2" x14ac:dyDescent="0.3">
      <c r="B214" s="160"/>
    </row>
    <row r="215" spans="2:2" x14ac:dyDescent="0.3">
      <c r="B215" s="160"/>
    </row>
    <row r="216" spans="2:2" x14ac:dyDescent="0.3">
      <c r="B216" s="160"/>
    </row>
    <row r="217" spans="2:2" x14ac:dyDescent="0.3">
      <c r="B217" s="160"/>
    </row>
    <row r="218" spans="2:2" x14ac:dyDescent="0.3">
      <c r="B218" s="160"/>
    </row>
    <row r="219" spans="2:2" x14ac:dyDescent="0.3">
      <c r="B219" s="160"/>
    </row>
    <row r="220" spans="2:2" x14ac:dyDescent="0.3">
      <c r="B220" s="160"/>
    </row>
    <row r="221" spans="2:2" x14ac:dyDescent="0.3">
      <c r="B221" s="160"/>
    </row>
    <row r="222" spans="2:2" x14ac:dyDescent="0.3">
      <c r="B222" s="160"/>
    </row>
    <row r="223" spans="2:2" x14ac:dyDescent="0.3">
      <c r="B223" s="160"/>
    </row>
    <row r="224" spans="2:2" x14ac:dyDescent="0.3">
      <c r="B224" s="160"/>
    </row>
    <row r="225" spans="2:2" x14ac:dyDescent="0.3">
      <c r="B225" s="160"/>
    </row>
    <row r="226" spans="2:2" x14ac:dyDescent="0.3">
      <c r="B226" s="160"/>
    </row>
    <row r="227" spans="2:2" x14ac:dyDescent="0.3">
      <c r="B227" s="160"/>
    </row>
    <row r="228" spans="2:2" x14ac:dyDescent="0.3">
      <c r="B228" s="160"/>
    </row>
    <row r="229" spans="2:2" x14ac:dyDescent="0.3">
      <c r="B229" s="160"/>
    </row>
    <row r="230" spans="2:2" x14ac:dyDescent="0.3">
      <c r="B230" s="160"/>
    </row>
    <row r="231" spans="2:2" x14ac:dyDescent="0.3">
      <c r="B231" s="160"/>
    </row>
    <row r="232" spans="2:2" x14ac:dyDescent="0.3">
      <c r="B232" s="160"/>
    </row>
    <row r="233" spans="2:2" x14ac:dyDescent="0.3">
      <c r="B233" s="160"/>
    </row>
    <row r="234" spans="2:2" x14ac:dyDescent="0.3">
      <c r="B234" s="160"/>
    </row>
    <row r="235" spans="2:2" x14ac:dyDescent="0.3">
      <c r="B235" s="160"/>
    </row>
    <row r="236" spans="2:2" x14ac:dyDescent="0.3">
      <c r="B236" s="160"/>
    </row>
    <row r="237" spans="2:2" x14ac:dyDescent="0.3">
      <c r="B237" s="160"/>
    </row>
    <row r="238" spans="2:2" x14ac:dyDescent="0.3">
      <c r="B238" s="160"/>
    </row>
    <row r="239" spans="2:2" x14ac:dyDescent="0.3">
      <c r="B239" s="160"/>
    </row>
    <row r="240" spans="2:2" x14ac:dyDescent="0.3">
      <c r="B240" s="160"/>
    </row>
    <row r="241" spans="2:2" x14ac:dyDescent="0.3">
      <c r="B241" s="160"/>
    </row>
    <row r="242" spans="2:2" x14ac:dyDescent="0.3">
      <c r="B242" s="160"/>
    </row>
    <row r="243" spans="2:2" x14ac:dyDescent="0.3">
      <c r="B243" s="160"/>
    </row>
    <row r="244" spans="2:2" x14ac:dyDescent="0.3">
      <c r="B244" s="160"/>
    </row>
    <row r="245" spans="2:2" x14ac:dyDescent="0.3">
      <c r="B245" s="160"/>
    </row>
    <row r="246" spans="2:2" x14ac:dyDescent="0.3">
      <c r="B246" s="160"/>
    </row>
    <row r="247" spans="2:2" x14ac:dyDescent="0.3">
      <c r="B247" s="160"/>
    </row>
    <row r="248" spans="2:2" x14ac:dyDescent="0.3">
      <c r="B248" s="160"/>
    </row>
    <row r="249" spans="2:2" x14ac:dyDescent="0.3">
      <c r="B249" s="142"/>
    </row>
    <row r="250" spans="2:2" x14ac:dyDescent="0.3">
      <c r="B250" s="142"/>
    </row>
    <row r="251" spans="2:2" x14ac:dyDescent="0.3">
      <c r="B251" s="142"/>
    </row>
    <row r="252" spans="2:2" x14ac:dyDescent="0.3">
      <c r="B252" s="142"/>
    </row>
    <row r="253" spans="2:2" x14ac:dyDescent="0.3">
      <c r="B253" s="142"/>
    </row>
    <row r="254" spans="2:2" x14ac:dyDescent="0.3">
      <c r="B254" s="142"/>
    </row>
    <row r="255" spans="2:2" x14ac:dyDescent="0.3">
      <c r="B255" s="142"/>
    </row>
    <row r="256" spans="2:2" x14ac:dyDescent="0.3">
      <c r="B256" s="142"/>
    </row>
    <row r="257" spans="2:2" x14ac:dyDescent="0.3">
      <c r="B257" s="142"/>
    </row>
  </sheetData>
  <mergeCells count="3">
    <mergeCell ref="B101:C101"/>
    <mergeCell ref="F102:G102"/>
    <mergeCell ref="A113:F117"/>
  </mergeCells>
  <pageMargins left="0.75" right="0.75" top="1" bottom="1" header="0" footer="0"/>
  <pageSetup paperSize="9" firstPageNumber="0" fitToWidth="0"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indexed="41"/>
    <pageSetUpPr fitToPage="1"/>
  </sheetPr>
  <dimension ref="A1:X97"/>
  <sheetViews>
    <sheetView showGridLines="0" showRowColHeaders="0" zoomScale="90" zoomScaleNormal="90" workbookViewId="0">
      <selection activeCell="H34" sqref="H34:H36"/>
    </sheetView>
  </sheetViews>
  <sheetFormatPr defaultColWidth="9.1328125" defaultRowHeight="12.75" x14ac:dyDescent="0.35"/>
  <cols>
    <col min="1" max="1" width="3" style="97" customWidth="1"/>
    <col min="2" max="3" width="39.265625" style="97" customWidth="1"/>
    <col min="4" max="4" width="7.59765625" style="97" customWidth="1"/>
    <col min="5" max="5" width="23.1328125" style="97" customWidth="1"/>
    <col min="6" max="6" width="10" style="97" customWidth="1"/>
    <col min="7" max="7" width="23.1328125" style="97" customWidth="1"/>
    <col min="8" max="8" width="29.3984375" style="97" customWidth="1"/>
    <col min="9" max="9" width="6.59765625" style="218" customWidth="1"/>
    <col min="10" max="11" width="25.59765625" style="218" hidden="1" customWidth="1"/>
    <col min="12" max="12" width="11.3984375" style="218" hidden="1" customWidth="1"/>
    <col min="13" max="13" width="9.59765625" style="218" hidden="1" customWidth="1"/>
    <col min="14" max="14" width="25.3984375" style="218" hidden="1" customWidth="1"/>
    <col min="15" max="15" width="16.265625" style="218" hidden="1" customWidth="1"/>
    <col min="16" max="16" width="19.265625" style="218" hidden="1" customWidth="1"/>
    <col min="17" max="17" width="27.59765625" style="218" hidden="1" customWidth="1"/>
    <col min="18" max="18" width="28.86328125" style="218" customWidth="1"/>
    <col min="19" max="19" width="23.73046875" style="98" customWidth="1"/>
    <col min="20" max="24" width="9.1328125" style="98"/>
    <col min="25" max="16384" width="9.1328125" style="99"/>
  </cols>
  <sheetData>
    <row r="1" spans="1:19" ht="9" customHeight="1" thickBot="1" x14ac:dyDescent="0.4"/>
    <row r="2" spans="1:19" ht="21" thickBot="1" x14ac:dyDescent="0.65">
      <c r="A2" s="100"/>
      <c r="B2" s="101" t="s">
        <v>70</v>
      </c>
      <c r="C2" s="100"/>
      <c r="D2" s="102"/>
      <c r="E2" s="100"/>
      <c r="F2" s="100"/>
      <c r="G2" s="103" t="s">
        <v>18</v>
      </c>
    </row>
    <row r="3" spans="1:19" ht="13.15" thickBot="1" x14ac:dyDescent="0.4">
      <c r="A3" s="100"/>
      <c r="B3" s="100"/>
      <c r="C3" s="100"/>
      <c r="D3" s="100"/>
      <c r="E3" s="100"/>
      <c r="F3" s="100"/>
      <c r="G3" s="104" t="s">
        <v>16</v>
      </c>
      <c r="J3" s="241" t="s">
        <v>71</v>
      </c>
      <c r="K3" s="242" t="s">
        <v>71</v>
      </c>
      <c r="L3" s="99"/>
      <c r="M3" s="99"/>
      <c r="N3" s="99"/>
      <c r="O3" s="99"/>
      <c r="P3" s="99"/>
      <c r="Q3" s="99"/>
    </row>
    <row r="4" spans="1:19" ht="15.4" thickBot="1" x14ac:dyDescent="0.45">
      <c r="A4" s="100"/>
      <c r="B4" s="105" t="s">
        <v>72</v>
      </c>
      <c r="C4" s="100"/>
      <c r="D4" s="100"/>
      <c r="E4" s="100"/>
      <c r="F4" s="100"/>
      <c r="G4" s="106" t="s">
        <v>15</v>
      </c>
      <c r="J4" s="243" t="s">
        <v>32</v>
      </c>
      <c r="K4" s="243" t="s">
        <v>32</v>
      </c>
      <c r="L4" s="243"/>
      <c r="M4" s="99"/>
      <c r="N4" s="99"/>
      <c r="O4" s="99"/>
      <c r="P4" s="99"/>
      <c r="Q4" s="99"/>
    </row>
    <row r="5" spans="1:19" ht="15.4" thickBot="1" x14ac:dyDescent="0.45">
      <c r="A5" s="100"/>
      <c r="B5" s="105" t="s">
        <v>137</v>
      </c>
      <c r="C5" s="100"/>
      <c r="D5" s="100"/>
      <c r="E5" s="100"/>
      <c r="F5" s="100"/>
      <c r="G5" s="107" t="s">
        <v>17</v>
      </c>
      <c r="J5" s="243" t="s">
        <v>33</v>
      </c>
      <c r="K5" s="243" t="s">
        <v>33</v>
      </c>
      <c r="L5" s="243"/>
      <c r="M5" s="99"/>
      <c r="N5" s="99"/>
      <c r="O5" s="99"/>
      <c r="P5" s="99"/>
      <c r="Q5" s="99"/>
    </row>
    <row r="6" spans="1:19" ht="21.75" customHeight="1" thickBot="1" x14ac:dyDescent="0.4">
      <c r="A6" s="100"/>
      <c r="B6" s="100"/>
      <c r="C6" s="100"/>
      <c r="D6" s="100"/>
      <c r="E6" s="100"/>
      <c r="F6" s="100"/>
      <c r="G6" s="100"/>
      <c r="J6" s="243" t="s">
        <v>34</v>
      </c>
      <c r="K6" s="243" t="s">
        <v>34</v>
      </c>
      <c r="L6" s="243"/>
      <c r="M6" s="99"/>
      <c r="N6" s="99"/>
      <c r="O6" s="99"/>
      <c r="P6" s="99"/>
      <c r="Q6" s="99"/>
    </row>
    <row r="7" spans="1:19" ht="24.75" customHeight="1" thickBot="1" x14ac:dyDescent="0.4">
      <c r="A7" s="100"/>
      <c r="B7" s="266" t="s">
        <v>14</v>
      </c>
      <c r="C7" s="267"/>
      <c r="D7" s="108"/>
      <c r="E7" s="268" t="s">
        <v>73</v>
      </c>
      <c r="F7" s="269"/>
      <c r="G7" s="269"/>
      <c r="H7" s="109"/>
      <c r="J7" s="243" t="s">
        <v>36</v>
      </c>
      <c r="K7" s="243" t="s">
        <v>36</v>
      </c>
      <c r="L7" s="243"/>
      <c r="M7" s="99"/>
      <c r="N7" s="99"/>
      <c r="O7" s="99"/>
      <c r="P7" s="99"/>
      <c r="Q7" s="99"/>
    </row>
    <row r="8" spans="1:19" ht="13.5" customHeight="1" x14ac:dyDescent="0.35">
      <c r="A8" s="100"/>
      <c r="B8" s="108"/>
      <c r="C8" s="100"/>
      <c r="D8" s="100"/>
      <c r="E8" s="100"/>
      <c r="F8" s="100"/>
      <c r="G8" s="100"/>
      <c r="J8" s="243" t="s">
        <v>35</v>
      </c>
      <c r="K8" s="243" t="s">
        <v>35</v>
      </c>
      <c r="L8" s="243"/>
      <c r="M8" s="99"/>
      <c r="N8" s="99"/>
      <c r="O8" s="99"/>
      <c r="P8" s="99"/>
      <c r="Q8" s="99"/>
    </row>
    <row r="9" spans="1:19" ht="27" customHeight="1" x14ac:dyDescent="0.35">
      <c r="A9" s="100"/>
      <c r="B9" s="100"/>
      <c r="C9" s="100"/>
      <c r="D9" s="110"/>
      <c r="E9" s="183" t="s">
        <v>133</v>
      </c>
      <c r="F9" s="112"/>
      <c r="G9" s="111" t="s">
        <v>74</v>
      </c>
      <c r="H9" s="113"/>
      <c r="J9" s="243" t="s">
        <v>37</v>
      </c>
      <c r="K9" s="243" t="s">
        <v>37</v>
      </c>
      <c r="L9" s="243"/>
      <c r="M9" s="99"/>
      <c r="N9" s="99"/>
      <c r="O9" s="99"/>
      <c r="P9" s="99"/>
      <c r="Q9" s="99"/>
    </row>
    <row r="10" spans="1:19" ht="13.5" thickBot="1" x14ac:dyDescent="0.4">
      <c r="A10" s="100"/>
      <c r="B10" s="114"/>
      <c r="C10" s="100"/>
      <c r="D10" s="115"/>
      <c r="E10" s="116"/>
      <c r="J10" s="243" t="s">
        <v>38</v>
      </c>
      <c r="K10" s="243" t="s">
        <v>38</v>
      </c>
      <c r="L10" s="243"/>
      <c r="M10" s="99"/>
      <c r="N10" s="99"/>
      <c r="O10" s="99"/>
      <c r="P10" s="99"/>
      <c r="Q10" s="99"/>
    </row>
    <row r="11" spans="1:19" ht="67.5" customHeight="1" thickBot="1" x14ac:dyDescent="0.4">
      <c r="A11" s="100"/>
      <c r="B11" s="270" t="s">
        <v>153</v>
      </c>
      <c r="C11" s="271"/>
      <c r="D11" s="117"/>
      <c r="E11" s="43" t="s">
        <v>71</v>
      </c>
      <c r="G11" s="43" t="s">
        <v>71</v>
      </c>
      <c r="J11" s="244" t="str">
        <f>'new drop down lookup'!E10</f>
        <v>12 - Fine grade = 3</v>
      </c>
      <c r="K11" s="244" t="str">
        <f>'new drop down lookup'!L10</f>
        <v>15 - Fine grade = 2.8929</v>
      </c>
      <c r="L11" s="244"/>
      <c r="M11" s="99"/>
      <c r="N11" s="242" t="s">
        <v>71</v>
      </c>
      <c r="O11" s="99" t="s">
        <v>75</v>
      </c>
      <c r="P11" s="99" t="s">
        <v>76</v>
      </c>
      <c r="Q11" s="99">
        <v>2</v>
      </c>
    </row>
    <row r="12" spans="1:19" ht="42.75" customHeight="1" thickBot="1" x14ac:dyDescent="0.4">
      <c r="A12" s="100"/>
      <c r="B12" s="114"/>
      <c r="C12" s="100"/>
      <c r="D12" s="115"/>
      <c r="E12" s="118"/>
      <c r="F12" s="100"/>
      <c r="G12" s="100"/>
      <c r="J12" s="244" t="str">
        <f>'new drop down lookup'!E11</f>
        <v>13 - Fine grade = 3.1429</v>
      </c>
      <c r="K12" s="244" t="str">
        <f>'new drop down lookup'!L11</f>
        <v>16 - Fine grade = 2.9286</v>
      </c>
      <c r="L12" s="244"/>
      <c r="M12" s="99"/>
      <c r="N12" s="244" t="s">
        <v>39</v>
      </c>
      <c r="O12" s="244" t="s">
        <v>9</v>
      </c>
      <c r="P12" s="244" t="s">
        <v>9</v>
      </c>
      <c r="Q12" s="244" t="s">
        <v>9</v>
      </c>
      <c r="R12" s="219"/>
      <c r="S12" s="179"/>
    </row>
    <row r="13" spans="1:19" ht="15" customHeight="1" x14ac:dyDescent="0.35">
      <c r="A13" s="100"/>
      <c r="B13" s="272" t="s">
        <v>64</v>
      </c>
      <c r="C13" s="271"/>
      <c r="D13" s="115"/>
      <c r="E13" s="119" t="str">
        <f>IF(E11=J3,"-",IF(ISNUMBER((VLOOKUP($E$11,'new drop down lookup'!$E$3:$F$49,2,FALSE))),(VLOOKUP($E$11,'new drop down lookup'!$E$3:$F$49,2,FALSE)),VLOOKUP($E$11,'new drop down lookup'!$E$3:$F$49,2,FALSE)))</f>
        <v>-</v>
      </c>
      <c r="F13" s="100"/>
      <c r="G13" s="119" t="str">
        <f>IF(G11=K3,"-",IF(ISNUMBER((VLOOKUP($G$11,'new drop down lookup'!$L$3:$M$95,2,FALSE))),(VLOOKUP($G$11,'new drop down lookup'!$L$3:$M$95,2,FALSE)),VLOOKUP($G$11,'new drop down lookup'!$L$3:$M$95,2,FALSE)))</f>
        <v>-</v>
      </c>
      <c r="J13" s="244" t="str">
        <f>'new drop down lookup'!E12</f>
        <v>14 - Fine grade = 3.2857</v>
      </c>
      <c r="K13" s="244" t="str">
        <f>'new drop down lookup'!L12</f>
        <v>17 - Fine grade = 2.9643</v>
      </c>
      <c r="L13" s="244"/>
      <c r="M13" s="99"/>
      <c r="N13" s="244" t="s">
        <v>77</v>
      </c>
      <c r="O13" s="244">
        <v>0.5</v>
      </c>
      <c r="P13" s="244">
        <v>0.5</v>
      </c>
      <c r="Q13" s="244">
        <v>0.5</v>
      </c>
      <c r="R13" s="219"/>
      <c r="S13" s="179"/>
    </row>
    <row r="14" spans="1:19" ht="15" customHeight="1" thickBot="1" x14ac:dyDescent="0.4">
      <c r="A14" s="100"/>
      <c r="B14" s="120" t="s">
        <v>142</v>
      </c>
      <c r="C14" s="121"/>
      <c r="D14" s="115"/>
      <c r="E14" s="122" t="str">
        <f>IF(E11=J3,"-",IF(VLOOKUP($E$11,'new drop down lookup'!$E$3:$G$49,3,FALSE)="-","-"," TEST LEVEL "&amp;VLOOKUP($E$11,'new drop down lookup'!$E$3:$G$49,3,FALSE)))</f>
        <v>-</v>
      </c>
      <c r="F14" s="100"/>
      <c r="G14" s="122" t="str">
        <f>IF(G11=K3,"-",IF(VLOOKUP($G$11,'new drop down lookup'!$L$3:$N$95,3,FALSE)="-","-"," TEST LEVEL "&amp;VLOOKUP($G$11,'new drop down lookup'!$L$3:$N$95,3,FALSE)))</f>
        <v>-</v>
      </c>
      <c r="J14" s="244" t="str">
        <f>'new drop down lookup'!E13</f>
        <v>15 - Fine grade = 3.4286</v>
      </c>
      <c r="K14" s="244" t="str">
        <f>'new drop down lookup'!L13</f>
        <v>18 - Fine grade = 3</v>
      </c>
      <c r="L14" s="244"/>
      <c r="M14" s="99"/>
      <c r="N14" s="244" t="s">
        <v>1</v>
      </c>
      <c r="O14" s="244">
        <v>1.5</v>
      </c>
      <c r="P14" s="244">
        <v>1.5</v>
      </c>
      <c r="Q14" s="244">
        <v>1.5</v>
      </c>
      <c r="R14" s="219"/>
      <c r="S14" s="179"/>
    </row>
    <row r="15" spans="1:19" ht="12.75" customHeight="1" x14ac:dyDescent="0.35">
      <c r="A15" s="100"/>
      <c r="B15" s="114"/>
      <c r="C15" s="100"/>
      <c r="D15" s="115"/>
      <c r="E15" s="100"/>
      <c r="F15" s="100"/>
      <c r="G15" s="100"/>
      <c r="J15" s="244" t="str">
        <f>'new drop down lookup'!E14</f>
        <v>16 - Fine grade = 3.5714</v>
      </c>
      <c r="K15" s="244" t="str">
        <f>'new drop down lookup'!L14</f>
        <v>19 - Fine grade = 3.0357</v>
      </c>
      <c r="L15" s="244"/>
      <c r="M15" s="99"/>
      <c r="N15" s="244" t="s">
        <v>2</v>
      </c>
      <c r="O15" s="244">
        <v>2.5</v>
      </c>
      <c r="P15" s="244">
        <v>2.5</v>
      </c>
      <c r="Q15" s="244">
        <v>2.5</v>
      </c>
      <c r="R15" s="219"/>
      <c r="S15" s="179"/>
    </row>
    <row r="16" spans="1:19" ht="38.65" x14ac:dyDescent="0.35">
      <c r="A16" s="100"/>
      <c r="B16" s="100"/>
      <c r="C16" s="100"/>
      <c r="D16" s="115"/>
      <c r="E16" s="183" t="s">
        <v>134</v>
      </c>
      <c r="F16" s="100"/>
      <c r="G16" s="123" t="s">
        <v>78</v>
      </c>
      <c r="J16" s="244" t="str">
        <f>'new drop down lookup'!E15</f>
        <v>17 - Fine grade = 3.7143</v>
      </c>
      <c r="K16" s="244" t="str">
        <f>'new drop down lookup'!L15</f>
        <v>20 - Fine grade = 3.0714</v>
      </c>
      <c r="L16" s="244"/>
      <c r="M16" s="99"/>
      <c r="N16" s="244" t="s">
        <v>3</v>
      </c>
      <c r="O16" s="244">
        <v>3.5</v>
      </c>
      <c r="P16" s="244">
        <v>2.5</v>
      </c>
      <c r="Q16" s="245" t="s">
        <v>28</v>
      </c>
      <c r="R16" s="220"/>
    </row>
    <row r="17" spans="1:18" ht="12.75" customHeight="1" thickBot="1" x14ac:dyDescent="0.4">
      <c r="A17" s="100"/>
      <c r="B17" s="108"/>
      <c r="C17" s="100"/>
      <c r="D17" s="100"/>
      <c r="J17" s="244" t="str">
        <f>'new drop down lookup'!E16</f>
        <v>18 - Fine grade = 3.8571</v>
      </c>
      <c r="K17" s="244" t="str">
        <f>'new drop down lookup'!L16</f>
        <v>21 - Fine grade = 3.1071</v>
      </c>
      <c r="L17" s="244"/>
      <c r="M17" s="99"/>
      <c r="N17" s="244" t="s">
        <v>4</v>
      </c>
      <c r="O17" s="244">
        <v>4.5</v>
      </c>
      <c r="P17" s="244">
        <v>2.5</v>
      </c>
      <c r="Q17" s="245" t="s">
        <v>28</v>
      </c>
      <c r="R17" s="220"/>
    </row>
    <row r="18" spans="1:18" ht="29.25" customHeight="1" thickBot="1" x14ac:dyDescent="0.5">
      <c r="A18" s="100"/>
      <c r="B18" s="270" t="s">
        <v>79</v>
      </c>
      <c r="C18" s="273"/>
      <c r="D18" s="100"/>
      <c r="E18" s="44" t="s">
        <v>71</v>
      </c>
      <c r="G18" s="43" t="s">
        <v>71</v>
      </c>
      <c r="J18" s="244" t="str">
        <f>'new drop down lookup'!E17</f>
        <v>19 - Fine grade = 4</v>
      </c>
      <c r="K18" s="244" t="str">
        <f>'new drop down lookup'!L17</f>
        <v>22 - Fine grade = 3.1429</v>
      </c>
      <c r="L18" s="244"/>
      <c r="M18" s="99"/>
      <c r="N18" s="244" t="s">
        <v>5</v>
      </c>
      <c r="O18" s="244">
        <v>5.5</v>
      </c>
      <c r="P18" s="244">
        <v>2.5</v>
      </c>
      <c r="Q18" s="245" t="s">
        <v>28</v>
      </c>
      <c r="R18" s="220"/>
    </row>
    <row r="19" spans="1:18" ht="43.5" customHeight="1" thickBot="1" x14ac:dyDescent="0.4">
      <c r="A19" s="100"/>
      <c r="B19" s="124" t="s">
        <v>80</v>
      </c>
      <c r="C19" s="114"/>
      <c r="D19" s="115"/>
      <c r="E19" s="116"/>
      <c r="J19" s="244" t="str">
        <f>'new drop down lookup'!E18</f>
        <v>20 - Fine grade = 4.0769</v>
      </c>
      <c r="K19" s="244" t="str">
        <f>'new drop down lookup'!L18</f>
        <v>23 - Fine grade = 3.1786</v>
      </c>
      <c r="L19" s="244"/>
      <c r="M19" s="99"/>
      <c r="N19" s="244" t="s">
        <v>6</v>
      </c>
      <c r="O19" s="244">
        <v>5.5</v>
      </c>
      <c r="P19" s="244">
        <v>2.5</v>
      </c>
      <c r="Q19" s="245" t="s">
        <v>28</v>
      </c>
      <c r="R19" s="220"/>
    </row>
    <row r="20" spans="1:18" ht="27" customHeight="1" thickBot="1" x14ac:dyDescent="0.4">
      <c r="A20" s="100"/>
      <c r="B20" s="272" t="s">
        <v>143</v>
      </c>
      <c r="C20" s="271"/>
      <c r="D20" s="115"/>
      <c r="E20" s="125" t="str">
        <f>IF(E18=N11,"-",IF(OR($E$11="B - Working below level of test",$E$11="N - Not awarded test level"),VLOOKUP($E$18,$N$12:$P$19,3,FALSE),IF(VLOOKUP($E$11,'new drop down lookup'!$E$3:$G$49,3,FALSE)=2,VLOOKUP($E$18,$N$12:$Q$19,4,FALSE),VLOOKUP($E$18,$N$12:$O$19,2,FALSE))))</f>
        <v>-</v>
      </c>
      <c r="G20" s="125" t="str">
        <f>IF(G18=N11,"-",IF(OR($G$11="B - Working below level of test",$G$11="N - Not awarded test level"),VLOOKUP($G$18,$N$12:$P$19,3,FALSE),IF(VLOOKUP($G$11,'new drop down lookup'!$L$3:$N$95,3,FALSE)=2,VLOOKUP($G$18,$N$12:$Q$19,4,FALSE),VLOOKUP($G$18,$N$12:$O$19,2,FALSE))))</f>
        <v>-</v>
      </c>
      <c r="J20" s="244" t="str">
        <f>'new drop down lookup'!E19</f>
        <v>21 - Fine grade = 4.1538</v>
      </c>
      <c r="K20" s="244" t="str">
        <f>'new drop down lookup'!L19</f>
        <v>24 - Fine grade = 3.2143</v>
      </c>
      <c r="L20" s="244"/>
      <c r="M20" s="99"/>
      <c r="N20" s="99"/>
      <c r="O20" s="99"/>
      <c r="P20" s="99"/>
      <c r="Q20" s="99"/>
      <c r="R20" s="220"/>
    </row>
    <row r="21" spans="1:18" ht="26.25" customHeight="1" x14ac:dyDescent="0.35">
      <c r="A21" s="100"/>
      <c r="B21" s="100"/>
      <c r="C21" s="114"/>
      <c r="D21" s="115"/>
      <c r="E21" s="126" t="str">
        <f>IF(AND(OR(E11="B - Working below level of test",E11="N - Not awarded test level"),OR(E18="LEVEL 3",E18="LEVEL 4",E18="LEVEL 5",E18="LEVEL 6")),"CAPPED TO 2.5 POINTS","")</f>
        <v/>
      </c>
      <c r="F21" s="100"/>
      <c r="G21" s="126" t="str">
        <f>IF(AND(OR(G11="B - Working below level of test",G11="N - Not awarded test level"),OR(G18="LEVEL 3",G18="LEVEL 4",G18="LEVEL 5",G18="LEVEL 6")),"CAPPED TO 2.5 POINTS","")</f>
        <v/>
      </c>
      <c r="J21" s="244" t="str">
        <f>'new drop down lookup'!E20</f>
        <v>22 - Fine grade = 4.2308</v>
      </c>
      <c r="K21" s="244" t="str">
        <f>'new drop down lookup'!L20</f>
        <v>25 - Fine grade = 3.25</v>
      </c>
      <c r="L21" s="244"/>
      <c r="M21" s="99"/>
      <c r="N21" s="99"/>
      <c r="O21" s="99"/>
      <c r="P21" s="99"/>
      <c r="Q21" s="99"/>
    </row>
    <row r="22" spans="1:18" ht="2.25" customHeight="1" x14ac:dyDescent="0.35">
      <c r="A22" s="100"/>
      <c r="B22" s="100"/>
      <c r="C22" s="114"/>
      <c r="D22" s="115"/>
      <c r="E22" s="118"/>
      <c r="F22" s="100"/>
      <c r="G22" s="100"/>
      <c r="J22" s="244" t="str">
        <f>'new drop down lookup'!E21</f>
        <v>23 - Fine grade = 4.3077</v>
      </c>
      <c r="K22" s="244" t="str">
        <f>'new drop down lookup'!L21</f>
        <v>26 - Fine grade = 3.2857</v>
      </c>
      <c r="L22" s="244"/>
      <c r="M22" s="99"/>
      <c r="N22" s="99"/>
      <c r="O22" s="99"/>
      <c r="P22" s="99"/>
      <c r="Q22" s="99"/>
    </row>
    <row r="23" spans="1:18" ht="2.25" customHeight="1" x14ac:dyDescent="0.35">
      <c r="A23" s="100"/>
      <c r="B23" s="100"/>
      <c r="C23" s="114"/>
      <c r="D23" s="115"/>
      <c r="E23" s="100"/>
      <c r="F23" s="100"/>
      <c r="G23" s="100"/>
      <c r="J23" s="244" t="str">
        <f>'new drop down lookup'!E22</f>
        <v>24 - Fine grade = 4.3846</v>
      </c>
      <c r="K23" s="244" t="str">
        <f>'new drop down lookup'!L22</f>
        <v>27 - Fine grade = 3.3214</v>
      </c>
      <c r="L23" s="244"/>
      <c r="M23" s="99"/>
      <c r="N23" s="99"/>
      <c r="O23" s="99"/>
      <c r="P23" s="99"/>
      <c r="Q23" s="99"/>
    </row>
    <row r="24" spans="1:18" ht="38.65" x14ac:dyDescent="0.35">
      <c r="A24" s="100"/>
      <c r="B24" s="100"/>
      <c r="C24" s="114"/>
      <c r="D24" s="115"/>
      <c r="E24" s="183" t="s">
        <v>135</v>
      </c>
      <c r="F24" s="100"/>
      <c r="G24" s="123" t="s">
        <v>81</v>
      </c>
      <c r="J24" s="244" t="str">
        <f>'new drop down lookup'!E23</f>
        <v>25 - Fine grade = 4.4615</v>
      </c>
      <c r="K24" s="244" t="str">
        <f>'new drop down lookup'!L23</f>
        <v>28 - Fine grade = 3.3571</v>
      </c>
      <c r="L24" s="244"/>
      <c r="M24" s="99"/>
      <c r="N24" s="99"/>
      <c r="O24" s="99"/>
      <c r="P24" s="99"/>
      <c r="Q24" s="99"/>
    </row>
    <row r="25" spans="1:18" ht="10.5" customHeight="1" thickBot="1" x14ac:dyDescent="0.4">
      <c r="A25" s="100"/>
      <c r="B25" s="100"/>
      <c r="C25" s="114"/>
      <c r="D25" s="115"/>
      <c r="E25" s="100"/>
      <c r="F25" s="100"/>
      <c r="G25" s="100"/>
      <c r="J25" s="244" t="str">
        <f>'new drop down lookup'!E24</f>
        <v>26 - Fine grade = 4.5385</v>
      </c>
      <c r="K25" s="244" t="str">
        <f>'new drop down lookup'!L24</f>
        <v>29 - Fine grade = 3.3929</v>
      </c>
      <c r="L25" s="244"/>
      <c r="M25" s="99"/>
      <c r="N25" s="99"/>
      <c r="O25" s="99"/>
      <c r="P25" s="99"/>
      <c r="Q25" s="99"/>
    </row>
    <row r="26" spans="1:18" ht="26.25" customHeight="1" thickBot="1" x14ac:dyDescent="0.4">
      <c r="A26" s="100"/>
      <c r="B26" s="272" t="s">
        <v>82</v>
      </c>
      <c r="C26" s="271"/>
      <c r="D26" s="127"/>
      <c r="E26" s="125" t="str">
        <f>IF(ISNUMBER(IF(OR(AND(ISNUMBER($E$13),VLOOKUP($E$11,'new drop down lookup'!$E$3:$G$49,3,FALSE)&lt;&gt;2),$E$20=$Q$16),$E$13,$E$20)),IF(OR(AND(ISNUMBER($E$13),VLOOKUP($E$11,'new drop down lookup'!$E$3:$G$49,3,FALSE)&lt;&gt;2),$E$20=$Q$16),$E$13,$E$20),"-")</f>
        <v>-</v>
      </c>
      <c r="F26" s="100"/>
      <c r="G26" s="125" t="str">
        <f>IF(ISNUMBER(IF(OR(AND(ISNUMBER($G$13),VLOOKUP($G$11,'new drop down lookup'!$L$3:$N$95,3,FALSE)&lt;&gt;2),$G$20=$Q$16),$G$13,$G$20)),IF(OR(AND(ISNUMBER($G$13),VLOOKUP($G$11,'new drop down lookup'!$L$3:$N$95,3,FALSE)&lt;&gt;2),$G$20=$Q$16),$G$13,$G$20),"-")</f>
        <v>-</v>
      </c>
      <c r="J26" s="244" t="str">
        <f>'new drop down lookup'!E25</f>
        <v>27 - Fine grade = 4.6154</v>
      </c>
      <c r="K26" s="244" t="str">
        <f>'new drop down lookup'!L25</f>
        <v>30 - Fine grade = 3.4286</v>
      </c>
      <c r="L26" s="244"/>
      <c r="M26" s="99"/>
      <c r="N26" s="99"/>
      <c r="O26" s="99"/>
      <c r="P26" s="99"/>
      <c r="Q26" s="99"/>
    </row>
    <row r="27" spans="1:18" x14ac:dyDescent="0.35">
      <c r="A27" s="100"/>
      <c r="B27" s="100"/>
      <c r="C27" s="114"/>
      <c r="D27" s="115"/>
      <c r="E27" s="100"/>
      <c r="F27" s="100"/>
      <c r="G27" s="100"/>
      <c r="J27" s="244" t="str">
        <f>'new drop down lookup'!E26</f>
        <v>28 - Fine grade = 4.6923</v>
      </c>
      <c r="K27" s="244" t="str">
        <f>'new drop down lookup'!L26</f>
        <v>31 - Fine grade = 3.4643</v>
      </c>
      <c r="L27" s="244"/>
      <c r="M27" s="99"/>
      <c r="N27" s="99"/>
      <c r="O27" s="99"/>
      <c r="P27" s="99"/>
      <c r="Q27" s="99"/>
    </row>
    <row r="28" spans="1:18" x14ac:dyDescent="0.35">
      <c r="A28" s="100"/>
      <c r="B28" s="100"/>
      <c r="C28" s="108"/>
      <c r="D28" s="100"/>
      <c r="E28" s="100"/>
      <c r="F28" s="100"/>
      <c r="G28" s="100"/>
      <c r="J28" s="244" t="str">
        <f>'new drop down lookup'!E27</f>
        <v>29 - Fine grade = 4.7692</v>
      </c>
      <c r="K28" s="244" t="str">
        <f>'new drop down lookup'!L27</f>
        <v>32 - Fine grade = 3.5</v>
      </c>
      <c r="L28" s="244"/>
      <c r="M28" s="99"/>
      <c r="N28" s="99"/>
      <c r="O28" s="99"/>
      <c r="P28" s="99"/>
      <c r="Q28" s="99"/>
    </row>
    <row r="29" spans="1:18" ht="6.75" customHeight="1" thickBot="1" x14ac:dyDescent="0.4">
      <c r="A29" s="100"/>
      <c r="B29" s="100"/>
      <c r="C29" s="108"/>
      <c r="D29" s="100"/>
      <c r="E29" s="100"/>
      <c r="F29" s="100"/>
      <c r="G29" s="100"/>
      <c r="J29" s="244" t="str">
        <f>'new drop down lookup'!E28</f>
        <v>30 - Fine grade = 4.8462</v>
      </c>
      <c r="K29" s="244" t="str">
        <f>'new drop down lookup'!L28</f>
        <v>33 - Fine grade = 3.5357</v>
      </c>
      <c r="L29" s="244"/>
      <c r="M29" s="99"/>
      <c r="N29" s="99"/>
      <c r="O29" s="99"/>
      <c r="P29" s="99"/>
      <c r="Q29" s="99"/>
    </row>
    <row r="30" spans="1:18" ht="27" customHeight="1" x14ac:dyDescent="0.35">
      <c r="A30" s="100"/>
      <c r="B30" s="100"/>
      <c r="C30" s="100"/>
      <c r="D30" s="100"/>
      <c r="E30" s="100"/>
      <c r="F30" s="100"/>
      <c r="G30" s="100"/>
      <c r="H30" s="275" t="s">
        <v>106</v>
      </c>
      <c r="J30" s="244" t="str">
        <f>'new drop down lookup'!E29</f>
        <v>31 - Fine grade = 4.9231</v>
      </c>
      <c r="K30" s="244" t="str">
        <f>'new drop down lookup'!L29</f>
        <v>34 - Fine grade = 3.5714</v>
      </c>
      <c r="L30" s="244"/>
      <c r="M30" s="99"/>
      <c r="N30" s="99"/>
      <c r="O30" s="99"/>
      <c r="P30" s="99"/>
      <c r="Q30" s="99"/>
    </row>
    <row r="31" spans="1:18" ht="10.5" customHeight="1" thickBot="1" x14ac:dyDescent="0.4">
      <c r="A31" s="100"/>
      <c r="B31" s="100"/>
      <c r="C31" s="100"/>
      <c r="D31" s="114"/>
      <c r="E31" s="123"/>
      <c r="F31" s="123"/>
      <c r="G31" s="123"/>
      <c r="H31" s="276"/>
      <c r="J31" s="244" t="str">
        <f>'new drop down lookup'!E30</f>
        <v>32 - Fine grade = 5</v>
      </c>
      <c r="K31" s="244" t="str">
        <f>'new drop down lookup'!L30</f>
        <v>35 - Fine grade = 3.6071</v>
      </c>
      <c r="L31" s="244"/>
      <c r="M31" s="99"/>
      <c r="N31" s="99"/>
      <c r="O31" s="99"/>
      <c r="P31" s="99"/>
      <c r="Q31" s="99"/>
    </row>
    <row r="32" spans="1:18" ht="27.4" customHeight="1" thickBot="1" x14ac:dyDescent="0.4">
      <c r="A32" s="100"/>
      <c r="B32" s="272" t="s">
        <v>136</v>
      </c>
      <c r="C32" s="271"/>
      <c r="D32" s="114"/>
      <c r="E32" s="201" t="str">
        <f>IF(F32="-", "Pupil","")</f>
        <v>Pupil</v>
      </c>
      <c r="F32" s="198" t="str">
        <f>IF(ISNUMBER(AVERAGE(E26,G26)),AVERAGE(E26,G26),"-")</f>
        <v>-</v>
      </c>
      <c r="G32" s="201" t="str">
        <f>IF(F32="-", "Excluded","")</f>
        <v>Excluded</v>
      </c>
      <c r="H32" s="277"/>
      <c r="J32" s="244" t="str">
        <f>'new drop down lookup'!E31</f>
        <v>33 - Fine grade = 5.0526</v>
      </c>
      <c r="K32" s="244" t="str">
        <f>'new drop down lookup'!L31</f>
        <v>36 - Fine grade = 3.6429</v>
      </c>
      <c r="L32" s="244"/>
      <c r="M32" s="99"/>
      <c r="N32" s="99"/>
      <c r="O32" s="99"/>
      <c r="P32" s="99"/>
      <c r="Q32" s="99"/>
    </row>
    <row r="33" spans="1:17" ht="9" customHeight="1" thickBot="1" x14ac:dyDescent="0.4">
      <c r="A33" s="100"/>
      <c r="B33" s="100"/>
      <c r="C33" s="100"/>
      <c r="D33" s="100"/>
      <c r="E33" s="100"/>
      <c r="F33" s="100"/>
      <c r="G33" s="100"/>
      <c r="H33" s="128"/>
      <c r="J33" s="244" t="str">
        <f>'new drop down lookup'!E32</f>
        <v>34 - Fine grade = 5.1053</v>
      </c>
      <c r="K33" s="244" t="str">
        <f>'new drop down lookup'!L32</f>
        <v>37 - Fine grade = 3.6786</v>
      </c>
      <c r="L33" s="244"/>
      <c r="M33" s="99"/>
      <c r="N33" s="99"/>
      <c r="O33" s="99"/>
      <c r="P33" s="99"/>
      <c r="Q33" s="99"/>
    </row>
    <row r="34" spans="1:17" ht="18.399999999999999" customHeight="1" thickBot="1" x14ac:dyDescent="0.4">
      <c r="A34" s="100"/>
      <c r="B34" s="100"/>
      <c r="C34" s="100"/>
      <c r="D34" s="100"/>
      <c r="E34" s="100"/>
      <c r="F34" s="100"/>
      <c r="G34" s="100"/>
      <c r="H34" s="278" t="s">
        <v>117</v>
      </c>
      <c r="J34" s="244" t="str">
        <f>'new drop down lookup'!E33</f>
        <v>35 - Fine grade = 5.1579</v>
      </c>
      <c r="K34" s="244" t="str">
        <f>'new drop down lookup'!L33</f>
        <v>38 - Fine grade = 3.7143</v>
      </c>
      <c r="L34" s="244"/>
      <c r="M34" s="99"/>
      <c r="N34" s="99"/>
      <c r="O34" s="99"/>
      <c r="P34" s="99"/>
      <c r="Q34" s="99"/>
    </row>
    <row r="35" spans="1:17" ht="33.75" customHeight="1" thickBot="1" x14ac:dyDescent="0.4">
      <c r="A35" s="100"/>
      <c r="B35" s="272" t="s">
        <v>83</v>
      </c>
      <c r="C35" s="274"/>
      <c r="D35" s="130"/>
      <c r="E35" s="100"/>
      <c r="F35" s="129" t="str">
        <f>IF(ISNUMBER(IF(ROUND((F32),1)&lt;=1.5,1.5,IF(AND(1.5&lt;ROUND((F32),1),ROUND((F32),1)&lt;=2),2,IF(AND(2&lt;ROUND((F32),1),ROUND((F32),1)&lt;=2.5),2.5,IF(AND(2.5&lt;ROUND((F32),1),ROUND((F32),1)&lt;=2.8),2.8,IF(ROUND((F32),1)&gt;=5.8,5.8,ROUND((F32),1))))))),IF(ROUND((F32),1)&lt;=1.5,1.5,IF(AND(1.5&lt;ROUND((F32),1),ROUND((F32),1)&lt;=2),2,IF(AND(2&lt;ROUND((F32),1),ROUND((F32),1)&lt;=2.5),2.5,IF(AND(2.5&lt;ROUND((F32),1),ROUND((F32),1)&lt;=2.8),2.8,IF(ROUND((F32),1)&gt;=5.8,5.8,ROUND((F32),1)))))),"-")</f>
        <v>-</v>
      </c>
      <c r="G35" s="100"/>
      <c r="H35" s="279"/>
      <c r="J35" s="244" t="str">
        <f>'new drop down lookup'!E34</f>
        <v>36 - Fine grade = 5.2105</v>
      </c>
      <c r="K35" s="244" t="str">
        <f>'new drop down lookup'!L34</f>
        <v>39 - Fine grade = 3.75</v>
      </c>
      <c r="L35" s="244"/>
      <c r="M35" s="99"/>
      <c r="N35" s="99"/>
      <c r="O35" s="99"/>
      <c r="P35" s="99"/>
      <c r="Q35" s="99"/>
    </row>
    <row r="36" spans="1:17" ht="13.15" thickBot="1" x14ac:dyDescent="0.4">
      <c r="A36" s="100"/>
      <c r="H36" s="280"/>
      <c r="J36" s="244" t="str">
        <f>'new drop down lookup'!E35</f>
        <v>37 - Fine grade = 5.2632</v>
      </c>
      <c r="K36" s="244" t="str">
        <f>'new drop down lookup'!L35</f>
        <v>40 - Fine grade = 3.7857</v>
      </c>
      <c r="L36" s="244"/>
      <c r="M36" s="99"/>
      <c r="N36" s="99"/>
      <c r="O36" s="99"/>
      <c r="P36" s="99"/>
      <c r="Q36" s="99"/>
    </row>
    <row r="37" spans="1:17" ht="33" customHeight="1" x14ac:dyDescent="0.35">
      <c r="A37" s="100"/>
      <c r="H37" s="131"/>
      <c r="J37" s="244" t="str">
        <f>'new drop down lookup'!E36</f>
        <v>38 - Fine grade = 5.3158</v>
      </c>
      <c r="K37" s="244" t="str">
        <f>'new drop down lookup'!L36</f>
        <v>41 - Fine grade = 3.8214</v>
      </c>
      <c r="L37" s="244"/>
      <c r="M37" s="99"/>
      <c r="N37" s="99"/>
      <c r="O37" s="99"/>
      <c r="P37" s="99"/>
      <c r="Q37" s="99"/>
    </row>
    <row r="38" spans="1:17" x14ac:dyDescent="0.35">
      <c r="J38" s="244" t="str">
        <f>'new drop down lookup'!E37</f>
        <v>39 - Fine grade = 5.3684</v>
      </c>
      <c r="K38" s="244" t="str">
        <f>'new drop down lookup'!L37</f>
        <v>42 - Fine grade = 3.8571</v>
      </c>
      <c r="L38" s="244"/>
      <c r="M38" s="99"/>
      <c r="N38" s="99"/>
      <c r="O38" s="99"/>
      <c r="P38" s="99"/>
      <c r="Q38" s="99"/>
    </row>
    <row r="39" spans="1:17" x14ac:dyDescent="0.35">
      <c r="J39" s="244" t="str">
        <f>'new drop down lookup'!E38</f>
        <v>40 - Fine grade = 5.4211</v>
      </c>
      <c r="K39" s="244" t="str">
        <f>'new drop down lookup'!L38</f>
        <v>43 - Fine grade = 3.8929</v>
      </c>
      <c r="L39" s="244"/>
      <c r="M39" s="99"/>
      <c r="N39" s="99"/>
      <c r="O39" s="99"/>
      <c r="P39" s="99"/>
      <c r="Q39" s="99"/>
    </row>
    <row r="40" spans="1:17" x14ac:dyDescent="0.35">
      <c r="J40" s="244" t="str">
        <f>'new drop down lookup'!E39</f>
        <v>41 - Fine grade = 5.4737</v>
      </c>
      <c r="K40" s="244" t="str">
        <f>'new drop down lookup'!L39</f>
        <v>44 - Fine grade = 3.9286</v>
      </c>
      <c r="L40" s="244"/>
      <c r="M40" s="99"/>
      <c r="N40" s="99"/>
      <c r="O40" s="99"/>
      <c r="P40" s="99"/>
      <c r="Q40" s="99"/>
    </row>
    <row r="41" spans="1:17" x14ac:dyDescent="0.35">
      <c r="J41" s="244" t="str">
        <f>'new drop down lookup'!E40</f>
        <v>42 - Fine grade = 5.5263</v>
      </c>
      <c r="K41" s="244" t="str">
        <f>'new drop down lookup'!L40</f>
        <v>45 - Fine grade = 3.9643</v>
      </c>
      <c r="L41" s="244"/>
      <c r="M41" s="99"/>
      <c r="N41" s="99"/>
      <c r="O41" s="99"/>
      <c r="P41" s="99"/>
      <c r="Q41" s="99"/>
    </row>
    <row r="42" spans="1:17" x14ac:dyDescent="0.35">
      <c r="J42" s="244" t="str">
        <f>'new drop down lookup'!E41</f>
        <v>43 - Fine grade = 5.5789</v>
      </c>
      <c r="K42" s="244" t="str">
        <f>'new drop down lookup'!L41</f>
        <v>46 - Fine grade = 4</v>
      </c>
      <c r="L42" s="244"/>
      <c r="M42" s="99"/>
      <c r="N42" s="99"/>
      <c r="O42" s="99"/>
      <c r="P42" s="99"/>
      <c r="Q42" s="99"/>
    </row>
    <row r="43" spans="1:17" x14ac:dyDescent="0.35">
      <c r="J43" s="244" t="str">
        <f>'new drop down lookup'!E42</f>
        <v>44 - Fine grade = 5.6316</v>
      </c>
      <c r="K43" s="244" t="str">
        <f>'new drop down lookup'!L42</f>
        <v>47 - Fine grade = 4.0303</v>
      </c>
      <c r="L43" s="244"/>
      <c r="M43" s="99"/>
      <c r="N43" s="99"/>
      <c r="O43" s="99"/>
      <c r="P43" s="99"/>
      <c r="Q43" s="99"/>
    </row>
    <row r="44" spans="1:17" x14ac:dyDescent="0.35">
      <c r="J44" s="244" t="str">
        <f>'new drop down lookup'!E43</f>
        <v>45 - Fine grade = 5.6842</v>
      </c>
      <c r="K44" s="244" t="str">
        <f>'new drop down lookup'!L43</f>
        <v>48 - Fine grade = 4.0606</v>
      </c>
      <c r="L44" s="244"/>
      <c r="M44" s="99"/>
      <c r="N44" s="99"/>
      <c r="O44" s="99"/>
      <c r="P44" s="99"/>
      <c r="Q44" s="99"/>
    </row>
    <row r="45" spans="1:17" x14ac:dyDescent="0.35">
      <c r="J45" s="244" t="str">
        <f>'new drop down lookup'!E44</f>
        <v>46 - Fine grade = 5.7368</v>
      </c>
      <c r="K45" s="244" t="str">
        <f>'new drop down lookup'!L44</f>
        <v>49 - Fine grade = 4.0909</v>
      </c>
      <c r="L45" s="244"/>
      <c r="M45" s="99"/>
      <c r="N45" s="99"/>
      <c r="O45" s="99"/>
      <c r="P45" s="99"/>
      <c r="Q45" s="99"/>
    </row>
    <row r="46" spans="1:17" x14ac:dyDescent="0.35">
      <c r="J46" s="244" t="str">
        <f>'new drop down lookup'!E45</f>
        <v>47 - Fine grade = 5.7895</v>
      </c>
      <c r="K46" s="244" t="str">
        <f>'new drop down lookup'!L45</f>
        <v>50 - Fine grade = 4.1212</v>
      </c>
      <c r="L46" s="244"/>
      <c r="M46" s="99"/>
      <c r="N46" s="99"/>
      <c r="O46" s="99"/>
      <c r="P46" s="99"/>
      <c r="Q46" s="99"/>
    </row>
    <row r="47" spans="1:17" x14ac:dyDescent="0.35">
      <c r="J47" s="244" t="str">
        <f>'new drop down lookup'!E46</f>
        <v>48 - Fine grade = 5.8421</v>
      </c>
      <c r="K47" s="244" t="str">
        <f>'new drop down lookup'!L46</f>
        <v>51 - Fine grade = 4.1515</v>
      </c>
      <c r="L47" s="244"/>
      <c r="M47" s="99"/>
      <c r="N47" s="99"/>
      <c r="O47" s="99"/>
      <c r="P47" s="99"/>
      <c r="Q47" s="99"/>
    </row>
    <row r="48" spans="1:17" x14ac:dyDescent="0.35">
      <c r="J48" s="244" t="str">
        <f>'new drop down lookup'!E47</f>
        <v>49 - Fine grade = 5.8947</v>
      </c>
      <c r="K48" s="244" t="str">
        <f>'new drop down lookup'!L47</f>
        <v>52 - Fine grade = 4.1818</v>
      </c>
      <c r="L48" s="244"/>
      <c r="M48" s="99"/>
      <c r="N48" s="99"/>
      <c r="O48" s="99"/>
      <c r="P48" s="99"/>
      <c r="Q48" s="99"/>
    </row>
    <row r="49" spans="10:17" x14ac:dyDescent="0.35">
      <c r="J49" s="244" t="str">
        <f>'new drop down lookup'!E48</f>
        <v>50 - Fine grade = 5.9474</v>
      </c>
      <c r="K49" s="244" t="str">
        <f>'new drop down lookup'!L48</f>
        <v>53 - Fine grade = 4.2121</v>
      </c>
      <c r="L49" s="244"/>
      <c r="M49" s="99"/>
      <c r="N49" s="99"/>
      <c r="O49" s="99"/>
      <c r="P49" s="99"/>
      <c r="Q49" s="99"/>
    </row>
    <row r="50" spans="10:17" x14ac:dyDescent="0.35">
      <c r="J50" s="244">
        <f>'new drop down lookup'!E49</f>
        <v>0</v>
      </c>
      <c r="K50" s="244" t="str">
        <f>'new drop down lookup'!L49</f>
        <v>54 - Fine grade = 4.2424</v>
      </c>
      <c r="L50" s="244"/>
      <c r="M50" s="99"/>
      <c r="N50" s="99"/>
      <c r="O50" s="99"/>
      <c r="P50" s="99"/>
      <c r="Q50" s="99"/>
    </row>
    <row r="51" spans="10:17" x14ac:dyDescent="0.35">
      <c r="J51" s="244"/>
      <c r="K51" s="244" t="str">
        <f>'new drop down lookup'!L50</f>
        <v>55 - Fine grade = 4.2727</v>
      </c>
      <c r="L51" s="244"/>
      <c r="M51" s="99"/>
      <c r="N51" s="99"/>
      <c r="O51" s="99"/>
      <c r="P51" s="99"/>
      <c r="Q51" s="99"/>
    </row>
    <row r="52" spans="10:17" x14ac:dyDescent="0.35">
      <c r="J52" s="244"/>
      <c r="K52" s="244" t="str">
        <f>'new drop down lookup'!L51</f>
        <v>56 - Fine grade = 4.303</v>
      </c>
      <c r="L52" s="244"/>
      <c r="M52" s="99"/>
      <c r="N52" s="99"/>
      <c r="O52" s="99"/>
      <c r="P52" s="99"/>
      <c r="Q52" s="99"/>
    </row>
    <row r="53" spans="10:17" x14ac:dyDescent="0.35">
      <c r="J53" s="244"/>
      <c r="K53" s="244" t="str">
        <f>'new drop down lookup'!L52</f>
        <v>57 - Fine grade = 4.3333</v>
      </c>
      <c r="L53" s="244"/>
      <c r="M53" s="99"/>
      <c r="N53" s="99"/>
      <c r="O53" s="99"/>
      <c r="P53" s="99"/>
      <c r="Q53" s="99"/>
    </row>
    <row r="54" spans="10:17" x14ac:dyDescent="0.35">
      <c r="J54" s="244"/>
      <c r="K54" s="244" t="str">
        <f>'new drop down lookup'!L53</f>
        <v>58 - Fine grade = 4.3636</v>
      </c>
      <c r="L54" s="244"/>
      <c r="M54" s="99"/>
      <c r="N54" s="99"/>
      <c r="O54" s="99"/>
      <c r="P54" s="99"/>
      <c r="Q54" s="99"/>
    </row>
    <row r="55" spans="10:17" x14ac:dyDescent="0.35">
      <c r="J55" s="244"/>
      <c r="K55" s="244" t="str">
        <f>'new drop down lookup'!L54</f>
        <v>59 - Fine grade = 4.3939</v>
      </c>
      <c r="L55" s="244"/>
      <c r="M55" s="99"/>
      <c r="N55" s="99"/>
      <c r="O55" s="99"/>
      <c r="P55" s="99"/>
      <c r="Q55" s="99"/>
    </row>
    <row r="56" spans="10:17" x14ac:dyDescent="0.35">
      <c r="J56" s="244"/>
      <c r="K56" s="244" t="str">
        <f>'new drop down lookup'!L55</f>
        <v>60 - Fine grade = 4.4242</v>
      </c>
      <c r="L56" s="244"/>
      <c r="M56" s="99"/>
      <c r="N56" s="99"/>
      <c r="O56" s="99"/>
      <c r="P56" s="99"/>
      <c r="Q56" s="99"/>
    </row>
    <row r="57" spans="10:17" x14ac:dyDescent="0.35">
      <c r="J57" s="244"/>
      <c r="K57" s="244" t="str">
        <f>'new drop down lookup'!L56</f>
        <v>61 - Fine grade = 4.4545</v>
      </c>
      <c r="L57" s="244"/>
      <c r="M57" s="99"/>
      <c r="N57" s="99"/>
      <c r="O57" s="99"/>
      <c r="P57" s="99"/>
      <c r="Q57" s="99"/>
    </row>
    <row r="58" spans="10:17" x14ac:dyDescent="0.35">
      <c r="J58" s="244"/>
      <c r="K58" s="244" t="str">
        <f>'new drop down lookup'!L57</f>
        <v>62 - Fine grade = 4.4848</v>
      </c>
      <c r="L58" s="244"/>
      <c r="M58" s="99"/>
      <c r="N58" s="99"/>
      <c r="O58" s="99"/>
      <c r="P58" s="99"/>
      <c r="Q58" s="99"/>
    </row>
    <row r="59" spans="10:17" x14ac:dyDescent="0.35">
      <c r="J59" s="244"/>
      <c r="K59" s="244" t="str">
        <f>'new drop down lookup'!L58</f>
        <v>63 - Fine grade = 4.5152</v>
      </c>
      <c r="L59" s="244"/>
      <c r="M59" s="99"/>
      <c r="N59" s="99"/>
      <c r="O59" s="99"/>
      <c r="P59" s="99"/>
      <c r="Q59" s="99"/>
    </row>
    <row r="60" spans="10:17" x14ac:dyDescent="0.35">
      <c r="J60" s="244"/>
      <c r="K60" s="244" t="str">
        <f>'new drop down lookup'!L59</f>
        <v>64 - Fine grade = 4.5455</v>
      </c>
      <c r="L60" s="244"/>
      <c r="M60" s="99"/>
      <c r="N60" s="99"/>
      <c r="O60" s="99"/>
      <c r="P60" s="99"/>
      <c r="Q60" s="99"/>
    </row>
    <row r="61" spans="10:17" x14ac:dyDescent="0.35">
      <c r="J61" s="244"/>
      <c r="K61" s="244" t="str">
        <f>'new drop down lookup'!L60</f>
        <v>65 - Fine grade = 4.5758</v>
      </c>
      <c r="L61" s="244"/>
      <c r="M61" s="99"/>
      <c r="N61" s="99"/>
      <c r="O61" s="99"/>
      <c r="P61" s="99"/>
      <c r="Q61" s="99"/>
    </row>
    <row r="62" spans="10:17" x14ac:dyDescent="0.35">
      <c r="J62" s="244"/>
      <c r="K62" s="244" t="str">
        <f>'new drop down lookup'!L61</f>
        <v>66 - Fine grade = 4.6061</v>
      </c>
      <c r="L62" s="244"/>
      <c r="M62" s="99"/>
      <c r="N62" s="99"/>
      <c r="O62" s="99"/>
      <c r="P62" s="99"/>
      <c r="Q62" s="99"/>
    </row>
    <row r="63" spans="10:17" x14ac:dyDescent="0.35">
      <c r="J63" s="244"/>
      <c r="K63" s="244" t="str">
        <f>'new drop down lookup'!L62</f>
        <v>67 - Fine grade = 4.6364</v>
      </c>
      <c r="L63" s="244"/>
      <c r="M63" s="99"/>
      <c r="N63" s="99"/>
      <c r="O63" s="99"/>
      <c r="P63" s="99"/>
      <c r="Q63" s="99"/>
    </row>
    <row r="64" spans="10:17" x14ac:dyDescent="0.35">
      <c r="J64" s="244"/>
      <c r="K64" s="244" t="str">
        <f>'new drop down lookup'!L63</f>
        <v>68 - Fine grade = 4.6667</v>
      </c>
      <c r="L64" s="244"/>
      <c r="M64" s="99"/>
      <c r="N64" s="99"/>
      <c r="O64" s="99"/>
      <c r="P64" s="99"/>
      <c r="Q64" s="99"/>
    </row>
    <row r="65" spans="10:17" x14ac:dyDescent="0.35">
      <c r="J65" s="244"/>
      <c r="K65" s="244" t="str">
        <f>'new drop down lookup'!L64</f>
        <v>69 - Fine grade = 4.697</v>
      </c>
      <c r="L65" s="244"/>
      <c r="M65" s="99"/>
      <c r="N65" s="99"/>
      <c r="O65" s="99"/>
      <c r="P65" s="99"/>
      <c r="Q65" s="99"/>
    </row>
    <row r="66" spans="10:17" x14ac:dyDescent="0.35">
      <c r="J66" s="244"/>
      <c r="K66" s="244" t="str">
        <f>'new drop down lookup'!L65</f>
        <v>70 - Fine grade = 4.7273</v>
      </c>
      <c r="L66" s="244"/>
      <c r="M66" s="99"/>
      <c r="N66" s="99"/>
      <c r="O66" s="99"/>
      <c r="P66" s="99"/>
      <c r="Q66" s="99"/>
    </row>
    <row r="67" spans="10:17" x14ac:dyDescent="0.35">
      <c r="J67" s="244"/>
      <c r="K67" s="244" t="str">
        <f>'new drop down lookup'!L66</f>
        <v>71 - Fine grade = 4.7576</v>
      </c>
      <c r="L67" s="244"/>
      <c r="M67" s="99"/>
      <c r="N67" s="99"/>
      <c r="O67" s="99"/>
      <c r="P67" s="99"/>
      <c r="Q67" s="99"/>
    </row>
    <row r="68" spans="10:17" x14ac:dyDescent="0.35">
      <c r="J68" s="244"/>
      <c r="K68" s="244" t="str">
        <f>'new drop down lookup'!L67</f>
        <v>72 - Fine grade = 4.7879</v>
      </c>
      <c r="L68" s="244"/>
      <c r="M68" s="99"/>
      <c r="N68" s="99"/>
      <c r="O68" s="99"/>
      <c r="P68" s="99"/>
      <c r="Q68" s="99"/>
    </row>
    <row r="69" spans="10:17" x14ac:dyDescent="0.35">
      <c r="J69" s="244"/>
      <c r="K69" s="244" t="str">
        <f>'new drop down lookup'!L68</f>
        <v>73 - Fine grade = 4.8182</v>
      </c>
      <c r="L69" s="244"/>
      <c r="M69" s="99"/>
      <c r="N69" s="99"/>
      <c r="O69" s="99"/>
      <c r="P69" s="99"/>
      <c r="Q69" s="99"/>
    </row>
    <row r="70" spans="10:17" x14ac:dyDescent="0.35">
      <c r="J70" s="244"/>
      <c r="K70" s="244" t="str">
        <f>'new drop down lookup'!L69</f>
        <v>74 - Fine grade = 4.8485</v>
      </c>
      <c r="L70" s="244"/>
      <c r="M70" s="99"/>
      <c r="N70" s="99"/>
      <c r="O70" s="99"/>
      <c r="P70" s="99"/>
      <c r="Q70" s="99"/>
    </row>
    <row r="71" spans="10:17" x14ac:dyDescent="0.35">
      <c r="J71" s="244"/>
      <c r="K71" s="244" t="str">
        <f>'new drop down lookup'!L70</f>
        <v>75 - Fine grade = 4.8788</v>
      </c>
      <c r="L71" s="244"/>
      <c r="M71" s="99"/>
      <c r="N71" s="99"/>
      <c r="O71" s="99"/>
      <c r="P71" s="99"/>
      <c r="Q71" s="99"/>
    </row>
    <row r="72" spans="10:17" x14ac:dyDescent="0.35">
      <c r="J72" s="244"/>
      <c r="K72" s="244" t="str">
        <f>'new drop down lookup'!L71</f>
        <v>76 - Fine grade = 4.9091</v>
      </c>
      <c r="L72" s="244"/>
      <c r="M72" s="99"/>
      <c r="N72" s="99"/>
      <c r="O72" s="99"/>
      <c r="P72" s="99"/>
      <c r="Q72" s="99"/>
    </row>
    <row r="73" spans="10:17" x14ac:dyDescent="0.35">
      <c r="J73" s="244"/>
      <c r="K73" s="244" t="str">
        <f>'new drop down lookup'!L72</f>
        <v>77 - Fine grade = 4.9394</v>
      </c>
      <c r="L73" s="99"/>
      <c r="M73" s="99"/>
      <c r="N73" s="99"/>
      <c r="O73" s="99"/>
      <c r="P73" s="99"/>
      <c r="Q73" s="99"/>
    </row>
    <row r="74" spans="10:17" x14ac:dyDescent="0.35">
      <c r="J74" s="244"/>
      <c r="K74" s="244" t="str">
        <f>'new drop down lookup'!L73</f>
        <v>78 - Fine grade = 4.9697</v>
      </c>
      <c r="L74" s="99"/>
      <c r="M74" s="99"/>
      <c r="N74" s="99"/>
      <c r="O74" s="99"/>
      <c r="P74" s="99"/>
      <c r="Q74" s="99"/>
    </row>
    <row r="75" spans="10:17" x14ac:dyDescent="0.35">
      <c r="J75" s="244"/>
      <c r="K75" s="244" t="str">
        <f>'new drop down lookup'!L74</f>
        <v>79 - Fine grade = 5</v>
      </c>
      <c r="L75" s="244"/>
      <c r="M75" s="99"/>
      <c r="N75" s="99"/>
      <c r="O75" s="99"/>
      <c r="P75" s="99"/>
      <c r="Q75" s="99"/>
    </row>
    <row r="76" spans="10:17" x14ac:dyDescent="0.35">
      <c r="J76" s="244"/>
      <c r="K76" s="244" t="str">
        <f>'new drop down lookup'!L75</f>
        <v>80 - Fine grade = 5.0455</v>
      </c>
      <c r="L76" s="244"/>
      <c r="M76" s="99"/>
      <c r="N76" s="99"/>
      <c r="O76" s="99"/>
      <c r="P76" s="99"/>
      <c r="Q76" s="99"/>
    </row>
    <row r="77" spans="10:17" x14ac:dyDescent="0.35">
      <c r="J77" s="244"/>
      <c r="K77" s="244" t="str">
        <f>'new drop down lookup'!L76</f>
        <v>81 - Fine grade = 5.0909</v>
      </c>
      <c r="L77" s="244"/>
      <c r="M77" s="99"/>
      <c r="N77" s="99"/>
      <c r="O77" s="99"/>
      <c r="P77" s="99"/>
      <c r="Q77" s="99"/>
    </row>
    <row r="78" spans="10:17" x14ac:dyDescent="0.35">
      <c r="J78" s="244"/>
      <c r="K78" s="244" t="str">
        <f>'new drop down lookup'!L77</f>
        <v>82 - Fine grade = 5.1364</v>
      </c>
      <c r="L78" s="244"/>
      <c r="M78" s="99"/>
      <c r="N78" s="99"/>
      <c r="O78" s="99"/>
      <c r="P78" s="99"/>
      <c r="Q78" s="99"/>
    </row>
    <row r="79" spans="10:17" x14ac:dyDescent="0.35">
      <c r="J79" s="244"/>
      <c r="K79" s="244" t="str">
        <f>'new drop down lookup'!L78</f>
        <v>83 - Fine grade = 5.1818</v>
      </c>
      <c r="L79" s="244"/>
      <c r="M79" s="99"/>
      <c r="N79" s="99"/>
      <c r="O79" s="99"/>
      <c r="P79" s="99"/>
      <c r="Q79" s="99"/>
    </row>
    <row r="80" spans="10:17" x14ac:dyDescent="0.35">
      <c r="J80" s="244"/>
      <c r="K80" s="244" t="str">
        <f>'new drop down lookup'!L79</f>
        <v>84 - Fine grade = 5.2273</v>
      </c>
      <c r="L80" s="244"/>
      <c r="M80" s="99"/>
      <c r="N80" s="99"/>
      <c r="O80" s="99"/>
      <c r="P80" s="99"/>
      <c r="Q80" s="99"/>
    </row>
    <row r="81" spans="10:17" x14ac:dyDescent="0.35">
      <c r="J81" s="244"/>
      <c r="K81" s="244" t="str">
        <f>'new drop down lookup'!L80</f>
        <v>85 - Fine grade = 5.2727</v>
      </c>
      <c r="L81" s="244"/>
      <c r="M81" s="99"/>
      <c r="N81" s="99"/>
      <c r="O81" s="99"/>
      <c r="P81" s="99"/>
      <c r="Q81" s="99"/>
    </row>
    <row r="82" spans="10:17" x14ac:dyDescent="0.35">
      <c r="J82" s="244"/>
      <c r="K82" s="244" t="str">
        <f>'new drop down lookup'!L81</f>
        <v>86 - Fine grade = 5.3182</v>
      </c>
      <c r="L82" s="244"/>
      <c r="M82" s="99"/>
      <c r="N82" s="99"/>
      <c r="O82" s="99"/>
      <c r="P82" s="99"/>
      <c r="Q82" s="99"/>
    </row>
    <row r="83" spans="10:17" x14ac:dyDescent="0.35">
      <c r="J83" s="244"/>
      <c r="K83" s="244" t="str">
        <f>'new drop down lookup'!L82</f>
        <v>87 - Fine grade = 5.3636</v>
      </c>
      <c r="L83" s="244"/>
      <c r="M83" s="99"/>
      <c r="N83" s="99"/>
      <c r="O83" s="99"/>
      <c r="P83" s="99"/>
      <c r="Q83" s="99"/>
    </row>
    <row r="84" spans="10:17" x14ac:dyDescent="0.35">
      <c r="J84" s="244"/>
      <c r="K84" s="244" t="str">
        <f>'new drop down lookup'!L83</f>
        <v>88 - Fine grade = 5.4091</v>
      </c>
      <c r="L84" s="244"/>
      <c r="M84" s="99"/>
      <c r="N84" s="99"/>
      <c r="O84" s="99"/>
      <c r="P84" s="99"/>
      <c r="Q84" s="99"/>
    </row>
    <row r="85" spans="10:17" x14ac:dyDescent="0.35">
      <c r="J85" s="244"/>
      <c r="K85" s="244" t="str">
        <f>'new drop down lookup'!L84</f>
        <v>89 - Fine grade = 5.4545</v>
      </c>
      <c r="L85" s="244"/>
      <c r="M85" s="99"/>
      <c r="N85" s="99"/>
      <c r="O85" s="99"/>
      <c r="P85" s="99"/>
      <c r="Q85" s="99"/>
    </row>
    <row r="86" spans="10:17" x14ac:dyDescent="0.35">
      <c r="J86" s="244"/>
      <c r="K86" s="244" t="str">
        <f>'new drop down lookup'!L85</f>
        <v>90 - Fine grade = 5.5</v>
      </c>
      <c r="L86" s="244"/>
      <c r="M86" s="99"/>
      <c r="N86" s="99"/>
      <c r="O86" s="99"/>
      <c r="P86" s="99"/>
      <c r="Q86" s="99"/>
    </row>
    <row r="87" spans="10:17" x14ac:dyDescent="0.35">
      <c r="J87" s="244"/>
      <c r="K87" s="244" t="str">
        <f>'new drop down lookup'!L86</f>
        <v>91 - Fine grade = 5.5455</v>
      </c>
      <c r="L87" s="244"/>
      <c r="M87" s="99"/>
      <c r="N87" s="99"/>
      <c r="O87" s="99"/>
      <c r="P87" s="99"/>
      <c r="Q87" s="99"/>
    </row>
    <row r="88" spans="10:17" x14ac:dyDescent="0.35">
      <c r="J88" s="244"/>
      <c r="K88" s="244" t="str">
        <f>'new drop down lookup'!L87</f>
        <v>92 - Fine grade = 5.5909</v>
      </c>
      <c r="L88" s="244"/>
      <c r="M88" s="99"/>
      <c r="N88" s="99"/>
      <c r="O88" s="99"/>
      <c r="P88" s="99"/>
      <c r="Q88" s="99"/>
    </row>
    <row r="89" spans="10:17" x14ac:dyDescent="0.35">
      <c r="J89" s="244"/>
      <c r="K89" s="244" t="str">
        <f>'new drop down lookup'!L88</f>
        <v>93 - Fine grade = 5.6364</v>
      </c>
      <c r="L89" s="244"/>
      <c r="M89" s="99"/>
      <c r="N89" s="99"/>
      <c r="O89" s="99"/>
      <c r="P89" s="99"/>
      <c r="Q89" s="99"/>
    </row>
    <row r="90" spans="10:17" x14ac:dyDescent="0.35">
      <c r="J90" s="244"/>
      <c r="K90" s="244" t="str">
        <f>'new drop down lookup'!L89</f>
        <v>94 - Fine grade = 5.6818</v>
      </c>
      <c r="L90" s="244"/>
      <c r="M90" s="99"/>
      <c r="N90" s="99"/>
      <c r="O90" s="99"/>
      <c r="P90" s="99"/>
      <c r="Q90" s="99"/>
    </row>
    <row r="91" spans="10:17" x14ac:dyDescent="0.35">
      <c r="J91" s="244"/>
      <c r="K91" s="244" t="str">
        <f>'new drop down lookup'!L90</f>
        <v>95 - Fine grade = 5.7273</v>
      </c>
      <c r="L91" s="244"/>
      <c r="M91" s="99"/>
      <c r="N91" s="99"/>
      <c r="O91" s="99"/>
      <c r="P91" s="99"/>
      <c r="Q91" s="99"/>
    </row>
    <row r="92" spans="10:17" x14ac:dyDescent="0.35">
      <c r="J92" s="244"/>
      <c r="K92" s="244" t="str">
        <f>'new drop down lookup'!L91</f>
        <v>96 - Fine grade = 5.7727</v>
      </c>
      <c r="L92" s="244"/>
      <c r="M92" s="99"/>
      <c r="N92" s="99"/>
      <c r="O92" s="99"/>
      <c r="P92" s="99"/>
      <c r="Q92" s="99"/>
    </row>
    <row r="93" spans="10:17" x14ac:dyDescent="0.35">
      <c r="J93" s="99"/>
      <c r="K93" s="244" t="str">
        <f>'new drop down lookup'!L92</f>
        <v>97 - Fine grade = 5.8182</v>
      </c>
      <c r="L93" s="99"/>
      <c r="M93" s="99"/>
      <c r="N93" s="99"/>
      <c r="O93" s="99"/>
      <c r="P93" s="99"/>
      <c r="Q93" s="99"/>
    </row>
    <row r="94" spans="10:17" x14ac:dyDescent="0.35">
      <c r="J94" s="99"/>
      <c r="K94" s="244" t="str">
        <f>'new drop down lookup'!L93</f>
        <v>98 - Fine grade = 5.8636</v>
      </c>
      <c r="L94" s="99"/>
      <c r="M94" s="99"/>
      <c r="N94" s="99"/>
      <c r="O94" s="99"/>
      <c r="P94" s="99"/>
      <c r="Q94" s="99"/>
    </row>
    <row r="95" spans="10:17" x14ac:dyDescent="0.35">
      <c r="J95" s="99"/>
      <c r="K95" s="244" t="str">
        <f>'new drop down lookup'!L94</f>
        <v>99 - Fine grade = 5.9091</v>
      </c>
      <c r="L95" s="99"/>
      <c r="M95" s="99"/>
      <c r="N95" s="99"/>
      <c r="O95" s="99"/>
      <c r="P95" s="99"/>
      <c r="Q95" s="99"/>
    </row>
    <row r="96" spans="10:17" x14ac:dyDescent="0.35">
      <c r="J96" s="99"/>
      <c r="K96" s="244" t="str">
        <f>'new drop down lookup'!L95</f>
        <v>100 - Fine grade = 5.9545</v>
      </c>
      <c r="L96" s="99"/>
      <c r="M96" s="99"/>
      <c r="N96" s="99"/>
      <c r="O96" s="99"/>
      <c r="P96" s="99"/>
      <c r="Q96" s="99"/>
    </row>
    <row r="97" spans="11:11" x14ac:dyDescent="0.35">
      <c r="K97" s="219"/>
    </row>
  </sheetData>
  <sheetProtection algorithmName="SHA-512" hashValue="ylq9dcS1DSydufQWGwKH1Gq1qYB0e6qnKYUs08D9FZkcAEVbIpy59wxvNhtLEgMY6MsSFiYCR+r5E3Rl+s/kxQ==" saltValue="Uzgnm+9Z60Fu3coFdgkKQw==" spinCount="100000" sheet="1" objects="1" scenarios="1" selectLockedCells="1"/>
  <mergeCells count="11">
    <mergeCell ref="B35:C35"/>
    <mergeCell ref="B20:C20"/>
    <mergeCell ref="B26:C26"/>
    <mergeCell ref="H30:H32"/>
    <mergeCell ref="B32:C32"/>
    <mergeCell ref="H34:H36"/>
    <mergeCell ref="B7:C7"/>
    <mergeCell ref="E7:G7"/>
    <mergeCell ref="B11:C11"/>
    <mergeCell ref="B13:C13"/>
    <mergeCell ref="B18:C18"/>
  </mergeCells>
  <conditionalFormatting sqref="E13:E14 G13:G14">
    <cfRule type="cellIs" dxfId="6" priority="1" stopIfTrue="1" operator="equal">
      <formula>"-"</formula>
    </cfRule>
  </conditionalFormatting>
  <conditionalFormatting sqref="E18">
    <cfRule type="expression" dxfId="5" priority="2" stopIfTrue="1">
      <formula>AND($E$11&gt;22,ISNUMBER($E$13))</formula>
    </cfRule>
  </conditionalFormatting>
  <conditionalFormatting sqref="G18">
    <cfRule type="expression" dxfId="4" priority="3" stopIfTrue="1">
      <formula>AND(AND($G$11&lt;&gt;$K$11,$G$11&lt;&gt;$K$12,$G$11&lt;&gt;$K$13),ISNUMBER($G$13))</formula>
    </cfRule>
  </conditionalFormatting>
  <conditionalFormatting sqref="G20">
    <cfRule type="expression" dxfId="3" priority="4" stopIfTrue="1">
      <formula>AND(AND($G$11&lt;&gt;$K$11,$G$11&lt;&gt;$K$12,$G$11&lt;&gt;$K$13),ISNUMBER($G$13))</formula>
    </cfRule>
    <cfRule type="cellIs" dxfId="2" priority="5" stopIfTrue="1" operator="equal">
      <formula>"-"</formula>
    </cfRule>
  </conditionalFormatting>
  <conditionalFormatting sqref="E20">
    <cfRule type="expression" dxfId="1" priority="6" stopIfTrue="1">
      <formula>AND($E$11&gt;22,ISNUMBER($E$13))</formula>
    </cfRule>
    <cfRule type="cellIs" dxfId="0" priority="7" stopIfTrue="1" operator="equal">
      <formula>"-"</formula>
    </cfRule>
  </conditionalFormatting>
  <dataValidations count="3">
    <dataValidation type="list" allowBlank="1" showInputMessage="1" showErrorMessage="1" sqref="E18 G18" xr:uid="{00000000-0002-0000-0400-000000000000}">
      <formula1>$N$11:$N$19</formula1>
    </dataValidation>
    <dataValidation type="list" allowBlank="1" showInputMessage="1" showErrorMessage="1" sqref="G11" xr:uid="{00000000-0002-0000-0400-000001000000}">
      <formula1>$K$3:$K$96</formula1>
    </dataValidation>
    <dataValidation type="list" allowBlank="1" showInputMessage="1" showErrorMessage="1" sqref="E11" xr:uid="{00000000-0002-0000-0400-000002000000}">
      <formula1>$J$3:$J$50</formula1>
    </dataValidation>
  </dataValidations>
  <hyperlinks>
    <hyperlink ref="H30:H32" location="'Single Measure Ready Reckoner'!A1" display="To Single Measure Ready Reckoner  ---&gt;" xr:uid="{00000000-0004-0000-0400-000000000000}"/>
    <hyperlink ref="H34:H36" location="'All Measures Ready Reckoner'!A1" display="To All Measures Ready Reckoner ---&gt;" xr:uid="{00000000-0004-0000-0400-000001000000}"/>
  </hyperlinks>
  <pageMargins left="0.75" right="0.75" top="1" bottom="1" header="0.5" footer="0.5"/>
  <pageSetup paperSize="9" scale="7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indexed="48"/>
    <pageSetUpPr fitToPage="1"/>
  </sheetPr>
  <dimension ref="B1:AN36"/>
  <sheetViews>
    <sheetView showGridLines="0" showRowColHeaders="0" zoomScale="90" zoomScaleNormal="88" workbookViewId="0">
      <selection activeCell="G35" sqref="G35:H36"/>
    </sheetView>
  </sheetViews>
  <sheetFormatPr defaultRowHeight="12.75" x14ac:dyDescent="0.35"/>
  <cols>
    <col min="1" max="1" width="1.86328125" customWidth="1"/>
    <col min="2" max="2" width="2" customWidth="1"/>
    <col min="3" max="3" width="52.73046875" customWidth="1"/>
    <col min="4" max="4" width="20.3984375" customWidth="1"/>
    <col min="5" max="5" width="3.86328125" customWidth="1"/>
    <col min="6" max="6" width="18.73046875" customWidth="1"/>
    <col min="7" max="7" width="8.59765625" bestFit="1" customWidth="1"/>
    <col min="8" max="8" width="34.265625" customWidth="1"/>
    <col min="9" max="9" width="4.59765625" customWidth="1"/>
    <col min="10" max="10" width="4.86328125" customWidth="1"/>
    <col min="11" max="11" width="8.1328125" customWidth="1"/>
    <col min="12" max="12" width="8" customWidth="1"/>
    <col min="13" max="13" width="6.73046875" customWidth="1"/>
    <col min="14" max="15" width="15" customWidth="1"/>
    <col min="16" max="16" width="3.1328125" customWidth="1"/>
    <col min="17" max="17" width="3.73046875" customWidth="1"/>
    <col min="23" max="23" width="20.86328125" style="216" customWidth="1"/>
    <col min="24" max="24" width="31" style="216" hidden="1" customWidth="1"/>
    <col min="25" max="25" width="11.59765625" style="217" customWidth="1"/>
    <col min="26" max="39" width="9.1328125" customWidth="1"/>
    <col min="40" max="40" width="22" customWidth="1"/>
    <col min="41" max="43" width="9.1328125" customWidth="1"/>
  </cols>
  <sheetData>
    <row r="1" spans="2:40" ht="9.75" customHeight="1" thickBot="1" x14ac:dyDescent="0.4">
      <c r="AN1" s="37"/>
    </row>
    <row r="2" spans="2:40" ht="18" customHeight="1" thickBot="1" x14ac:dyDescent="0.65">
      <c r="B2" s="9" t="s">
        <v>107</v>
      </c>
      <c r="D2" s="9"/>
      <c r="E2" s="9"/>
      <c r="F2" s="9"/>
      <c r="G2" s="9"/>
      <c r="N2" s="285" t="s">
        <v>18</v>
      </c>
      <c r="O2" s="286"/>
      <c r="P2" s="39"/>
      <c r="X2" s="246" t="s">
        <v>71</v>
      </c>
      <c r="AC2" s="216"/>
      <c r="AN2" s="37"/>
    </row>
    <row r="3" spans="2:40" ht="15.75" customHeight="1" thickBot="1" x14ac:dyDescent="0.4">
      <c r="N3" s="312" t="s">
        <v>16</v>
      </c>
      <c r="O3" s="313"/>
      <c r="X3" s="68" t="s">
        <v>44</v>
      </c>
      <c r="AC3" s="216"/>
      <c r="AN3" s="37"/>
    </row>
    <row r="4" spans="2:40" ht="15.75" customHeight="1" thickBot="1" x14ac:dyDescent="0.45">
      <c r="B4" s="58" t="s">
        <v>109</v>
      </c>
      <c r="C4" s="53"/>
      <c r="D4" s="17"/>
      <c r="N4" s="314" t="s">
        <v>20</v>
      </c>
      <c r="O4" s="315"/>
      <c r="X4" s="68" t="s">
        <v>45</v>
      </c>
      <c r="AC4" s="216"/>
      <c r="AN4" s="37"/>
    </row>
    <row r="5" spans="2:40" ht="15.75" customHeight="1" thickBot="1" x14ac:dyDescent="0.45">
      <c r="B5" s="58" t="s">
        <v>108</v>
      </c>
      <c r="C5" s="53"/>
      <c r="N5" s="316" t="s">
        <v>15</v>
      </c>
      <c r="O5" s="317"/>
      <c r="X5" s="68" t="s">
        <v>46</v>
      </c>
      <c r="AC5" s="216"/>
      <c r="AN5" s="37"/>
    </row>
    <row r="6" spans="2:40" ht="15.75" customHeight="1" thickBot="1" x14ac:dyDescent="0.45">
      <c r="B6" s="38"/>
      <c r="N6" s="324" t="s">
        <v>21</v>
      </c>
      <c r="O6" s="325"/>
      <c r="X6" s="68"/>
      <c r="AC6" s="216"/>
      <c r="AN6" s="37"/>
    </row>
    <row r="7" spans="2:40" ht="18" customHeight="1" x14ac:dyDescent="0.5">
      <c r="B7" s="35" t="s">
        <v>84</v>
      </c>
      <c r="D7" s="15"/>
      <c r="X7" s="68"/>
      <c r="AC7" s="216"/>
      <c r="AN7" s="37"/>
    </row>
    <row r="8" spans="2:40" ht="9.75" customHeight="1" thickBot="1" x14ac:dyDescent="0.55000000000000004">
      <c r="C8" s="15"/>
      <c r="D8" s="15"/>
      <c r="X8" s="247" t="str">
        <f>IF($G$9=$X$2,"Maths",IF($G$9=$X$3,"Science",IF($G$9=$X$4,"Humanities","Language")))</f>
        <v>Maths</v>
      </c>
      <c r="AC8" s="216"/>
      <c r="AN8" s="37"/>
    </row>
    <row r="9" spans="2:40" ht="41.25" customHeight="1" thickBot="1" x14ac:dyDescent="0.4">
      <c r="B9" s="299" t="s">
        <v>85</v>
      </c>
      <c r="C9" s="300"/>
      <c r="D9" s="300"/>
      <c r="E9" s="11"/>
      <c r="F9" s="11"/>
      <c r="G9" s="304" t="s">
        <v>71</v>
      </c>
      <c r="H9" s="305"/>
      <c r="I9" s="306"/>
      <c r="J9" s="21">
        <f>VLOOKUP($G$9,$X$1:$AA$6,4,FALSE)</f>
        <v>0</v>
      </c>
      <c r="N9" s="326" t="s">
        <v>89</v>
      </c>
      <c r="O9" s="327"/>
      <c r="AC9" s="216"/>
      <c r="AN9" s="37"/>
    </row>
    <row r="10" spans="2:40" ht="13.15" thickBot="1" x14ac:dyDescent="0.4">
      <c r="C10" s="14"/>
      <c r="D10" s="14"/>
      <c r="E10" s="14"/>
      <c r="F10" s="14"/>
      <c r="G10" s="14"/>
      <c r="H10" s="14"/>
      <c r="I10" s="14"/>
      <c r="J10" s="14"/>
      <c r="K10" s="14"/>
      <c r="L10" s="14"/>
      <c r="M10" s="14"/>
      <c r="N10" s="328"/>
      <c r="O10" s="329"/>
      <c r="P10" s="14"/>
      <c r="AC10" s="216"/>
      <c r="AN10" s="37"/>
    </row>
    <row r="11" spans="2:40" ht="18" customHeight="1" x14ac:dyDescent="0.5">
      <c r="B11" s="35" t="s">
        <v>65</v>
      </c>
      <c r="D11" s="18"/>
      <c r="H11" s="36"/>
      <c r="K11" s="14"/>
      <c r="L11" s="14"/>
      <c r="M11" s="14"/>
      <c r="N11" s="23"/>
      <c r="O11" s="14"/>
      <c r="P11" s="14"/>
      <c r="Q11" s="14"/>
      <c r="AC11" s="216"/>
      <c r="AN11" s="37"/>
    </row>
    <row r="12" spans="2:40" ht="10.5" customHeight="1" thickBot="1" x14ac:dyDescent="0.45">
      <c r="B12" s="24"/>
      <c r="D12" s="12"/>
      <c r="K12" s="14"/>
      <c r="L12" s="14"/>
      <c r="M12" s="14"/>
      <c r="N12" s="41"/>
      <c r="O12" s="14"/>
      <c r="P12" s="14"/>
      <c r="Q12" s="14"/>
      <c r="AC12" s="216"/>
      <c r="AN12" s="37"/>
    </row>
    <row r="13" spans="2:40" ht="18" customHeight="1" x14ac:dyDescent="0.35">
      <c r="B13" s="55" t="s">
        <v>88</v>
      </c>
      <c r="C13" s="1"/>
      <c r="G13" s="318"/>
      <c r="H13" s="319"/>
      <c r="I13" s="320"/>
      <c r="J13" s="171" t="str">
        <f>IF(ISNUMBER(G13),ROUND(G13,2),"")</f>
        <v/>
      </c>
      <c r="K13" s="14"/>
      <c r="L13" s="14"/>
      <c r="M13" s="52"/>
      <c r="P13" s="14"/>
      <c r="Q13" s="14"/>
      <c r="R13" s="14"/>
      <c r="AC13" s="216"/>
      <c r="AN13" s="37"/>
    </row>
    <row r="14" spans="2:40" ht="18" customHeight="1" thickBot="1" x14ac:dyDescent="0.55000000000000004">
      <c r="B14" s="55" t="s">
        <v>110</v>
      </c>
      <c r="C14" s="1"/>
      <c r="E14" s="10"/>
      <c r="F14" s="10"/>
      <c r="G14" s="321"/>
      <c r="H14" s="322"/>
      <c r="I14" s="323"/>
      <c r="K14" s="14"/>
      <c r="L14" s="14"/>
      <c r="M14" s="52"/>
      <c r="P14" s="14"/>
      <c r="Q14" s="14"/>
      <c r="AC14" s="216"/>
      <c r="AN14" s="37"/>
    </row>
    <row r="15" spans="2:40" ht="15" customHeight="1" x14ac:dyDescent="0.4">
      <c r="B15" s="55" t="str">
        <f>IF($G$9=$X$6,"Their English and Maths bonus","")</f>
        <v/>
      </c>
      <c r="C15" s="56"/>
      <c r="D15" s="11"/>
      <c r="G15" s="19"/>
      <c r="I15" s="19"/>
      <c r="J15" s="19"/>
      <c r="K15" s="14"/>
      <c r="L15" s="23"/>
      <c r="M15" s="14"/>
      <c r="N15" s="14"/>
      <c r="O15" s="14"/>
      <c r="P15" s="14"/>
      <c r="Q15" s="14"/>
      <c r="AC15" s="216"/>
      <c r="AN15" s="37"/>
    </row>
    <row r="16" spans="2:40" ht="3.75" customHeight="1" x14ac:dyDescent="0.4">
      <c r="D16" s="17"/>
      <c r="E16" s="13"/>
      <c r="F16" s="13"/>
      <c r="G16" s="19"/>
      <c r="I16" s="19"/>
      <c r="J16" s="19"/>
      <c r="AC16" s="216"/>
      <c r="AN16" s="37"/>
    </row>
    <row r="17" spans="2:40" ht="9" customHeight="1" x14ac:dyDescent="0.35">
      <c r="C17" s="14"/>
      <c r="D17" s="14"/>
      <c r="E17" s="14"/>
      <c r="F17" s="14"/>
      <c r="G17" s="14"/>
      <c r="I17" s="32"/>
      <c r="J17" s="33"/>
      <c r="K17" s="14"/>
      <c r="L17" s="66"/>
      <c r="M17" s="14"/>
      <c r="N17" s="14"/>
      <c r="O17" s="14"/>
      <c r="P17" s="14"/>
      <c r="AC17" s="216"/>
      <c r="AN17" s="37"/>
    </row>
    <row r="18" spans="2:40" ht="15" customHeight="1" x14ac:dyDescent="0.5">
      <c r="B18" s="40" t="s">
        <v>66</v>
      </c>
      <c r="D18" s="15"/>
      <c r="L18" s="14"/>
      <c r="M18" s="14"/>
      <c r="N18" s="14"/>
      <c r="O18" s="14"/>
      <c r="P18" s="14"/>
      <c r="AC18" s="216"/>
      <c r="AN18" s="37"/>
    </row>
    <row r="19" spans="2:40" ht="5.25" customHeight="1" x14ac:dyDescent="0.5">
      <c r="B19" s="16"/>
      <c r="E19" s="10"/>
      <c r="F19" s="10"/>
      <c r="AC19" s="216"/>
      <c r="AN19" s="37"/>
    </row>
    <row r="20" spans="2:40" ht="18.75" customHeight="1" x14ac:dyDescent="0.4">
      <c r="B20" s="59" t="s">
        <v>111</v>
      </c>
      <c r="L20" s="14"/>
      <c r="M20" s="14"/>
      <c r="N20" s="14"/>
      <c r="O20" s="14"/>
      <c r="P20" s="14"/>
      <c r="AC20" s="216"/>
      <c r="AN20" s="37"/>
    </row>
    <row r="21" spans="2:40" ht="11.25" customHeight="1" thickBot="1" x14ac:dyDescent="0.45">
      <c r="B21" s="59"/>
      <c r="L21" s="14"/>
      <c r="M21" s="14"/>
      <c r="N21" s="14"/>
      <c r="O21" s="14"/>
      <c r="P21" s="14"/>
      <c r="AC21" s="216"/>
      <c r="AN21" s="37"/>
    </row>
    <row r="22" spans="2:40" ht="15.75" customHeight="1" x14ac:dyDescent="0.35">
      <c r="B22" s="16"/>
      <c r="C22" s="34"/>
      <c r="D22" s="307" t="s">
        <v>87</v>
      </c>
      <c r="G22" s="287" t="s">
        <v>86</v>
      </c>
      <c r="H22" s="288"/>
      <c r="I22" s="289"/>
      <c r="K22" s="67" t="str">
        <f>IF(ISNUMBER($J$13), $J$13,"")</f>
        <v/>
      </c>
      <c r="L22" s="14"/>
      <c r="M22" s="14"/>
      <c r="N22" s="14"/>
      <c r="O22" s="14"/>
      <c r="P22" s="14"/>
      <c r="AC22" s="216"/>
      <c r="AN22" s="37"/>
    </row>
    <row r="23" spans="2:40" ht="15.75" customHeight="1" thickBot="1" x14ac:dyDescent="0.4">
      <c r="B23" s="16"/>
      <c r="D23" s="307"/>
      <c r="G23" s="290"/>
      <c r="H23" s="291"/>
      <c r="I23" s="292"/>
      <c r="K23" s="68"/>
      <c r="L23" s="14"/>
      <c r="M23" s="14"/>
      <c r="N23" s="14"/>
      <c r="O23" s="14"/>
      <c r="P23" s="14"/>
      <c r="AC23" s="216"/>
      <c r="AN23" s="37"/>
    </row>
    <row r="24" spans="2:40" ht="15.75" customHeight="1" thickBot="1" x14ac:dyDescent="0.4">
      <c r="B24" s="16"/>
      <c r="K24" s="68"/>
      <c r="L24" s="14"/>
      <c r="M24" s="14"/>
      <c r="N24" s="14"/>
      <c r="O24" s="14"/>
      <c r="P24" s="14"/>
      <c r="AC24" s="216"/>
      <c r="AN24" s="37"/>
    </row>
    <row r="25" spans="2:40" ht="18" customHeight="1" x14ac:dyDescent="0.35">
      <c r="B25" s="310" t="s">
        <v>138</v>
      </c>
      <c r="C25" s="311"/>
      <c r="D25" s="308" t="str">
        <f>IF('Key stage 2 Data Input'!E32="Pupil","-",ROUND('Key stage 2 Data Input'!F35,1))</f>
        <v>-</v>
      </c>
      <c r="G25" s="293" t="str">
        <f>IF(D25="-","-",IF(G9=X2,"Please select the progress measure you wish to use",IF(G9=X3,VLOOKUP(D25,'Model values'!B9:E42,2,FALSE),IF(G9=X4,VLOOKUP(D25,'Model values'!B9:E42,3,FALSE),IF(G9=X5,VLOOKUP(D25,'Model values'!B9:E42,4,FALSE),"-")))))</f>
        <v>-</v>
      </c>
      <c r="H25" s="294"/>
      <c r="I25" s="295"/>
      <c r="K25" s="69"/>
      <c r="L25" s="14"/>
      <c r="M25" s="14"/>
      <c r="N25" s="14"/>
      <c r="O25" s="14"/>
      <c r="P25" s="14"/>
      <c r="AC25" s="216"/>
      <c r="AN25" s="37"/>
    </row>
    <row r="26" spans="2:40" ht="23.25" customHeight="1" thickBot="1" x14ac:dyDescent="0.4">
      <c r="B26" s="310"/>
      <c r="C26" s="311"/>
      <c r="D26" s="309"/>
      <c r="G26" s="296"/>
      <c r="H26" s="297"/>
      <c r="I26" s="298"/>
      <c r="L26" s="14"/>
      <c r="M26" s="14"/>
      <c r="N26" s="14"/>
      <c r="O26" s="14"/>
      <c r="P26" s="14"/>
      <c r="AN26" s="37"/>
    </row>
    <row r="27" spans="2:40" ht="18.75" customHeight="1" x14ac:dyDescent="0.35">
      <c r="B27" s="57"/>
      <c r="H27" s="172" t="e">
        <f>VALUE(LEFT(G25,5))</f>
        <v>#VALUE!</v>
      </c>
      <c r="L27" s="14"/>
      <c r="M27" s="14"/>
      <c r="N27" s="14"/>
      <c r="O27" s="14"/>
      <c r="P27" s="14"/>
      <c r="AN27" s="37"/>
    </row>
    <row r="28" spans="2:40" ht="6" customHeight="1" x14ac:dyDescent="0.35">
      <c r="B28" s="16"/>
      <c r="L28" s="14"/>
      <c r="M28" s="14"/>
      <c r="N28" s="14"/>
      <c r="O28" s="14"/>
      <c r="P28" s="14"/>
      <c r="AN28" s="37"/>
    </row>
    <row r="29" spans="2:40" ht="23.25" customHeight="1" x14ac:dyDescent="0.5">
      <c r="B29" s="40" t="s">
        <v>119</v>
      </c>
      <c r="L29" s="14"/>
      <c r="M29" s="14"/>
      <c r="N29" s="14"/>
      <c r="O29" s="14"/>
      <c r="P29" s="14"/>
      <c r="AN29" s="37"/>
    </row>
    <row r="30" spans="2:40" ht="1.5" customHeight="1" x14ac:dyDescent="0.4">
      <c r="B30" s="16"/>
      <c r="H30" s="20"/>
      <c r="L30" s="14"/>
      <c r="M30" s="14"/>
      <c r="N30" s="14"/>
      <c r="O30" s="14"/>
      <c r="P30" s="14"/>
      <c r="AN30" s="37"/>
    </row>
    <row r="31" spans="2:40" ht="6.75" customHeight="1" thickBot="1" x14ac:dyDescent="0.4">
      <c r="B31" s="16"/>
      <c r="L31" s="14"/>
      <c r="M31" s="14"/>
      <c r="N31" s="14"/>
      <c r="O31" s="14"/>
      <c r="P31" s="14"/>
      <c r="AN31" s="37"/>
    </row>
    <row r="32" spans="2:40" ht="25.5" customHeight="1" thickBot="1" x14ac:dyDescent="0.4">
      <c r="B32" s="34" t="s">
        <v>120</v>
      </c>
      <c r="F32" s="168" t="s">
        <v>19</v>
      </c>
      <c r="G32" s="301" t="str">
        <f>IF(ISBLANK(G13),"-",IF(ISERROR(G13-H27),"-",ROUND(G13-H27,2)))</f>
        <v>-</v>
      </c>
      <c r="H32" s="302"/>
      <c r="I32" s="303"/>
      <c r="AN32" s="37"/>
    </row>
    <row r="33" spans="2:40" ht="11.25" customHeight="1" x14ac:dyDescent="0.35">
      <c r="B33" s="16"/>
      <c r="H33" s="22" t="str">
        <f>IF(ISERROR(ROUND(H25+#REF!+#REF!+#REF!+#REF!+H27,6)),"",ROUND(H25+#REF!+#REF!+#REF!+#REF!+H27,6))</f>
        <v/>
      </c>
      <c r="M33" s="14"/>
      <c r="AN33" s="37"/>
    </row>
    <row r="34" spans="2:40" ht="13.15" thickBot="1" x14ac:dyDescent="0.4"/>
    <row r="35" spans="2:40" ht="12.75" customHeight="1" x14ac:dyDescent="0.35">
      <c r="C35" s="275" t="s">
        <v>116</v>
      </c>
      <c r="G35" s="281" t="s">
        <v>29</v>
      </c>
      <c r="H35" s="282"/>
      <c r="I35" s="178"/>
    </row>
    <row r="36" spans="2:40" ht="27.75" customHeight="1" thickBot="1" x14ac:dyDescent="0.4">
      <c r="C36" s="277"/>
      <c r="G36" s="283"/>
      <c r="H36" s="284"/>
      <c r="I36" s="178"/>
    </row>
  </sheetData>
  <sheetProtection algorithmName="SHA-512" hashValue="OtM6g7HSWF6S6lLIMz7L4osuf7MNJZcX7Wi9LBsR+pRkgYakjLcjPBjvWGQkmumz3MelLU11bu+49DBZ88D49w==" saltValue="I0coXMk3nsVBjD2lFbqhhg==" spinCount="100000" sheet="1" objects="1" scenarios="1" selectLockedCells="1"/>
  <mergeCells count="17">
    <mergeCell ref="N9:O10"/>
    <mergeCell ref="G35:H36"/>
    <mergeCell ref="C35:C36"/>
    <mergeCell ref="N2:O2"/>
    <mergeCell ref="G22:I23"/>
    <mergeCell ref="G25:I26"/>
    <mergeCell ref="B9:D9"/>
    <mergeCell ref="G32:I32"/>
    <mergeCell ref="G9:I9"/>
    <mergeCell ref="D22:D23"/>
    <mergeCell ref="D25:D26"/>
    <mergeCell ref="B25:C26"/>
    <mergeCell ref="N3:O3"/>
    <mergeCell ref="N4:O4"/>
    <mergeCell ref="N5:O5"/>
    <mergeCell ref="G13:I14"/>
    <mergeCell ref="N6:O6"/>
  </mergeCells>
  <phoneticPr fontId="5" type="noConversion"/>
  <dataValidations count="2">
    <dataValidation type="list" allowBlank="1" showInputMessage="1" showErrorMessage="1" sqref="G9:I9" xr:uid="{00000000-0002-0000-0500-000000000000}">
      <formula1>$X$2:$X$5</formula1>
    </dataValidation>
    <dataValidation type="decimal" allowBlank="1" showInputMessage="1" showErrorMessage="1" sqref="G13" xr:uid="{00000000-0002-0000-0500-000001000000}">
      <formula1>0</formula1>
      <formula2>9.5</formula2>
    </dataValidation>
  </dataValidations>
  <hyperlinks>
    <hyperlink ref="G35:G36" location="'1 Measure Ready Reckoner'!A1" display="To Single Measure Ready Reckoner  ---&gt;" xr:uid="{00000000-0004-0000-0500-000000000000}"/>
    <hyperlink ref="N9:O10" r:id="rId1" display="Qualifications which count towards the EBacc" xr:uid="{00000000-0004-0000-0500-000001000000}"/>
    <hyperlink ref="G35:H36" location="'All Measures Ready Reckoner'!A1" display="To All Measures Ready Reckoner  ---&gt;" xr:uid="{00000000-0004-0000-0500-000002000000}"/>
    <hyperlink ref="C35:C36" location="'Key stage 2 Data Input'!A1" display="'Key stage 2 Data Input'!A1" xr:uid="{00000000-0004-0000-0500-000003000000}"/>
  </hyperlinks>
  <pageMargins left="0.75" right="0.75" top="1" bottom="1" header="0.5" footer="0.5"/>
  <pageSetup paperSize="9" scale="65" orientation="landscape"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8"/>
    <pageSetUpPr fitToPage="1"/>
  </sheetPr>
  <dimension ref="B1:U20"/>
  <sheetViews>
    <sheetView showGridLines="0" showRowColHeaders="0" zoomScale="95" zoomScaleNormal="90" workbookViewId="0">
      <selection activeCell="F12" sqref="F12"/>
    </sheetView>
  </sheetViews>
  <sheetFormatPr defaultRowHeight="12.75" x14ac:dyDescent="0.35"/>
  <cols>
    <col min="1" max="1" width="1.73046875" customWidth="1"/>
    <col min="2" max="2" width="40.86328125" customWidth="1"/>
    <col min="3" max="3" width="2.1328125" customWidth="1"/>
    <col min="4" max="4" width="19.73046875" customWidth="1"/>
    <col min="5" max="5" width="3.3984375" customWidth="1"/>
    <col min="6" max="6" width="19.73046875" customWidth="1"/>
    <col min="7" max="7" width="3.3984375" customWidth="1"/>
    <col min="8" max="8" width="19.73046875" customWidth="1"/>
    <col min="9" max="9" width="3.3984375" customWidth="1"/>
    <col min="10" max="10" width="19.73046875" customWidth="1"/>
    <col min="11" max="11" width="3.3984375" customWidth="1"/>
    <col min="12" max="12" width="19.73046875" customWidth="1"/>
    <col min="13" max="13" width="3.3984375" customWidth="1"/>
    <col min="14" max="14" width="19.73046875" customWidth="1"/>
    <col min="17" max="32" width="14.1328125" customWidth="1"/>
  </cols>
  <sheetData>
    <row r="1" spans="2:21" ht="18.75" customHeight="1" thickBot="1" x14ac:dyDescent="0.4">
      <c r="R1" s="49"/>
    </row>
    <row r="2" spans="2:21" ht="20.25" customHeight="1" thickBot="1" x14ac:dyDescent="0.55000000000000004">
      <c r="B2" s="8" t="s">
        <v>112</v>
      </c>
      <c r="M2" s="331" t="s">
        <v>18</v>
      </c>
      <c r="N2" s="332"/>
      <c r="R2" s="49"/>
    </row>
    <row r="3" spans="2:21" ht="13.15" thickBot="1" x14ac:dyDescent="0.4">
      <c r="L3" s="39"/>
      <c r="M3" s="339" t="s">
        <v>16</v>
      </c>
      <c r="N3" s="340"/>
      <c r="R3" s="49"/>
    </row>
    <row r="4" spans="2:21" ht="15.4" thickBot="1" x14ac:dyDescent="0.45">
      <c r="B4" s="60" t="s">
        <v>113</v>
      </c>
      <c r="M4" s="341" t="s">
        <v>15</v>
      </c>
      <c r="N4" s="342"/>
      <c r="R4" s="53"/>
      <c r="S4" s="53"/>
      <c r="T4" s="53"/>
      <c r="U4" s="53"/>
    </row>
    <row r="5" spans="2:21" ht="15.4" thickBot="1" x14ac:dyDescent="0.45">
      <c r="B5" s="60" t="s">
        <v>67</v>
      </c>
      <c r="M5" s="343" t="s">
        <v>21</v>
      </c>
      <c r="N5" s="344"/>
      <c r="R5" s="53"/>
      <c r="S5" s="53"/>
      <c r="T5" s="53"/>
      <c r="U5" s="53"/>
    </row>
    <row r="6" spans="2:21" ht="15" x14ac:dyDescent="0.4">
      <c r="B6" s="60" t="s">
        <v>114</v>
      </c>
      <c r="R6" s="169"/>
      <c r="S6" s="53"/>
      <c r="T6" s="53"/>
      <c r="U6" s="53"/>
    </row>
    <row r="7" spans="2:21" ht="6.75" customHeight="1" x14ac:dyDescent="0.35">
      <c r="R7" s="170"/>
      <c r="S7" s="53"/>
      <c r="T7" s="53"/>
      <c r="U7" s="53"/>
    </row>
    <row r="8" spans="2:21" ht="45" customHeight="1" x14ac:dyDescent="0.45">
      <c r="D8" s="330" t="s">
        <v>115</v>
      </c>
      <c r="E8" s="330"/>
      <c r="F8" s="330"/>
      <c r="G8" s="330"/>
      <c r="H8" s="330"/>
      <c r="I8" s="16"/>
      <c r="J8" s="16"/>
      <c r="K8" s="16"/>
      <c r="L8" s="16"/>
      <c r="M8" s="16"/>
      <c r="N8" s="16"/>
      <c r="R8" s="170"/>
      <c r="S8" s="53"/>
      <c r="T8" s="53"/>
      <c r="U8" s="53"/>
    </row>
    <row r="9" spans="2:21" ht="18.75" customHeight="1" thickBot="1" x14ac:dyDescent="0.4">
      <c r="R9" s="51"/>
    </row>
    <row r="10" spans="2:21" ht="63.75" customHeight="1" thickBot="1" x14ac:dyDescent="0.4">
      <c r="C10" s="13"/>
      <c r="D10" s="61" t="s">
        <v>44</v>
      </c>
      <c r="E10" s="50"/>
      <c r="F10" s="61" t="s">
        <v>45</v>
      </c>
      <c r="G10" s="50"/>
      <c r="H10" s="61" t="s">
        <v>46</v>
      </c>
      <c r="I10" s="50"/>
    </row>
    <row r="11" spans="2:21" ht="50.25" customHeight="1" thickBot="1" x14ac:dyDescent="0.4">
      <c r="B11" s="62"/>
    </row>
    <row r="12" spans="2:21" ht="50.25" customHeight="1" thickBot="1" x14ac:dyDescent="0.4">
      <c r="B12" s="65" t="s">
        <v>68</v>
      </c>
      <c r="D12" s="180"/>
      <c r="F12" s="180"/>
      <c r="H12" s="180"/>
    </row>
    <row r="13" spans="2:21" ht="50.25" customHeight="1" thickBot="1" x14ac:dyDescent="0.4">
      <c r="B13" s="64"/>
      <c r="D13" s="21"/>
      <c r="F13" s="21"/>
      <c r="H13" s="21"/>
    </row>
    <row r="14" spans="2:21" ht="50.25" customHeight="1" thickBot="1" x14ac:dyDescent="0.4">
      <c r="B14" s="63" t="s">
        <v>69</v>
      </c>
      <c r="D14" s="199" t="str">
        <f>IF(ISERROR(VLOOKUP('Single Measure Ready Reckoner'!$D25,'Model values'!$B$9:$E$42,2,FALSE)),"-",VLOOKUP('Single Measure Ready Reckoner'!$D25,'Model values'!$B$9:$E$42,2,FALSE))</f>
        <v>-</v>
      </c>
      <c r="F14" s="199" t="str">
        <f>IF(ISERROR(VLOOKUP('Single Measure Ready Reckoner'!$D25,'Model values'!$B$9:$E$42,3,FALSE)),"-",VLOOKUP('Single Measure Ready Reckoner'!$D25,'Model values'!$B$9:$E$42,3,FALSE))</f>
        <v>-</v>
      </c>
      <c r="H14" s="199" t="str">
        <f>IF(ISERROR(VLOOKUP('Single Measure Ready Reckoner'!$D25,'Model values'!$B$9:$E$42,4,FALSE)),"-",VLOOKUP('Single Measure Ready Reckoner'!$D25,'Model values'!$B$9:$E$42,4,FALSE))</f>
        <v>-</v>
      </c>
    </row>
    <row r="15" spans="2:21" ht="50.25" customHeight="1" thickBot="1" x14ac:dyDescent="0.4">
      <c r="B15" s="64"/>
      <c r="D15" s="21">
        <f>IF(ISERROR(ROUND(U2+($R3*U3)+($R4*U4)+($R5*U5)+($R6*U6)+($R7*U7),6)),"-",ROUND(U2+($R3*U3)+($R4*U4)+($R5*U5)+($R6*U6)+($R7*U7),6))</f>
        <v>0</v>
      </c>
      <c r="F15" s="54">
        <f>IF(ISERROR(ROUND(V2+($R3*V3)+($R4*V4)+($R5*V5)+($R6*V6)+($R7*V7),6)),"-",ROUND(V2+($R3*V3)+($R4*V4)+($R5*V5)+($R6*V6)+($R7*V7),6))</f>
        <v>0</v>
      </c>
      <c r="H15" s="21">
        <f>IF(ISERROR(ROUND(W2+($R3*W3)+($R4*W4)+($R5*W5)+($R6*W6)+($R7*W7),6)),"-",ROUND(W2+($R3*W3)+($R4*W4)+($R5*W5)+($R6*W6)+($R7*W7),6))</f>
        <v>0</v>
      </c>
    </row>
    <row r="16" spans="2:21" ht="50.25" customHeight="1" thickBot="1" x14ac:dyDescent="0.4">
      <c r="B16" s="65" t="s">
        <v>47</v>
      </c>
      <c r="D16" s="181" t="str">
        <f>IF(ISBLANK(D12),"-",IF(ISERROR(D12-D14),"Pupil Excluded",ROUND(D12-D14,2)))</f>
        <v>-</v>
      </c>
      <c r="F16" s="181" t="str">
        <f>IF(ISBLANK(F12),"-",IF(ISERROR(F12-F14),"Pupil Excluded",ROUND(F12-F14,2)))</f>
        <v>-</v>
      </c>
      <c r="H16" s="181" t="str">
        <f>IF(ISBLANK(H12),"-",IF(ISERROR(H12-H14),"Pupil Excluded",ROUND(H12-H14,2)))</f>
        <v>-</v>
      </c>
    </row>
    <row r="18" spans="12:14" ht="13.15" thickBot="1" x14ac:dyDescent="0.4"/>
    <row r="19" spans="12:14" ht="20.25" customHeight="1" x14ac:dyDescent="0.35">
      <c r="L19" s="333" t="s">
        <v>40</v>
      </c>
      <c r="M19" s="334"/>
      <c r="N19" s="335"/>
    </row>
    <row r="20" spans="12:14" ht="20.25" customHeight="1" thickBot="1" x14ac:dyDescent="0.4">
      <c r="L20" s="336"/>
      <c r="M20" s="337"/>
      <c r="N20" s="338"/>
    </row>
  </sheetData>
  <sheetProtection algorithmName="SHA-512" hashValue="GVWabS+y6D6D92/2/Oxxf49tUD0dBXv9NKWYWU0Teney51+/2oTq3DICRch0+BR26zTRYoCGvkEXOmlhxlb9jA==" saltValue="tKsQNxW5btUJzG0subQ94Q==" spinCount="100000" sheet="1" objects="1" scenarios="1" selectLockedCells="1"/>
  <mergeCells count="6">
    <mergeCell ref="D8:H8"/>
    <mergeCell ref="M2:N2"/>
    <mergeCell ref="L19:N20"/>
    <mergeCell ref="M3:N3"/>
    <mergeCell ref="M4:N4"/>
    <mergeCell ref="M5:N5"/>
  </mergeCells>
  <phoneticPr fontId="5" type="noConversion"/>
  <dataValidations count="1">
    <dataValidation type="decimal" allowBlank="1" showInputMessage="1" showErrorMessage="1" sqref="D12 F12 H12" xr:uid="{00000000-0002-0000-0600-000000000000}">
      <formula1>0</formula1>
      <formula2>9.5</formula2>
    </dataValidation>
  </dataValidations>
  <hyperlinks>
    <hyperlink ref="L19:L20" location="'1 Measure Ready Reckoner'!A1" display="To Single Measure Ready Reckoner  ---&gt;" xr:uid="{00000000-0004-0000-0600-000000000000}"/>
    <hyperlink ref="L19:M20" location="'All Measures Ready Reckoner'!D12" display="To All Measures Ready Reckoner  ---&gt;" xr:uid="{00000000-0004-0000-0600-000001000000}"/>
    <hyperlink ref="L19:N20" location="'Single Measure Ready Reckoner'!D12" display="Back to Single Measure Ready Reckoner  &lt;---" xr:uid="{00000000-0004-0000-0600-000002000000}"/>
  </hyperlinks>
  <pageMargins left="0.75" right="0.75" top="1" bottom="1" header="0.5" footer="0.5"/>
  <pageSetup paperSize="9" scale="74"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indexed="62"/>
    <pageSetUpPr fitToPage="1"/>
  </sheetPr>
  <dimension ref="B2:J79"/>
  <sheetViews>
    <sheetView zoomScale="90" workbookViewId="0">
      <selection activeCell="H21" sqref="H21:J22"/>
    </sheetView>
  </sheetViews>
  <sheetFormatPr defaultColWidth="9.1328125" defaultRowHeight="12.75" x14ac:dyDescent="0.35"/>
  <cols>
    <col min="1" max="1" width="2.265625" style="70" customWidth="1"/>
    <col min="2" max="2" width="11.86328125" style="70" customWidth="1"/>
    <col min="3" max="7" width="14.265625" style="70" customWidth="1"/>
    <col min="8" max="8" width="25.265625" style="70" bestFit="1" customWidth="1"/>
    <col min="9" max="9" width="21.3984375" style="70" customWidth="1"/>
    <col min="10" max="10" width="15.86328125" style="70" bestFit="1" customWidth="1"/>
    <col min="11" max="11" width="25.265625" style="70" bestFit="1" customWidth="1"/>
    <col min="12" max="13" width="12" style="70" customWidth="1"/>
    <col min="14" max="21" width="9.1328125" style="70"/>
    <col min="22" max="24" width="9.1328125" style="70" customWidth="1"/>
    <col min="25" max="16384" width="9.1328125" style="70"/>
  </cols>
  <sheetData>
    <row r="2" spans="2:8" ht="20.65" x14ac:dyDescent="0.6">
      <c r="B2" s="71" t="s">
        <v>167</v>
      </c>
    </row>
    <row r="3" spans="2:8" ht="42" customHeight="1" x14ac:dyDescent="0.4">
      <c r="B3" s="80" t="s">
        <v>168</v>
      </c>
    </row>
    <row r="4" spans="2:8" ht="15" x14ac:dyDescent="0.4">
      <c r="B4" s="80" t="s">
        <v>57</v>
      </c>
    </row>
    <row r="5" spans="2:8" ht="15" x14ac:dyDescent="0.4">
      <c r="B5" s="60" t="s">
        <v>59</v>
      </c>
    </row>
    <row r="6" spans="2:8" ht="13.15" x14ac:dyDescent="0.4">
      <c r="G6" s="347" t="s">
        <v>58</v>
      </c>
      <c r="H6" s="347"/>
    </row>
    <row r="7" spans="2:8" ht="39.4" x14ac:dyDescent="0.4">
      <c r="B7" s="345" t="s">
        <v>51</v>
      </c>
      <c r="C7" s="350" t="s">
        <v>162</v>
      </c>
      <c r="D7" s="351"/>
      <c r="E7" s="352"/>
      <c r="F7" s="163"/>
      <c r="G7" s="79" t="s">
        <v>55</v>
      </c>
      <c r="H7" s="79" t="s">
        <v>61</v>
      </c>
    </row>
    <row r="8" spans="2:8" ht="13.15" customHeight="1" x14ac:dyDescent="0.4">
      <c r="B8" s="346"/>
      <c r="C8" s="74" t="s">
        <v>11</v>
      </c>
      <c r="D8" s="74" t="s">
        <v>49</v>
      </c>
      <c r="E8" s="74" t="s">
        <v>50</v>
      </c>
      <c r="F8" s="161"/>
      <c r="G8" s="164">
        <v>1.5</v>
      </c>
      <c r="H8" s="78" t="s">
        <v>53</v>
      </c>
    </row>
    <row r="9" spans="2:8" ht="13.15" customHeight="1" x14ac:dyDescent="0.35">
      <c r="B9" s="75">
        <v>1.5</v>
      </c>
      <c r="C9" s="167">
        <v>2.12</v>
      </c>
      <c r="D9" s="167">
        <v>2.21</v>
      </c>
      <c r="E9" s="167">
        <v>5.51</v>
      </c>
      <c r="F9" s="162"/>
      <c r="G9" s="165">
        <v>2</v>
      </c>
      <c r="H9" s="78" t="s">
        <v>54</v>
      </c>
    </row>
    <row r="10" spans="2:8" ht="13.15" customHeight="1" x14ac:dyDescent="0.35">
      <c r="B10" s="75">
        <v>2</v>
      </c>
      <c r="C10" s="167">
        <v>2.0699999999999998</v>
      </c>
      <c r="D10" s="167">
        <v>1.81</v>
      </c>
      <c r="E10" s="167">
        <v>5.15</v>
      </c>
      <c r="G10" s="165">
        <v>2.5</v>
      </c>
      <c r="H10" s="78" t="s">
        <v>60</v>
      </c>
    </row>
    <row r="11" spans="2:8" ht="13.15" customHeight="1" x14ac:dyDescent="0.35">
      <c r="B11" s="75">
        <v>2.5</v>
      </c>
      <c r="C11" s="167">
        <v>1.93</v>
      </c>
      <c r="D11" s="167">
        <v>1.64</v>
      </c>
      <c r="E11" s="167">
        <v>4.32</v>
      </c>
      <c r="G11" s="165">
        <v>2.8</v>
      </c>
      <c r="H11" s="78" t="s">
        <v>62</v>
      </c>
    </row>
    <row r="12" spans="2:8" ht="13.15" customHeight="1" x14ac:dyDescent="0.35">
      <c r="B12" s="75">
        <v>2.8</v>
      </c>
      <c r="C12" s="167">
        <v>1.91</v>
      </c>
      <c r="D12" s="167">
        <v>1.44</v>
      </c>
      <c r="E12" s="167">
        <v>3.01</v>
      </c>
      <c r="G12" s="165">
        <v>5.8</v>
      </c>
      <c r="H12" s="78" t="s">
        <v>90</v>
      </c>
    </row>
    <row r="13" spans="2:8" ht="13.15" customHeight="1" x14ac:dyDescent="0.35">
      <c r="B13" s="75">
        <v>2.9</v>
      </c>
      <c r="C13" s="167">
        <v>2.0699999999999998</v>
      </c>
      <c r="D13" s="167">
        <v>1.55</v>
      </c>
      <c r="E13" s="167">
        <v>3.46</v>
      </c>
      <c r="G13" s="353" t="s">
        <v>56</v>
      </c>
      <c r="H13" s="353"/>
    </row>
    <row r="14" spans="2:8" ht="13.15" customHeight="1" x14ac:dyDescent="0.35">
      <c r="B14" s="75">
        <v>3</v>
      </c>
      <c r="C14" s="167">
        <v>2.14</v>
      </c>
      <c r="D14" s="167">
        <v>1.7</v>
      </c>
      <c r="E14" s="167">
        <v>3.65</v>
      </c>
      <c r="F14" s="76"/>
      <c r="G14" s="354"/>
      <c r="H14" s="354"/>
    </row>
    <row r="15" spans="2:8" ht="13.15" customHeight="1" x14ac:dyDescent="0.35">
      <c r="B15" s="75">
        <v>3.1</v>
      </c>
      <c r="C15" s="167">
        <v>2.21</v>
      </c>
      <c r="D15" s="167">
        <v>1.67</v>
      </c>
      <c r="E15" s="167">
        <v>3.23</v>
      </c>
      <c r="F15" s="76"/>
      <c r="G15" s="354"/>
      <c r="H15" s="354"/>
    </row>
    <row r="16" spans="2:8" ht="13.15" customHeight="1" x14ac:dyDescent="0.35">
      <c r="B16" s="75">
        <v>3.2</v>
      </c>
      <c r="C16" s="167">
        <v>2.2400000000000002</v>
      </c>
      <c r="D16" s="167">
        <v>1.77</v>
      </c>
      <c r="E16" s="167">
        <v>3.14</v>
      </c>
      <c r="F16" s="76"/>
    </row>
    <row r="17" spans="2:10" ht="13.15" customHeight="1" x14ac:dyDescent="0.35">
      <c r="B17" s="75">
        <v>3.3</v>
      </c>
      <c r="C17" s="167">
        <v>2.33</v>
      </c>
      <c r="D17" s="167">
        <v>1.84</v>
      </c>
      <c r="E17" s="167">
        <v>3.43</v>
      </c>
      <c r="F17" s="76"/>
    </row>
    <row r="18" spans="2:10" ht="13.15" customHeight="1" x14ac:dyDescent="0.35">
      <c r="B18" s="75">
        <v>3.4</v>
      </c>
      <c r="C18" s="167">
        <v>2.38</v>
      </c>
      <c r="D18" s="167">
        <v>1.9</v>
      </c>
      <c r="E18" s="167">
        <v>3.46</v>
      </c>
      <c r="F18" s="76"/>
    </row>
    <row r="19" spans="2:10" ht="13.15" customHeight="1" x14ac:dyDescent="0.35">
      <c r="B19" s="75">
        <v>3.5</v>
      </c>
      <c r="C19" s="167">
        <v>2.44</v>
      </c>
      <c r="D19" s="167">
        <v>2.04</v>
      </c>
      <c r="E19" s="167">
        <v>3.64</v>
      </c>
      <c r="F19" s="76"/>
    </row>
    <row r="20" spans="2:10" ht="13.15" customHeight="1" thickBot="1" x14ac:dyDescent="0.4">
      <c r="B20" s="75">
        <v>3.6</v>
      </c>
      <c r="C20" s="167">
        <v>2.52</v>
      </c>
      <c r="D20" s="167">
        <v>2.04</v>
      </c>
      <c r="E20" s="167">
        <v>3.46</v>
      </c>
      <c r="F20" s="76"/>
    </row>
    <row r="21" spans="2:10" ht="13.15" customHeight="1" x14ac:dyDescent="0.35">
      <c r="B21" s="75">
        <v>3.7</v>
      </c>
      <c r="C21" s="167">
        <v>2.57</v>
      </c>
      <c r="D21" s="167">
        <v>2.15</v>
      </c>
      <c r="E21" s="167">
        <v>3.26</v>
      </c>
      <c r="F21" s="76"/>
      <c r="H21" s="333" t="s">
        <v>40</v>
      </c>
      <c r="I21" s="334"/>
      <c r="J21" s="335"/>
    </row>
    <row r="22" spans="2:10" ht="13.15" customHeight="1" thickBot="1" x14ac:dyDescent="0.4">
      <c r="B22" s="75">
        <v>3.8</v>
      </c>
      <c r="C22" s="167">
        <v>2.65</v>
      </c>
      <c r="D22" s="167">
        <v>2.2400000000000002</v>
      </c>
      <c r="E22" s="167">
        <v>3.24</v>
      </c>
      <c r="F22" s="76"/>
      <c r="H22" s="336"/>
      <c r="I22" s="337"/>
      <c r="J22" s="338"/>
    </row>
    <row r="23" spans="2:10" ht="13.15" customHeight="1" thickBot="1" x14ac:dyDescent="0.4">
      <c r="B23" s="75">
        <v>3.9</v>
      </c>
      <c r="C23" s="167">
        <v>2.78</v>
      </c>
      <c r="D23" s="167">
        <v>2.39</v>
      </c>
      <c r="E23" s="167">
        <v>3.28</v>
      </c>
    </row>
    <row r="24" spans="2:10" ht="13.15" customHeight="1" x14ac:dyDescent="0.35">
      <c r="B24" s="75">
        <v>4</v>
      </c>
      <c r="C24" s="167">
        <v>2.9</v>
      </c>
      <c r="D24" s="167">
        <v>2.48</v>
      </c>
      <c r="E24" s="167">
        <v>3.3</v>
      </c>
      <c r="H24" s="254" t="s">
        <v>118</v>
      </c>
      <c r="I24" s="348"/>
      <c r="J24" s="255"/>
    </row>
    <row r="25" spans="2:10" ht="13.15" customHeight="1" thickBot="1" x14ac:dyDescent="0.4">
      <c r="B25" s="75">
        <v>4.0999999999999996</v>
      </c>
      <c r="C25" s="167">
        <v>2.99</v>
      </c>
      <c r="D25" s="167">
        <v>2.57</v>
      </c>
      <c r="E25" s="167">
        <v>3.34</v>
      </c>
      <c r="H25" s="258"/>
      <c r="I25" s="349"/>
      <c r="J25" s="259"/>
    </row>
    <row r="26" spans="2:10" ht="13.15" customHeight="1" thickBot="1" x14ac:dyDescent="0.4">
      <c r="B26" s="75">
        <v>4.2</v>
      </c>
      <c r="C26" s="167">
        <v>3.14</v>
      </c>
      <c r="D26" s="167">
        <v>2.75</v>
      </c>
      <c r="E26" s="167">
        <v>3.45</v>
      </c>
    </row>
    <row r="27" spans="2:10" ht="13.15" customHeight="1" x14ac:dyDescent="0.35">
      <c r="B27" s="75">
        <v>4.3</v>
      </c>
      <c r="C27" s="167">
        <v>3.26</v>
      </c>
      <c r="D27" s="167">
        <v>2.88</v>
      </c>
      <c r="E27" s="167">
        <v>3.49</v>
      </c>
      <c r="H27" s="333" t="s">
        <v>41</v>
      </c>
      <c r="I27" s="334"/>
      <c r="J27" s="335"/>
    </row>
    <row r="28" spans="2:10" ht="13.15" customHeight="1" thickBot="1" x14ac:dyDescent="0.4">
      <c r="B28" s="75">
        <v>4.4000000000000004</v>
      </c>
      <c r="C28" s="167">
        <v>3.45</v>
      </c>
      <c r="D28" s="167">
        <v>3.07</v>
      </c>
      <c r="E28" s="167">
        <v>3.52</v>
      </c>
      <c r="H28" s="336"/>
      <c r="I28" s="337"/>
      <c r="J28" s="338"/>
    </row>
    <row r="29" spans="2:10" ht="13.15" customHeight="1" x14ac:dyDescent="0.35">
      <c r="B29" s="75">
        <v>4.5</v>
      </c>
      <c r="C29" s="167">
        <v>3.6</v>
      </c>
      <c r="D29" s="167">
        <v>3.25</v>
      </c>
      <c r="E29" s="167">
        <v>3.63</v>
      </c>
    </row>
    <row r="30" spans="2:10" ht="13.15" customHeight="1" x14ac:dyDescent="0.35">
      <c r="B30" s="75">
        <v>4.5999999999999996</v>
      </c>
      <c r="C30" s="167">
        <v>3.8</v>
      </c>
      <c r="D30" s="167">
        <v>3.49</v>
      </c>
      <c r="E30" s="167">
        <v>3.74</v>
      </c>
    </row>
    <row r="31" spans="2:10" ht="13.15" customHeight="1" x14ac:dyDescent="0.35">
      <c r="B31" s="75">
        <v>4.7</v>
      </c>
      <c r="C31" s="167">
        <v>4.0199999999999996</v>
      </c>
      <c r="D31" s="167">
        <v>3.76</v>
      </c>
      <c r="E31" s="167">
        <v>3.86</v>
      </c>
    </row>
    <row r="32" spans="2:10" ht="13.15" customHeight="1" x14ac:dyDescent="0.35">
      <c r="B32" s="75">
        <v>4.8</v>
      </c>
      <c r="C32" s="167">
        <v>4.25</v>
      </c>
      <c r="D32" s="167">
        <v>4.0199999999999996</v>
      </c>
      <c r="E32" s="167">
        <v>3.99</v>
      </c>
    </row>
    <row r="33" spans="2:10" ht="13.15" customHeight="1" x14ac:dyDescent="0.35">
      <c r="B33" s="75">
        <v>4.9000000000000004</v>
      </c>
      <c r="C33" s="167">
        <v>4.49</v>
      </c>
      <c r="D33" s="167">
        <v>4.3</v>
      </c>
      <c r="E33" s="167">
        <v>4.13</v>
      </c>
    </row>
    <row r="34" spans="2:10" ht="13.15" customHeight="1" x14ac:dyDescent="0.35">
      <c r="B34" s="75">
        <v>5</v>
      </c>
      <c r="C34" s="167">
        <v>4.7699999999999996</v>
      </c>
      <c r="D34" s="167">
        <v>4.62</v>
      </c>
      <c r="E34" s="167">
        <v>4.33</v>
      </c>
    </row>
    <row r="35" spans="2:10" ht="13.15" customHeight="1" x14ac:dyDescent="0.35">
      <c r="B35" s="75">
        <v>5.0999999999999996</v>
      </c>
      <c r="C35" s="167">
        <v>5.08</v>
      </c>
      <c r="D35" s="167">
        <v>4.97</v>
      </c>
      <c r="E35" s="167">
        <v>4.5</v>
      </c>
    </row>
    <row r="36" spans="2:10" ht="13.15" customHeight="1" x14ac:dyDescent="0.35">
      <c r="B36" s="75">
        <v>5.2</v>
      </c>
      <c r="C36" s="167">
        <v>5.39</v>
      </c>
      <c r="D36" s="167">
        <v>5.28</v>
      </c>
      <c r="E36" s="167">
        <v>4.71</v>
      </c>
    </row>
    <row r="37" spans="2:10" ht="13.15" customHeight="1" x14ac:dyDescent="0.35">
      <c r="B37" s="75">
        <v>5.3</v>
      </c>
      <c r="C37" s="167">
        <v>5.75</v>
      </c>
      <c r="D37" s="167">
        <v>5.6</v>
      </c>
      <c r="E37" s="167">
        <v>4.96</v>
      </c>
    </row>
    <row r="38" spans="2:10" ht="13.15" customHeight="1" x14ac:dyDescent="0.35">
      <c r="B38" s="75">
        <v>5.4</v>
      </c>
      <c r="C38" s="167">
        <v>6.14</v>
      </c>
      <c r="D38" s="167">
        <v>6.01</v>
      </c>
      <c r="E38" s="167">
        <v>5.29</v>
      </c>
    </row>
    <row r="39" spans="2:10" ht="13.15" customHeight="1" x14ac:dyDescent="0.35">
      <c r="B39" s="75">
        <v>5.5</v>
      </c>
      <c r="C39" s="167">
        <v>6.55</v>
      </c>
      <c r="D39" s="167">
        <v>6.4</v>
      </c>
      <c r="E39" s="167">
        <v>5.61</v>
      </c>
    </row>
    <row r="40" spans="2:10" ht="13.15" customHeight="1" x14ac:dyDescent="0.35">
      <c r="B40" s="75">
        <v>5.6</v>
      </c>
      <c r="C40" s="167">
        <v>7.04</v>
      </c>
      <c r="D40" s="167">
        <v>6.86</v>
      </c>
      <c r="E40" s="167">
        <v>6.07</v>
      </c>
    </row>
    <row r="41" spans="2:10" x14ac:dyDescent="0.35">
      <c r="B41" s="73">
        <v>5.7</v>
      </c>
      <c r="C41" s="167">
        <v>7.57</v>
      </c>
      <c r="D41" s="167">
        <v>7.35</v>
      </c>
      <c r="E41" s="167">
        <v>6.59</v>
      </c>
    </row>
    <row r="42" spans="2:10" x14ac:dyDescent="0.35">
      <c r="B42" s="166">
        <v>5.8</v>
      </c>
      <c r="C42" s="167">
        <v>8.09</v>
      </c>
      <c r="D42" s="167">
        <v>7.85</v>
      </c>
      <c r="E42" s="167">
        <v>7.21</v>
      </c>
    </row>
    <row r="43" spans="2:10" ht="71.25" customHeight="1" x14ac:dyDescent="0.35">
      <c r="B43" s="83"/>
      <c r="C43" s="83"/>
      <c r="D43" s="83"/>
      <c r="E43" s="83"/>
      <c r="F43" s="72"/>
      <c r="G43" s="72"/>
    </row>
    <row r="44" spans="2:10" x14ac:dyDescent="0.35">
      <c r="B44" s="84"/>
      <c r="C44" s="84"/>
      <c r="D44" s="84"/>
      <c r="E44" s="83"/>
      <c r="F44" s="72"/>
      <c r="G44" s="72"/>
      <c r="H44" s="81"/>
      <c r="J44" s="72"/>
    </row>
    <row r="45" spans="2:10" x14ac:dyDescent="0.35">
      <c r="B45" s="84"/>
      <c r="C45" s="84"/>
      <c r="D45" s="84"/>
      <c r="E45" s="83"/>
      <c r="F45" s="72"/>
      <c r="G45" s="72"/>
      <c r="H45" s="81"/>
    </row>
    <row r="46" spans="2:10" x14ac:dyDescent="0.35">
      <c r="B46" s="84" t="s">
        <v>52</v>
      </c>
      <c r="C46" s="84" t="s">
        <v>31</v>
      </c>
      <c r="D46" s="85">
        <v>2</v>
      </c>
      <c r="E46" s="83"/>
      <c r="F46" s="72"/>
      <c r="G46" s="72"/>
      <c r="H46" s="81"/>
    </row>
    <row r="47" spans="2:10" x14ac:dyDescent="0.35">
      <c r="B47" s="86"/>
      <c r="C47" s="84" t="s">
        <v>42</v>
      </c>
      <c r="D47" s="84">
        <v>3</v>
      </c>
      <c r="E47" s="83"/>
      <c r="F47" s="72"/>
      <c r="G47" s="72"/>
      <c r="H47" s="81"/>
    </row>
    <row r="48" spans="2:10" x14ac:dyDescent="0.35">
      <c r="B48" s="87"/>
      <c r="C48" s="84" t="s">
        <v>43</v>
      </c>
      <c r="D48" s="84">
        <v>4</v>
      </c>
      <c r="E48" s="83"/>
      <c r="F48" s="72"/>
      <c r="G48" s="72"/>
      <c r="H48" s="81"/>
    </row>
    <row r="49" spans="2:8" ht="26.25" customHeight="1" x14ac:dyDescent="0.35">
      <c r="B49" s="84"/>
      <c r="C49" s="84" t="s">
        <v>44</v>
      </c>
      <c r="D49" s="84">
        <v>5</v>
      </c>
      <c r="E49" s="83"/>
      <c r="F49" s="72"/>
      <c r="G49" s="72"/>
      <c r="H49" s="81"/>
    </row>
    <row r="50" spans="2:8" x14ac:dyDescent="0.35">
      <c r="B50" s="84"/>
      <c r="C50" s="84" t="s">
        <v>45</v>
      </c>
      <c r="D50" s="84">
        <v>6</v>
      </c>
      <c r="E50" s="83"/>
      <c r="F50" s="72"/>
      <c r="G50" s="72"/>
      <c r="H50" s="81"/>
    </row>
    <row r="51" spans="2:8" x14ac:dyDescent="0.35">
      <c r="B51" s="84"/>
      <c r="C51" s="84" t="s">
        <v>46</v>
      </c>
      <c r="D51" s="84">
        <v>7</v>
      </c>
      <c r="E51" s="83"/>
      <c r="F51" s="72"/>
      <c r="G51" s="72"/>
      <c r="H51" s="81"/>
    </row>
    <row r="52" spans="2:8" x14ac:dyDescent="0.35">
      <c r="B52" s="83"/>
      <c r="C52" s="83"/>
      <c r="D52" s="83"/>
      <c r="E52" s="83"/>
      <c r="F52" s="72"/>
      <c r="G52" s="72"/>
      <c r="H52" s="81"/>
    </row>
    <row r="53" spans="2:8" x14ac:dyDescent="0.35">
      <c r="B53" s="83"/>
      <c r="C53" s="83"/>
      <c r="D53" s="83"/>
      <c r="E53" s="83"/>
      <c r="F53" s="72"/>
      <c r="G53" s="72"/>
      <c r="H53" s="81"/>
    </row>
    <row r="54" spans="2:8" x14ac:dyDescent="0.35">
      <c r="B54" s="83"/>
      <c r="C54" s="83"/>
      <c r="D54" s="83"/>
      <c r="E54" s="83"/>
      <c r="F54" s="72"/>
      <c r="G54" s="72"/>
      <c r="H54" s="81"/>
    </row>
    <row r="55" spans="2:8" x14ac:dyDescent="0.35">
      <c r="B55" s="83"/>
      <c r="C55" s="83"/>
      <c r="D55" s="83"/>
      <c r="E55" s="83"/>
      <c r="F55" s="72"/>
      <c r="G55" s="72"/>
      <c r="H55" s="81"/>
    </row>
    <row r="56" spans="2:8" x14ac:dyDescent="0.35">
      <c r="B56" s="72"/>
      <c r="C56" s="72"/>
      <c r="D56" s="72"/>
      <c r="E56" s="72"/>
      <c r="F56" s="72"/>
      <c r="G56" s="72"/>
      <c r="H56" s="81"/>
    </row>
    <row r="57" spans="2:8" x14ac:dyDescent="0.35">
      <c r="B57" s="72"/>
      <c r="C57" s="72"/>
      <c r="D57" s="82"/>
      <c r="E57" s="72"/>
      <c r="F57" s="72"/>
      <c r="G57" s="72"/>
      <c r="H57" s="81"/>
    </row>
    <row r="58" spans="2:8" x14ac:dyDescent="0.35">
      <c r="B58" s="72"/>
      <c r="C58" s="72"/>
      <c r="D58" s="72"/>
      <c r="E58" s="72"/>
      <c r="F58" s="72"/>
      <c r="G58" s="72"/>
      <c r="H58" s="81"/>
    </row>
    <row r="59" spans="2:8" x14ac:dyDescent="0.35">
      <c r="B59" s="72"/>
      <c r="C59" s="72"/>
      <c r="D59" s="72"/>
      <c r="E59" s="72"/>
      <c r="F59" s="72"/>
      <c r="G59" s="72"/>
      <c r="H59" s="81"/>
    </row>
    <row r="60" spans="2:8" x14ac:dyDescent="0.35">
      <c r="H60" s="81"/>
    </row>
    <row r="61" spans="2:8" x14ac:dyDescent="0.35">
      <c r="H61" s="81"/>
    </row>
    <row r="62" spans="2:8" x14ac:dyDescent="0.35">
      <c r="H62" s="81"/>
    </row>
    <row r="63" spans="2:8" x14ac:dyDescent="0.35">
      <c r="H63" s="81"/>
    </row>
    <row r="64" spans="2:8" x14ac:dyDescent="0.35">
      <c r="H64" s="81"/>
    </row>
    <row r="65" spans="8:9" x14ac:dyDescent="0.35">
      <c r="H65" s="81"/>
    </row>
    <row r="66" spans="8:9" x14ac:dyDescent="0.35">
      <c r="H66" s="81"/>
    </row>
    <row r="67" spans="8:9" x14ac:dyDescent="0.35">
      <c r="H67" s="81"/>
    </row>
    <row r="68" spans="8:9" x14ac:dyDescent="0.35">
      <c r="H68" s="81"/>
    </row>
    <row r="69" spans="8:9" x14ac:dyDescent="0.35">
      <c r="H69" s="81"/>
    </row>
    <row r="70" spans="8:9" x14ac:dyDescent="0.35">
      <c r="H70" s="81"/>
    </row>
    <row r="71" spans="8:9" x14ac:dyDescent="0.35">
      <c r="H71" s="81"/>
    </row>
    <row r="72" spans="8:9" x14ac:dyDescent="0.35">
      <c r="H72" s="81"/>
    </row>
    <row r="73" spans="8:9" x14ac:dyDescent="0.35">
      <c r="H73" s="81"/>
    </row>
    <row r="74" spans="8:9" x14ac:dyDescent="0.35">
      <c r="H74" s="81"/>
    </row>
    <row r="75" spans="8:9" x14ac:dyDescent="0.35">
      <c r="H75" s="81"/>
    </row>
    <row r="76" spans="8:9" x14ac:dyDescent="0.35">
      <c r="H76" s="81"/>
    </row>
    <row r="79" spans="8:9" x14ac:dyDescent="0.35">
      <c r="I79" s="77"/>
    </row>
  </sheetData>
  <sheetProtection algorithmName="SHA-512" hashValue="SbR5moSqu+cMgZ2F+3gdnwVu0Y4MvuuCEofGEvRSolUM1vWX78loI/HDTbXvlxFPn5b1AM25HJtbohPFHHLkqA==" saltValue="8Pis5cHskzZyp7i34MXg2g==" spinCount="100000" sheet="1" objects="1" scenarios="1" selectLockedCells="1"/>
  <mergeCells count="7">
    <mergeCell ref="H27:J28"/>
    <mergeCell ref="B7:B8"/>
    <mergeCell ref="G6:H6"/>
    <mergeCell ref="H21:J22"/>
    <mergeCell ref="H24:J25"/>
    <mergeCell ref="C7:E7"/>
    <mergeCell ref="G13:H15"/>
  </mergeCells>
  <phoneticPr fontId="5" type="noConversion"/>
  <hyperlinks>
    <hyperlink ref="H24:J25" location="'All Measures Ready Reckoner'!A1" display="Back to All Measures Ready Reckoner &lt;---" xr:uid="{00000000-0004-0000-0700-000000000000}"/>
    <hyperlink ref="H21:J22" location="'Single Measure Ready Reckoner'!A1" display="Back to Single Measure Ready Reckoner  &lt;---" xr:uid="{00000000-0004-0000-0700-000001000000}"/>
    <hyperlink ref="H27:J28" location="Guidance!A1" display="Back to Ready Reckoner Guidance &lt;---" xr:uid="{00000000-0004-0000-0700-000002000000}"/>
  </hyperlinks>
  <pageMargins left="0.75" right="0.75" top="1" bottom="1" header="0.5" footer="0.5"/>
  <pageSetup paperSize="9"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C7:D24"/>
  <sheetViews>
    <sheetView workbookViewId="0">
      <selection activeCell="F18" sqref="F18"/>
    </sheetView>
  </sheetViews>
  <sheetFormatPr defaultRowHeight="12.75" x14ac:dyDescent="0.35"/>
  <cols>
    <col min="3" max="4" width="58.86328125" customWidth="1"/>
  </cols>
  <sheetData>
    <row r="7" spans="3:4" x14ac:dyDescent="0.35">
      <c r="C7">
        <v>0</v>
      </c>
      <c r="D7">
        <v>0</v>
      </c>
    </row>
    <row r="8" spans="3:4" x14ac:dyDescent="0.35">
      <c r="C8">
        <v>600</v>
      </c>
      <c r="D8">
        <v>600</v>
      </c>
    </row>
    <row r="9" spans="3:4" x14ac:dyDescent="0.35">
      <c r="C9">
        <v>0</v>
      </c>
      <c r="D9">
        <v>0</v>
      </c>
    </row>
    <row r="10" spans="3:4" x14ac:dyDescent="0.35">
      <c r="C10">
        <v>15</v>
      </c>
      <c r="D10">
        <v>15</v>
      </c>
    </row>
    <row r="12" spans="3:4" ht="272.25" customHeight="1" x14ac:dyDescent="0.35"/>
    <row r="23" spans="4:4" x14ac:dyDescent="0.35">
      <c r="D23" s="42"/>
    </row>
    <row r="24" spans="4:4" ht="12.75" customHeight="1" x14ac:dyDescent="0.35"/>
  </sheetData>
  <phoneticPr fontId="5" type="noConversion"/>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71CE72AA-E758-4C1C-9B0D-B117A1EFC2D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Guide to Ready Reckoners</vt:lpstr>
      <vt:lpstr>Guidance</vt:lpstr>
      <vt:lpstr>new drop down lookup</vt:lpstr>
      <vt:lpstr>KS2 Fine grades lookup</vt:lpstr>
      <vt:lpstr>Key stage 2 Data Input</vt:lpstr>
      <vt:lpstr>Single Measure Ready Reckoner</vt:lpstr>
      <vt:lpstr>All Measures Ready Reckoner</vt:lpstr>
      <vt:lpstr>Model values</vt:lpstr>
      <vt:lpstr>Chart Data</vt:lpstr>
      <vt:lpstr>'All Measures Ready Reckoner'!Print_Area</vt:lpstr>
      <vt:lpstr>'Key stage 2 Data Input'!Print_Area</vt:lpstr>
      <vt:lpstr>'Single Measure Ready Reckoner'!Print_Area</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GLEDHILL, Jacob</dc:creator>
  <cp:lastModifiedBy>MCARDLE, Laura</cp:lastModifiedBy>
  <cp:lastPrinted>2012-10-16T14:13:28Z</cp:lastPrinted>
  <dcterms:created xsi:type="dcterms:W3CDTF">2011-06-16T12:50:47Z</dcterms:created>
  <dcterms:modified xsi:type="dcterms:W3CDTF">2022-07-01T14:25:35Z</dcterms:modified>
</cp:coreProperties>
</file>