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showInkAnnotation="0" codeName="ThisWorkbook" defaultThemeVersion="124226"/>
  <mc:AlternateContent xmlns:mc="http://schemas.openxmlformats.org/markup-compatibility/2006">
    <mc:Choice Requires="x15">
      <x15ac:absPath xmlns:x15ac="http://schemas.microsoft.com/office/spreadsheetml/2010/11/ac" url="https://educationgovuk-my.sharepoint.com/personal/laura_mcardle_education_gov_uk/Documents/Desktop/EOI - Elaine's Team/CSCP Archiving/Keystage 4/"/>
    </mc:Choice>
  </mc:AlternateContent>
  <xr:revisionPtr revIDLastSave="0" documentId="8_{BB3778A6-5CA5-47A1-BF80-BA9398836A5C}" xr6:coauthVersionLast="47" xr6:coauthVersionMax="47" xr10:uidLastSave="{00000000-0000-0000-0000-000000000000}"/>
  <workbookProtection workbookAlgorithmName="SHA-512" workbookHashValue="CeKTR9RD44MHZcd+Y7KWqL0qMfikANxPdI4BgNwJQLEchEa2ufRqa2cUe1ES/ngMIx7oKYPKUgbLvd/93DixuQ==" workbookSaltValue="dQbwDwXOBE/D7h37jGuatQ==" workbookSpinCount="100000" lockStructure="1"/>
  <bookViews>
    <workbookView showHorizontalScroll="0" xWindow="44902" yWindow="-98" windowWidth="28995" windowHeight="15796" tabRatio="643" xr2:uid="{00000000-000D-0000-FFFF-FFFF00000000}"/>
  </bookViews>
  <sheets>
    <sheet name="Guide to Ready Reckoners" sheetId="16" r:id="rId1"/>
    <sheet name="Guidance" sheetId="3" r:id="rId2"/>
    <sheet name="new drop down lookup" sheetId="17" state="hidden" r:id="rId3"/>
    <sheet name="KS2 Fine grades lookup" sheetId="4" state="hidden" r:id="rId4"/>
    <sheet name="Key stage 2 Data Input" sheetId="1" r:id="rId5"/>
    <sheet name="Single Measure Ready Reckoner" sheetId="2" r:id="rId6"/>
    <sheet name="All Measures Ready Reckoner" sheetId="13" r:id="rId7"/>
    <sheet name="Coefficients" sheetId="11" state="hidden" r:id="rId8"/>
    <sheet name="Model values" sheetId="15" r:id="rId9"/>
    <sheet name="PAG Limits " sheetId="18" r:id="rId10"/>
    <sheet name="Chart Data" sheetId="6" state="hidden" r:id="rId11"/>
  </sheets>
  <externalReferences>
    <externalReference r:id="rId12"/>
    <externalReference r:id="rId13"/>
    <externalReference r:id="rId14"/>
  </externalReferences>
  <definedNames>
    <definedName name="getChart" localSheetId="6">IF('[1]Single Measure Ready Reckoner'!$G$9='[1]Single Measure Ready Reckoner'!$X$6,INDIRECT("'Chart Data'!$C$12"),INDIRECT("'Chart Data'!$D$12"))</definedName>
    <definedName name="getChart" localSheetId="0">IF('[2]Single Measure Ready Reckoner'!$G$9='[2]Single Measure Ready Reckoner'!$X$6,INDIRECT("'Chart Data'!$C$12"),INDIRECT("'Chart Data'!$D$12"))</definedName>
    <definedName name="getChart" localSheetId="8">IF('[1]Single Measure Ready Reckoner'!$G$9='[1]Single Measure Ready Reckoner'!$X$6,INDIRECT("'Chart Data'!$C$12"),INDIRECT("'Chart Data'!$D$12"))</definedName>
    <definedName name="getChart" localSheetId="9">IF('[3]Single Measure Ready Reckoner'!$G$9='[3]Single Measure Ready Reckoner'!#REF!,INDIRECT("'Chart Data'!$C$12"),INDIRECT("'Chart Data'!$D$12"))</definedName>
    <definedName name="getChart">IF('Single Measure Ready Reckoner'!#REF!='Single Measure Ready Reckoner'!$S$6,INDIRECT("'Chart Data'!$C$12"),INDIRECT("'Chart Data'!$D$12"))</definedName>
    <definedName name="getChart2" localSheetId="6">IF('[1]Single Measure Ready Reckoner'!$G$9='[1]Single Measure Ready Reckoner'!$X$6,INDIRECT("'Chart Data'!$D$24"),INDIRECT("'Chart Data'!$C$24"))</definedName>
    <definedName name="getChart2" localSheetId="0">IF('[2]Single Measure Ready Reckoner'!$G$9='[2]Single Measure Ready Reckoner'!$X$6,INDIRECT("'Chart Data'!$D$24"),INDIRECT("'Chart Data'!$C$24"))</definedName>
    <definedName name="getChart2" localSheetId="8">IF('[1]Single Measure Ready Reckoner'!$G$9='[1]Single Measure Ready Reckoner'!$X$6,INDIRECT("'Chart Data'!$D$24"),INDIRECT("'Chart Data'!$C$24"))</definedName>
    <definedName name="getChart2" localSheetId="9">IF('[3]Single Measure Ready Reckoner'!$G$9='[3]Single Measure Ready Reckoner'!#REF!,INDIRECT("'Chart Data'!$D$24"),INDIRECT("'Chart Data'!$C$24"))</definedName>
    <definedName name="getChart2">IF('Single Measure Ready Reckoner'!#REF!='Single Measure Ready Reckoner'!$S$6,INDIRECT("'Chart Data'!$D$24"),INDIRECT("'Chart Data'!$C$24"))</definedName>
    <definedName name="_xlnm.Print_Area" localSheetId="6">'All Measures Ready Reckoner'!$A$1:$O$27</definedName>
    <definedName name="_xlnm.Print_Area" localSheetId="4">'Key stage 2 Data Input'!$A$1:$H$32</definedName>
    <definedName name="_xlnm.Print_Area" localSheetId="5">'Single Measure Ready Reckoner'!$A$1:$R$41</definedName>
    <definedName name="Scores" localSheetId="6">OFFSET('[1]Single Measure Ready Reckoner'!$Y$1,0,0,SUM('[1]Single Measure Ready Reckoner'!$AE$1:$AE$566),1)</definedName>
    <definedName name="Scores" localSheetId="0">OFFSET('[2]Single Measure Ready Reckoner'!$Y$1,0,0,SUM('[2]Single Measure Ready Reckoner'!$AE$1:$AE$566),1)</definedName>
    <definedName name="Scores" localSheetId="8">OFFSET('[1]Single Measure Ready Reckoner'!$Y$1,0,0,SUM('[1]Single Measure Ready Reckoner'!$AE$1:$AE$566),1)</definedName>
    <definedName name="Scores" localSheetId="9">OFFSET('[3]Single Measure Ready Reckoner'!#REF!,0,0,SUM('[3]Single Measure Ready Reckoner'!#REF!),1)</definedName>
    <definedName name="Scores">OFFSET('Single Measure Ready Reckoner'!$T$1,0,0,SUM('Single Measure Ready Reckoner'!#REF!),1)</definedName>
    <definedName name="thresholds">'[3]KS2 Fine grades lookup'!$S$6:$Z$10</definedName>
    <definedName name="years" localSheetId="6">#REF!</definedName>
    <definedName name="years" localSheetId="0">#REF!</definedName>
    <definedName name="years" localSheetId="8">#REF!</definedName>
    <definedName name="years" localSheetId="9">#REF!</definedName>
    <definedName name="yea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15" l="1"/>
  <c r="E42" i="15" l="1"/>
  <c r="E11" i="4" l="1"/>
  <c r="E12" i="4" s="1"/>
  <c r="E13" i="4" s="1"/>
  <c r="G13" i="4" s="1"/>
  <c r="A16" i="4"/>
  <c r="A17" i="4" s="1"/>
  <c r="F10" i="17"/>
  <c r="F11" i="17"/>
  <c r="E11" i="17" s="1"/>
  <c r="J12" i="1" s="1"/>
  <c r="L12" i="1" s="1"/>
  <c r="F12" i="17"/>
  <c r="F13" i="17"/>
  <c r="F14" i="17"/>
  <c r="E14" i="17" s="1"/>
  <c r="J15" i="1" s="1"/>
  <c r="L15" i="1" s="1"/>
  <c r="F15" i="17"/>
  <c r="AM6" i="2"/>
  <c r="AM7" i="2"/>
  <c r="AM8" i="2"/>
  <c r="AM9" i="2"/>
  <c r="AM10" i="2"/>
  <c r="AM11" i="2"/>
  <c r="AM12" i="2"/>
  <c r="AM13" i="2"/>
  <c r="AM14" i="2"/>
  <c r="AM15" i="2"/>
  <c r="AM16" i="2"/>
  <c r="AM17" i="2"/>
  <c r="AM18" i="2"/>
  <c r="AM19" i="2"/>
  <c r="AM20" i="2"/>
  <c r="AM5" i="2"/>
  <c r="AF6" i="13"/>
  <c r="AF7" i="13"/>
  <c r="AF8" i="13"/>
  <c r="AF9" i="13"/>
  <c r="AF10" i="13"/>
  <c r="AF11" i="13"/>
  <c r="AF12" i="13"/>
  <c r="AF13" i="13"/>
  <c r="AF14" i="13"/>
  <c r="AF15" i="13"/>
  <c r="AF16" i="13"/>
  <c r="AF17" i="13"/>
  <c r="AF18" i="13"/>
  <c r="AF19" i="13"/>
  <c r="AF20" i="13"/>
  <c r="AF5" i="13"/>
  <c r="D10" i="15"/>
  <c r="D42" i="11" s="1"/>
  <c r="E10" i="15"/>
  <c r="E42" i="11" s="1"/>
  <c r="C11" i="15"/>
  <c r="C43" i="11" s="1"/>
  <c r="D11" i="15"/>
  <c r="D43" i="11" s="1"/>
  <c r="G11" i="15"/>
  <c r="G43" i="11" s="1"/>
  <c r="C12" i="15"/>
  <c r="C44" i="11" s="1"/>
  <c r="F12" i="15"/>
  <c r="F44" i="11" s="1"/>
  <c r="G12" i="15"/>
  <c r="G44" i="11" s="1"/>
  <c r="E13" i="15"/>
  <c r="E45" i="11" s="1"/>
  <c r="F13" i="15"/>
  <c r="F45" i="11" s="1"/>
  <c r="D14" i="15"/>
  <c r="D46" i="11" s="1"/>
  <c r="E14" i="15"/>
  <c r="E46" i="11" s="1"/>
  <c r="C15" i="15"/>
  <c r="C47" i="11" s="1"/>
  <c r="D15" i="15"/>
  <c r="D47" i="11" s="1"/>
  <c r="G15" i="15"/>
  <c r="G47" i="11" s="1"/>
  <c r="C16" i="15"/>
  <c r="C48" i="11" s="1"/>
  <c r="F16" i="15"/>
  <c r="F48" i="11" s="1"/>
  <c r="G16" i="15"/>
  <c r="G48" i="11" s="1"/>
  <c r="G17" i="15"/>
  <c r="G49" i="11" s="1"/>
  <c r="E18" i="15"/>
  <c r="E50" i="11" s="1"/>
  <c r="F18" i="15"/>
  <c r="F50" i="11" s="1"/>
  <c r="D19" i="15"/>
  <c r="D51" i="11" s="1"/>
  <c r="E19" i="15"/>
  <c r="E51" i="11" s="1"/>
  <c r="C20" i="15"/>
  <c r="C52" i="11" s="1"/>
  <c r="D20" i="15"/>
  <c r="D52" i="11" s="1"/>
  <c r="G20" i="15"/>
  <c r="G52" i="11" s="1"/>
  <c r="C21" i="15"/>
  <c r="C53" i="11" s="1"/>
  <c r="F21" i="15"/>
  <c r="F53" i="11" s="1"/>
  <c r="G21" i="15"/>
  <c r="G53" i="11" s="1"/>
  <c r="E22" i="15"/>
  <c r="E54" i="11" s="1"/>
  <c r="F22" i="15"/>
  <c r="F54" i="11" s="1"/>
  <c r="D23" i="15"/>
  <c r="D55" i="11" s="1"/>
  <c r="E23" i="15"/>
  <c r="E55" i="11" s="1"/>
  <c r="C24" i="15"/>
  <c r="C56" i="11" s="1"/>
  <c r="D24" i="15"/>
  <c r="D56" i="11" s="1"/>
  <c r="G24" i="15"/>
  <c r="G56" i="11" s="1"/>
  <c r="C25" i="15"/>
  <c r="C57" i="11" s="1"/>
  <c r="F25" i="15"/>
  <c r="F57" i="11" s="1"/>
  <c r="G25" i="15"/>
  <c r="G57" i="11" s="1"/>
  <c r="E26" i="15"/>
  <c r="E58" i="11" s="1"/>
  <c r="F26" i="15"/>
  <c r="F58" i="11" s="1"/>
  <c r="D27" i="15"/>
  <c r="D59" i="11" s="1"/>
  <c r="E27" i="15"/>
  <c r="E59" i="11" s="1"/>
  <c r="C28" i="15"/>
  <c r="C60" i="11" s="1"/>
  <c r="D28" i="15"/>
  <c r="D60" i="11" s="1"/>
  <c r="G28" i="15"/>
  <c r="G60" i="11" s="1"/>
  <c r="C29" i="15"/>
  <c r="C61" i="11" s="1"/>
  <c r="AL7" i="2"/>
  <c r="F29" i="15"/>
  <c r="F61" i="11" s="1"/>
  <c r="G29" i="15"/>
  <c r="G61" i="11" s="1"/>
  <c r="E30" i="15"/>
  <c r="E62" i="11" s="1"/>
  <c r="F30" i="15"/>
  <c r="F62" i="11" s="1"/>
  <c r="D31" i="15"/>
  <c r="D63" i="11" s="1"/>
  <c r="E31" i="15"/>
  <c r="E63" i="11" s="1"/>
  <c r="C32" i="15"/>
  <c r="C64" i="11" s="1"/>
  <c r="AE10" i="13"/>
  <c r="D32" i="15"/>
  <c r="D64" i="11" s="1"/>
  <c r="G32" i="15"/>
  <c r="G64" i="11" s="1"/>
  <c r="C33" i="15"/>
  <c r="C65" i="11" s="1"/>
  <c r="F33" i="15"/>
  <c r="F65" i="11" s="1"/>
  <c r="G33" i="15"/>
  <c r="G65" i="11" s="1"/>
  <c r="E34" i="15"/>
  <c r="E66" i="11" s="1"/>
  <c r="F34" i="15"/>
  <c r="F66" i="11" s="1"/>
  <c r="D35" i="15"/>
  <c r="D67" i="11" s="1"/>
  <c r="E35" i="15"/>
  <c r="E67" i="11" s="1"/>
  <c r="C36" i="15"/>
  <c r="C68" i="11" s="1"/>
  <c r="D36" i="15"/>
  <c r="D68" i="11" s="1"/>
  <c r="G36" i="15"/>
  <c r="G68" i="11" s="1"/>
  <c r="C37" i="15"/>
  <c r="C69" i="11" s="1"/>
  <c r="AE15" i="13"/>
  <c r="F37" i="15"/>
  <c r="F69" i="11" s="1"/>
  <c r="G37" i="15"/>
  <c r="G69" i="11" s="1"/>
  <c r="E38" i="15"/>
  <c r="E70" i="11" s="1"/>
  <c r="F38" i="15"/>
  <c r="F70" i="11" s="1"/>
  <c r="D39" i="15"/>
  <c r="D71" i="11" s="1"/>
  <c r="E39" i="15"/>
  <c r="E71" i="11" s="1"/>
  <c r="C40" i="15"/>
  <c r="C72" i="11" s="1"/>
  <c r="AE18" i="13"/>
  <c r="D40" i="15"/>
  <c r="D72" i="11" s="1"/>
  <c r="G40" i="15"/>
  <c r="G72" i="11" s="1"/>
  <c r="C41" i="15"/>
  <c r="C73" i="11" s="1"/>
  <c r="F41" i="15"/>
  <c r="F73" i="11" s="1"/>
  <c r="G41" i="15"/>
  <c r="G73" i="11" s="1"/>
  <c r="E74" i="11"/>
  <c r="F42" i="15"/>
  <c r="F74" i="11" s="1"/>
  <c r="C10" i="15"/>
  <c r="C42" i="11" s="1"/>
  <c r="F10" i="15"/>
  <c r="F42" i="11" s="1"/>
  <c r="G10" i="15"/>
  <c r="G42" i="11" s="1"/>
  <c r="E11" i="15"/>
  <c r="E43" i="11" s="1"/>
  <c r="F11" i="15"/>
  <c r="F43" i="11" s="1"/>
  <c r="D12" i="15"/>
  <c r="D44" i="11" s="1"/>
  <c r="E12" i="15"/>
  <c r="E44" i="11" s="1"/>
  <c r="C13" i="15"/>
  <c r="C45" i="11" s="1"/>
  <c r="D13" i="15"/>
  <c r="D45" i="11" s="1"/>
  <c r="G13" i="15"/>
  <c r="G45" i="11" s="1"/>
  <c r="C14" i="15"/>
  <c r="C46" i="11" s="1"/>
  <c r="F14" i="15"/>
  <c r="F46" i="11" s="1"/>
  <c r="G14" i="15"/>
  <c r="G46" i="11" s="1"/>
  <c r="E15" i="15"/>
  <c r="E47" i="11" s="1"/>
  <c r="F15" i="15"/>
  <c r="F47" i="11" s="1"/>
  <c r="D16" i="15"/>
  <c r="D48" i="11" s="1"/>
  <c r="E16" i="15"/>
  <c r="E48" i="11" s="1"/>
  <c r="C17" i="15"/>
  <c r="C49" i="11" s="1"/>
  <c r="D17" i="15"/>
  <c r="D49" i="11" s="1"/>
  <c r="E17" i="15"/>
  <c r="E49" i="11" s="1"/>
  <c r="F17" i="15"/>
  <c r="F49" i="11" s="1"/>
  <c r="C18" i="15"/>
  <c r="C50" i="11" s="1"/>
  <c r="D18" i="15"/>
  <c r="D50" i="11" s="1"/>
  <c r="G18" i="15"/>
  <c r="G50" i="11" s="1"/>
  <c r="C19" i="15"/>
  <c r="C51" i="11" s="1"/>
  <c r="F19" i="15"/>
  <c r="F51" i="11" s="1"/>
  <c r="G19" i="15"/>
  <c r="G51" i="11" s="1"/>
  <c r="E20" i="15"/>
  <c r="E52" i="11" s="1"/>
  <c r="F20" i="15"/>
  <c r="F52" i="11" s="1"/>
  <c r="D21" i="15"/>
  <c r="D53" i="11" s="1"/>
  <c r="E21" i="15"/>
  <c r="E53" i="11" s="1"/>
  <c r="C22" i="15"/>
  <c r="C54" i="11" s="1"/>
  <c r="D22" i="15"/>
  <c r="D54" i="11" s="1"/>
  <c r="G22" i="15"/>
  <c r="G54" i="11" s="1"/>
  <c r="C23" i="15"/>
  <c r="C55" i="11" s="1"/>
  <c r="F23" i="15"/>
  <c r="F55" i="11" s="1"/>
  <c r="G23" i="15"/>
  <c r="G55" i="11" s="1"/>
  <c r="E24" i="15"/>
  <c r="E56" i="11" s="1"/>
  <c r="F24" i="15"/>
  <c r="F56" i="11" s="1"/>
  <c r="D25" i="15"/>
  <c r="D57" i="11" s="1"/>
  <c r="E25" i="15"/>
  <c r="E57" i="11" s="1"/>
  <c r="C26" i="15"/>
  <c r="C58" i="11" s="1"/>
  <c r="D26" i="15"/>
  <c r="D58" i="11" s="1"/>
  <c r="G26" i="15"/>
  <c r="G58" i="11" s="1"/>
  <c r="C27" i="15"/>
  <c r="F27" i="15"/>
  <c r="F59" i="11" s="1"/>
  <c r="G27" i="15"/>
  <c r="G59" i="11" s="1"/>
  <c r="E28" i="15"/>
  <c r="E60" i="11" s="1"/>
  <c r="F28" i="15"/>
  <c r="F60" i="11" s="1"/>
  <c r="D29" i="15"/>
  <c r="D61" i="11" s="1"/>
  <c r="E29" i="15"/>
  <c r="E61" i="11" s="1"/>
  <c r="C30" i="15"/>
  <c r="D30" i="15"/>
  <c r="D62" i="11" s="1"/>
  <c r="G30" i="15"/>
  <c r="G62" i="11" s="1"/>
  <c r="C31" i="15"/>
  <c r="F31" i="15"/>
  <c r="F63" i="11" s="1"/>
  <c r="G31" i="15"/>
  <c r="G63" i="11" s="1"/>
  <c r="E32" i="15"/>
  <c r="E64" i="11" s="1"/>
  <c r="F32" i="15"/>
  <c r="F64" i="11" s="1"/>
  <c r="D33" i="15"/>
  <c r="D65" i="11" s="1"/>
  <c r="E33" i="15"/>
  <c r="E65" i="11" s="1"/>
  <c r="C34" i="15"/>
  <c r="D34" i="15"/>
  <c r="D66" i="11" s="1"/>
  <c r="G34" i="15"/>
  <c r="G66" i="11" s="1"/>
  <c r="C35" i="15"/>
  <c r="F35" i="15"/>
  <c r="F67" i="11" s="1"/>
  <c r="G35" i="15"/>
  <c r="G67" i="11" s="1"/>
  <c r="E36" i="15"/>
  <c r="E68" i="11" s="1"/>
  <c r="F36" i="15"/>
  <c r="F68" i="11" s="1"/>
  <c r="D37" i="15"/>
  <c r="D69" i="11" s="1"/>
  <c r="E37" i="15"/>
  <c r="E69" i="11" s="1"/>
  <c r="C38" i="15"/>
  <c r="D38" i="15"/>
  <c r="D70" i="11" s="1"/>
  <c r="G38" i="15"/>
  <c r="G70" i="11" s="1"/>
  <c r="C39" i="15"/>
  <c r="F39" i="15"/>
  <c r="F71" i="11" s="1"/>
  <c r="G39" i="15"/>
  <c r="G71" i="11" s="1"/>
  <c r="E40" i="15"/>
  <c r="E72" i="11" s="1"/>
  <c r="F40" i="15"/>
  <c r="F72" i="11" s="1"/>
  <c r="D41" i="15"/>
  <c r="D73" i="11" s="1"/>
  <c r="E41" i="15"/>
  <c r="E73" i="11" s="1"/>
  <c r="C42" i="15"/>
  <c r="D42" i="15"/>
  <c r="D74" i="11" s="1"/>
  <c r="G42" i="15"/>
  <c r="G74" i="11" s="1"/>
  <c r="D9" i="15"/>
  <c r="D41" i="11" s="1"/>
  <c r="E9" i="15"/>
  <c r="E41" i="11" s="1"/>
  <c r="F9" i="15"/>
  <c r="F41" i="11" s="1"/>
  <c r="G9" i="15"/>
  <c r="G41" i="11" s="1"/>
  <c r="C41" i="11"/>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10"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A16" i="17"/>
  <c r="F16" i="17" s="1"/>
  <c r="E15" i="17"/>
  <c r="J16" i="1" s="1"/>
  <c r="L16" i="1" s="1"/>
  <c r="E13" i="17"/>
  <c r="J14" i="1" s="1"/>
  <c r="L14" i="1" s="1"/>
  <c r="E12" i="17"/>
  <c r="J13" i="1" s="1"/>
  <c r="L13" i="1" s="1"/>
  <c r="H11" i="17"/>
  <c r="E10" i="17"/>
  <c r="J11" i="1"/>
  <c r="L11" i="1" s="1"/>
  <c r="M10" i="17"/>
  <c r="L10" i="17"/>
  <c r="K11" i="1" s="1"/>
  <c r="M11" i="1" s="1"/>
  <c r="G21" i="1"/>
  <c r="E21" i="1"/>
  <c r="G11" i="4"/>
  <c r="G10" i="4"/>
  <c r="C16" i="4"/>
  <c r="C11" i="4"/>
  <c r="C12" i="4"/>
  <c r="C13" i="4"/>
  <c r="C14" i="4"/>
  <c r="C15" i="4"/>
  <c r="C10" i="4"/>
  <c r="H15" i="13"/>
  <c r="F15" i="13"/>
  <c r="D15" i="13"/>
  <c r="J13" i="2"/>
  <c r="N9" i="2"/>
  <c r="E20" i="1"/>
  <c r="E13" i="1"/>
  <c r="A17" i="17"/>
  <c r="A18" i="17" s="1"/>
  <c r="M11" i="17"/>
  <c r="L11" i="17" s="1"/>
  <c r="K12" i="1" s="1"/>
  <c r="M12" i="1" s="1"/>
  <c r="H12" i="17"/>
  <c r="G20" i="1"/>
  <c r="G14" i="1"/>
  <c r="G13" i="1"/>
  <c r="E23" i="18"/>
  <c r="AE17" i="13"/>
  <c r="E15" i="18"/>
  <c r="AL19" i="2"/>
  <c r="AL15" i="2"/>
  <c r="AL11" i="2"/>
  <c r="E26" i="18"/>
  <c r="E14" i="18"/>
  <c r="AE20" i="13"/>
  <c r="AL18" i="2"/>
  <c r="AL14" i="2"/>
  <c r="AL10" i="2"/>
  <c r="AL6" i="2"/>
  <c r="E25" i="18"/>
  <c r="E21" i="18"/>
  <c r="E17" i="18"/>
  <c r="E13" i="18"/>
  <c r="AE7" i="13"/>
  <c r="E24" i="18"/>
  <c r="E20" i="18"/>
  <c r="E16" i="18"/>
  <c r="E12" i="18"/>
  <c r="E16" i="17"/>
  <c r="J17" i="1" s="1"/>
  <c r="L17" i="1" s="1"/>
  <c r="G12" i="4"/>
  <c r="A18" i="4"/>
  <c r="C17" i="4"/>
  <c r="E14" i="1"/>
  <c r="E18" i="18"/>
  <c r="AE12" i="13"/>
  <c r="E14" i="4"/>
  <c r="G14" i="4" s="1"/>
  <c r="A19" i="17"/>
  <c r="F19" i="17" s="1"/>
  <c r="C18" i="4"/>
  <c r="A19" i="4"/>
  <c r="J16" i="13"/>
  <c r="L16" i="13"/>
  <c r="D16" i="13"/>
  <c r="AG16" i="13" s="1"/>
  <c r="F16" i="13"/>
  <c r="H16" i="13"/>
  <c r="D18" i="13"/>
  <c r="A20" i="4" l="1"/>
  <c r="C19" i="4"/>
  <c r="F18" i="17"/>
  <c r="E18" i="17" s="1"/>
  <c r="A20" i="17"/>
  <c r="F17" i="17"/>
  <c r="E17" i="17" s="1"/>
  <c r="J18" i="1" s="1"/>
  <c r="L18" i="1" s="1"/>
  <c r="E19" i="17"/>
  <c r="J20" i="1" s="1"/>
  <c r="L20" i="1" s="1"/>
  <c r="M12" i="17"/>
  <c r="L12" i="17" s="1"/>
  <c r="K13" i="1" s="1"/>
  <c r="M13" i="1" s="1"/>
  <c r="H13" i="17"/>
  <c r="E15" i="4"/>
  <c r="AE19" i="13"/>
  <c r="AE14" i="13"/>
  <c r="AE11" i="13"/>
  <c r="AE6" i="13"/>
  <c r="AE13" i="13"/>
  <c r="C67" i="11"/>
  <c r="AL16" i="2"/>
  <c r="C70" i="11"/>
  <c r="E19" i="18"/>
  <c r="AL17" i="2"/>
  <c r="C71" i="11"/>
  <c r="AL9" i="2"/>
  <c r="C63" i="11"/>
  <c r="AE5" i="13"/>
  <c r="C59" i="11"/>
  <c r="AL8" i="2"/>
  <c r="C62" i="11"/>
  <c r="AL20" i="2"/>
  <c r="C74" i="11"/>
  <c r="AL12" i="2"/>
  <c r="C66" i="11"/>
  <c r="AG18" i="13"/>
  <c r="AG19" i="13"/>
  <c r="AG12" i="13"/>
  <c r="AG10" i="13"/>
  <c r="AG15" i="13"/>
  <c r="AG17" i="13"/>
  <c r="AG7" i="13"/>
  <c r="AG9" i="13"/>
  <c r="AG6" i="13"/>
  <c r="AG14" i="13"/>
  <c r="AG5" i="13"/>
  <c r="AG11" i="13"/>
  <c r="AG13" i="13"/>
  <c r="AG20" i="13"/>
  <c r="AG8" i="13"/>
  <c r="AE8" i="13"/>
  <c r="E22" i="18"/>
  <c r="AE16" i="13"/>
  <c r="AL13" i="2"/>
  <c r="E11" i="18"/>
  <c r="AE9" i="13"/>
  <c r="AL5" i="2"/>
  <c r="J19" i="1" l="1"/>
  <c r="L19" i="1" s="1"/>
  <c r="A21" i="17"/>
  <c r="F20" i="17"/>
  <c r="E20" i="17"/>
  <c r="J21" i="1" s="1"/>
  <c r="L21" i="1" s="1"/>
  <c r="E16" i="4"/>
  <c r="G15" i="4"/>
  <c r="M13" i="17"/>
  <c r="L13" i="17" s="1"/>
  <c r="H14" i="17"/>
  <c r="A21" i="4"/>
  <c r="C20" i="4"/>
  <c r="K14" i="1" l="1"/>
  <c r="M14" i="1" s="1"/>
  <c r="E17" i="4"/>
  <c r="G16" i="4"/>
  <c r="A22" i="4"/>
  <c r="C21" i="4"/>
  <c r="A22" i="17"/>
  <c r="F21" i="17"/>
  <c r="E21" i="17" s="1"/>
  <c r="H15" i="17"/>
  <c r="M14" i="17"/>
  <c r="L14" i="17" s="1"/>
  <c r="J22" i="1" l="1"/>
  <c r="L22" i="1" s="1"/>
  <c r="K15" i="1"/>
  <c r="M15" i="1" s="1"/>
  <c r="F22" i="17"/>
  <c r="E22" i="17"/>
  <c r="J23" i="1" s="1"/>
  <c r="L23" i="1" s="1"/>
  <c r="A23" i="17"/>
  <c r="C22" i="4"/>
  <c r="A23" i="4"/>
  <c r="M15" i="17"/>
  <c r="L15" i="17" s="1"/>
  <c r="H16" i="17"/>
  <c r="G17" i="4"/>
  <c r="E18" i="4"/>
  <c r="K16" i="1" l="1"/>
  <c r="M16" i="1" s="1"/>
  <c r="A24" i="4"/>
  <c r="C23" i="4"/>
  <c r="A24" i="17"/>
  <c r="F23" i="17"/>
  <c r="E23" i="17" s="1"/>
  <c r="E19" i="4"/>
  <c r="G18" i="4"/>
  <c r="L16" i="17"/>
  <c r="K17" i="1" s="1"/>
  <c r="M17" i="1" s="1"/>
  <c r="H17" i="17"/>
  <c r="M16" i="17"/>
  <c r="J24" i="1" l="1"/>
  <c r="L24" i="1" s="1"/>
  <c r="G19" i="4"/>
  <c r="E20" i="4"/>
  <c r="F24" i="17"/>
  <c r="A25" i="17"/>
  <c r="E24" i="17"/>
  <c r="J25" i="1" s="1"/>
  <c r="L25" i="1" s="1"/>
  <c r="M17" i="17"/>
  <c r="L17" i="17" s="1"/>
  <c r="K18" i="1" s="1"/>
  <c r="M18" i="1" s="1"/>
  <c r="H18" i="17"/>
  <c r="A25" i="4"/>
  <c r="C24" i="4"/>
  <c r="F25" i="17" l="1"/>
  <c r="E25" i="17" s="1"/>
  <c r="J26" i="1" s="1"/>
  <c r="L26" i="1" s="1"/>
  <c r="A26" i="17"/>
  <c r="G20" i="4"/>
  <c r="E21" i="4"/>
  <c r="A26" i="4"/>
  <c r="C25" i="4"/>
  <c r="H19" i="17"/>
  <c r="M18" i="17"/>
  <c r="L18" i="17" s="1"/>
  <c r="K19" i="1" s="1"/>
  <c r="M19" i="1" s="1"/>
  <c r="G21" i="4" l="1"/>
  <c r="E22" i="4"/>
  <c r="M19" i="17"/>
  <c r="L19" i="17"/>
  <c r="K20" i="1" s="1"/>
  <c r="M20" i="1" s="1"/>
  <c r="H20" i="17"/>
  <c r="A27" i="4"/>
  <c r="C26" i="4"/>
  <c r="F26" i="17"/>
  <c r="E26" i="17" s="1"/>
  <c r="J27" i="1" s="1"/>
  <c r="L27" i="1" s="1"/>
  <c r="A27" i="17"/>
  <c r="H21" i="17" l="1"/>
  <c r="M20" i="17"/>
  <c r="L20" i="17" s="1"/>
  <c r="K21" i="1" s="1"/>
  <c r="M21" i="1" s="1"/>
  <c r="F27" i="17"/>
  <c r="E27" i="17" s="1"/>
  <c r="J28" i="1" s="1"/>
  <c r="L28" i="1" s="1"/>
  <c r="A28" i="17"/>
  <c r="E23" i="4"/>
  <c r="G22" i="4"/>
  <c r="A28" i="4"/>
  <c r="C27" i="4"/>
  <c r="F28" i="17" l="1"/>
  <c r="E28" i="17"/>
  <c r="J29" i="1" s="1"/>
  <c r="L29" i="1" s="1"/>
  <c r="A29" i="17"/>
  <c r="H22" i="17"/>
  <c r="M21" i="17"/>
  <c r="L21" i="17"/>
  <c r="K22" i="1" s="1"/>
  <c r="M22" i="1" s="1"/>
  <c r="A29" i="4"/>
  <c r="C28" i="4"/>
  <c r="G23" i="4"/>
  <c r="E24" i="4"/>
  <c r="E25" i="4" l="1"/>
  <c r="G24" i="4"/>
  <c r="M22" i="17"/>
  <c r="L22" i="17" s="1"/>
  <c r="K23" i="1" s="1"/>
  <c r="M23" i="1" s="1"/>
  <c r="H23" i="17"/>
  <c r="C29" i="4"/>
  <c r="A30" i="4"/>
  <c r="A30" i="17"/>
  <c r="F29" i="17"/>
  <c r="E29" i="17"/>
  <c r="J30" i="1" s="1"/>
  <c r="L30" i="1" s="1"/>
  <c r="G25" i="4" l="1"/>
  <c r="E26" i="4"/>
  <c r="A31" i="17"/>
  <c r="F30" i="17"/>
  <c r="E30" i="17" s="1"/>
  <c r="J31" i="1" s="1"/>
  <c r="L31" i="1" s="1"/>
  <c r="M23" i="17"/>
  <c r="L23" i="17" s="1"/>
  <c r="K24" i="1" s="1"/>
  <c r="M24" i="1" s="1"/>
  <c r="H24" i="17"/>
  <c r="C30" i="4"/>
  <c r="A31" i="4"/>
  <c r="A32" i="4" l="1"/>
  <c r="C31" i="4"/>
  <c r="E27" i="4"/>
  <c r="G26" i="4"/>
  <c r="H25" i="17"/>
  <c r="M24" i="17"/>
  <c r="L24" i="17" s="1"/>
  <c r="K25" i="1" s="1"/>
  <c r="M25" i="1" s="1"/>
  <c r="F31" i="17"/>
  <c r="E31" i="17" s="1"/>
  <c r="J32" i="1" s="1"/>
  <c r="L32" i="1" s="1"/>
  <c r="A32" i="17"/>
  <c r="M25" i="17" l="1"/>
  <c r="L25" i="17"/>
  <c r="K26" i="1" s="1"/>
  <c r="M26" i="1" s="1"/>
  <c r="H26" i="17"/>
  <c r="G27" i="4"/>
  <c r="E28" i="4"/>
  <c r="F32" i="17"/>
  <c r="E32" i="17" s="1"/>
  <c r="J33" i="1" s="1"/>
  <c r="L33" i="1" s="1"/>
  <c r="A33" i="17"/>
  <c r="C32" i="4"/>
  <c r="A33" i="4"/>
  <c r="E33" i="17" l="1"/>
  <c r="J34" i="1" s="1"/>
  <c r="L34" i="1" s="1"/>
  <c r="A34" i="17"/>
  <c r="F33" i="17"/>
  <c r="M26" i="17"/>
  <c r="L26" i="17" s="1"/>
  <c r="K27" i="1" s="1"/>
  <c r="M27" i="1" s="1"/>
  <c r="H27" i="17"/>
  <c r="E29" i="4"/>
  <c r="G28" i="4"/>
  <c r="A34" i="4"/>
  <c r="C33" i="4"/>
  <c r="H28" i="17" l="1"/>
  <c r="M27" i="17"/>
  <c r="L27" i="17"/>
  <c r="K28" i="1" s="1"/>
  <c r="M28" i="1" s="1"/>
  <c r="F34" i="17"/>
  <c r="E34" i="17" s="1"/>
  <c r="J35" i="1" s="1"/>
  <c r="L35" i="1" s="1"/>
  <c r="A35" i="17"/>
  <c r="A35" i="4"/>
  <c r="C34" i="4"/>
  <c r="G29" i="4"/>
  <c r="E30" i="4"/>
  <c r="A36" i="4" l="1"/>
  <c r="C35" i="4"/>
  <c r="A36" i="17"/>
  <c r="F35" i="17"/>
  <c r="E35" i="17"/>
  <c r="J36" i="1" s="1"/>
  <c r="L36" i="1" s="1"/>
  <c r="G30" i="4"/>
  <c r="E31" i="4"/>
  <c r="M28" i="17"/>
  <c r="L28" i="17" s="1"/>
  <c r="K29" i="1" s="1"/>
  <c r="M29" i="1" s="1"/>
  <c r="H29" i="17"/>
  <c r="E32" i="4" l="1"/>
  <c r="G31" i="4"/>
  <c r="A37" i="17"/>
  <c r="F36" i="17"/>
  <c r="E36" i="17" s="1"/>
  <c r="J37" i="1" s="1"/>
  <c r="L37" i="1" s="1"/>
  <c r="H30" i="17"/>
  <c r="M29" i="17"/>
  <c r="L29" i="17"/>
  <c r="K30" i="1" s="1"/>
  <c r="M30" i="1" s="1"/>
  <c r="A37" i="4"/>
  <c r="C36" i="4"/>
  <c r="G32" i="4" l="1"/>
  <c r="E33" i="4"/>
  <c r="M30" i="17"/>
  <c r="L30" i="17" s="1"/>
  <c r="K31" i="1" s="1"/>
  <c r="M31" i="1" s="1"/>
  <c r="H31" i="17"/>
  <c r="A38" i="4"/>
  <c r="C37" i="4"/>
  <c r="E37" i="17"/>
  <c r="J38" i="1" s="1"/>
  <c r="L38" i="1" s="1"/>
  <c r="A38" i="17"/>
  <c r="F37" i="17"/>
  <c r="M31" i="17" l="1"/>
  <c r="L31" i="17" s="1"/>
  <c r="K32" i="1" s="1"/>
  <c r="M32" i="1" s="1"/>
  <c r="H32" i="17"/>
  <c r="A39" i="4"/>
  <c r="C38" i="4"/>
  <c r="G33" i="4"/>
  <c r="E34" i="4"/>
  <c r="F38" i="17"/>
  <c r="E38" i="17" s="1"/>
  <c r="J39" i="1" s="1"/>
  <c r="L39" i="1" s="1"/>
  <c r="A39" i="17"/>
  <c r="H33" i="17" l="1"/>
  <c r="M32" i="17"/>
  <c r="L32" i="17" s="1"/>
  <c r="K33" i="1" s="1"/>
  <c r="M33" i="1" s="1"/>
  <c r="E35" i="4"/>
  <c r="G34" i="4"/>
  <c r="C39" i="4"/>
  <c r="A40" i="4"/>
  <c r="F39" i="17"/>
  <c r="E39" i="17" s="1"/>
  <c r="J40" i="1" s="1"/>
  <c r="L40" i="1" s="1"/>
  <c r="A40" i="17"/>
  <c r="A41" i="4" l="1"/>
  <c r="C40" i="4"/>
  <c r="E36" i="4"/>
  <c r="G35" i="4"/>
  <c r="M33" i="17"/>
  <c r="L33" i="17" s="1"/>
  <c r="K34" i="1" s="1"/>
  <c r="M34" i="1" s="1"/>
  <c r="H34" i="17"/>
  <c r="F40" i="17"/>
  <c r="E40" i="17" s="1"/>
  <c r="J41" i="1" s="1"/>
  <c r="L41" i="1" s="1"/>
  <c r="A41" i="17"/>
  <c r="H35" i="17" l="1"/>
  <c r="M34" i="17"/>
  <c r="L34" i="17" s="1"/>
  <c r="K35" i="1" s="1"/>
  <c r="M35" i="1" s="1"/>
  <c r="E37" i="4"/>
  <c r="G36" i="4"/>
  <c r="F41" i="17"/>
  <c r="E41" i="17" s="1"/>
  <c r="J42" i="1" s="1"/>
  <c r="L42" i="1" s="1"/>
  <c r="A42" i="17"/>
  <c r="C41" i="4"/>
  <c r="A42" i="4"/>
  <c r="G37" i="4" l="1"/>
  <c r="E38" i="4"/>
  <c r="F42" i="17"/>
  <c r="E42" i="17" s="1"/>
  <c r="J43" i="1" s="1"/>
  <c r="L43" i="1" s="1"/>
  <c r="A43" i="17"/>
  <c r="A43" i="4"/>
  <c r="C42" i="4"/>
  <c r="H36" i="17"/>
  <c r="M35" i="17"/>
  <c r="L35" i="17" s="1"/>
  <c r="K36" i="1" s="1"/>
  <c r="M36" i="1" s="1"/>
  <c r="H37" i="17" l="1"/>
  <c r="M36" i="17"/>
  <c r="L36" i="17"/>
  <c r="K37" i="1" s="1"/>
  <c r="M37" i="1" s="1"/>
  <c r="C43" i="4"/>
  <c r="A44" i="4"/>
  <c r="A44" i="17"/>
  <c r="F43" i="17"/>
  <c r="E43" i="17"/>
  <c r="J44" i="1" s="1"/>
  <c r="L44" i="1" s="1"/>
  <c r="G38" i="4"/>
  <c r="E39" i="4"/>
  <c r="A45" i="4" l="1"/>
  <c r="C44" i="4"/>
  <c r="G39" i="4"/>
  <c r="E40" i="4"/>
  <c r="F44" i="17"/>
  <c r="E44" i="17"/>
  <c r="J45" i="1" s="1"/>
  <c r="L45" i="1" s="1"/>
  <c r="A45" i="17"/>
  <c r="H38" i="17"/>
  <c r="M37" i="17"/>
  <c r="L37" i="17"/>
  <c r="K38" i="1" s="1"/>
  <c r="M38" i="1" s="1"/>
  <c r="G40" i="4" l="1"/>
  <c r="E41" i="4"/>
  <c r="M38" i="17"/>
  <c r="L38" i="17" s="1"/>
  <c r="K39" i="1" s="1"/>
  <c r="M39" i="1" s="1"/>
  <c r="H39" i="17"/>
  <c r="A46" i="17"/>
  <c r="F45" i="17"/>
  <c r="E45" i="17" s="1"/>
  <c r="J46" i="1" s="1"/>
  <c r="L46" i="1" s="1"/>
  <c r="A46" i="4"/>
  <c r="C45" i="4"/>
  <c r="G41" i="4" l="1"/>
  <c r="E42" i="4"/>
  <c r="F46" i="17"/>
  <c r="E46" i="17" s="1"/>
  <c r="J47" i="1" s="1"/>
  <c r="L47" i="1" s="1"/>
  <c r="A47" i="17"/>
  <c r="M39" i="17"/>
  <c r="L39" i="17" s="1"/>
  <c r="K40" i="1" s="1"/>
  <c r="M40" i="1" s="1"/>
  <c r="H40" i="17"/>
  <c r="C46" i="4"/>
  <c r="A47" i="4"/>
  <c r="H41" i="17" l="1"/>
  <c r="M40" i="17"/>
  <c r="L40" i="17"/>
  <c r="K41" i="1" s="1"/>
  <c r="M41" i="1" s="1"/>
  <c r="F47" i="17"/>
  <c r="E47" i="17"/>
  <c r="J48" i="1" s="1"/>
  <c r="L48" i="1" s="1"/>
  <c r="A48" i="17"/>
  <c r="A48" i="4"/>
  <c r="C48" i="4" s="1"/>
  <c r="C47" i="4"/>
  <c r="G42" i="4"/>
  <c r="E43" i="4"/>
  <c r="F48" i="17" l="1"/>
  <c r="G43" i="4"/>
  <c r="E44" i="4"/>
  <c r="H42" i="17"/>
  <c r="M41" i="17"/>
  <c r="L41" i="17" s="1"/>
  <c r="K42" i="1" s="1"/>
  <c r="M42" i="1" s="1"/>
  <c r="H43" i="17" l="1"/>
  <c r="M42" i="17"/>
  <c r="L42" i="17" s="1"/>
  <c r="K43" i="1" s="1"/>
  <c r="M43" i="1" s="1"/>
  <c r="G44" i="4"/>
  <c r="E45" i="4"/>
  <c r="E26" i="1"/>
  <c r="E48" i="17"/>
  <c r="J49" i="1" s="1"/>
  <c r="L49" i="1" s="1"/>
  <c r="G45" i="4" l="1"/>
  <c r="E46" i="4"/>
  <c r="H44" i="17"/>
  <c r="M43" i="17"/>
  <c r="L43" i="17" s="1"/>
  <c r="K44" i="1" s="1"/>
  <c r="M44" i="1" s="1"/>
  <c r="E47" i="4" l="1"/>
  <c r="G46" i="4"/>
  <c r="H45" i="17"/>
  <c r="M44" i="17"/>
  <c r="L44" i="17" s="1"/>
  <c r="K45" i="1" s="1"/>
  <c r="M45" i="1" s="1"/>
  <c r="H46" i="17" l="1"/>
  <c r="M45" i="17"/>
  <c r="L45" i="17" s="1"/>
  <c r="K46" i="1" s="1"/>
  <c r="M46" i="1" s="1"/>
  <c r="E48" i="4"/>
  <c r="G47" i="4"/>
  <c r="G48" i="4" l="1"/>
  <c r="E49" i="4"/>
  <c r="M46" i="17"/>
  <c r="L46" i="17" s="1"/>
  <c r="K47" i="1" s="1"/>
  <c r="M47" i="1" s="1"/>
  <c r="H47" i="17"/>
  <c r="H48" i="17" l="1"/>
  <c r="M47" i="17"/>
  <c r="L47" i="17" s="1"/>
  <c r="K48" i="1" s="1"/>
  <c r="M48" i="1" s="1"/>
  <c r="G49" i="4"/>
  <c r="E50" i="4"/>
  <c r="E51" i="4" l="1"/>
  <c r="G50" i="4"/>
  <c r="M48" i="17"/>
  <c r="L48" i="17"/>
  <c r="K49" i="1" s="1"/>
  <c r="M49" i="1" s="1"/>
  <c r="H49" i="17"/>
  <c r="H50" i="17" l="1"/>
  <c r="M49" i="17"/>
  <c r="L49" i="17"/>
  <c r="K50" i="1" s="1"/>
  <c r="M50" i="1" s="1"/>
  <c r="E52" i="4"/>
  <c r="G51" i="4"/>
  <c r="G52" i="4" l="1"/>
  <c r="E53" i="4"/>
  <c r="M50" i="17"/>
  <c r="L50" i="17"/>
  <c r="K51" i="1" s="1"/>
  <c r="M51" i="1" s="1"/>
  <c r="H51" i="17"/>
  <c r="M51" i="17" l="1"/>
  <c r="H52" i="17"/>
  <c r="L51" i="17"/>
  <c r="K52" i="1" s="1"/>
  <c r="M52" i="1" s="1"/>
  <c r="G53" i="4"/>
  <c r="E54" i="4"/>
  <c r="G54" i="4" l="1"/>
  <c r="E55" i="4"/>
  <c r="M52" i="17"/>
  <c r="L52" i="17" s="1"/>
  <c r="K53" i="1" s="1"/>
  <c r="M53" i="1" s="1"/>
  <c r="H53" i="17"/>
  <c r="H54" i="17" l="1"/>
  <c r="M53" i="17"/>
  <c r="L53" i="17" s="1"/>
  <c r="K54" i="1" s="1"/>
  <c r="M54" i="1" s="1"/>
  <c r="E56" i="4"/>
  <c r="G55" i="4"/>
  <c r="E57" i="4" l="1"/>
  <c r="G56" i="4"/>
  <c r="H55" i="17"/>
  <c r="M54" i="17"/>
  <c r="L54" i="17" s="1"/>
  <c r="K55" i="1" s="1"/>
  <c r="M55" i="1" s="1"/>
  <c r="H56" i="17" l="1"/>
  <c r="M55" i="17"/>
  <c r="L55" i="17"/>
  <c r="K56" i="1" s="1"/>
  <c r="M56" i="1" s="1"/>
  <c r="G57" i="4"/>
  <c r="E58" i="4"/>
  <c r="E59" i="4" l="1"/>
  <c r="G58" i="4"/>
  <c r="M56" i="17"/>
  <c r="L56" i="17"/>
  <c r="K57" i="1" s="1"/>
  <c r="M57" i="1" s="1"/>
  <c r="H57" i="17"/>
  <c r="M57" i="17" l="1"/>
  <c r="L57" i="17" s="1"/>
  <c r="K58" i="1" s="1"/>
  <c r="M58" i="1" s="1"/>
  <c r="H58" i="17"/>
  <c r="G59" i="4"/>
  <c r="E60" i="4"/>
  <c r="E61" i="4" l="1"/>
  <c r="G60" i="4"/>
  <c r="M58" i="17"/>
  <c r="H59" i="17"/>
  <c r="L58" i="17"/>
  <c r="K59" i="1" s="1"/>
  <c r="M59" i="1" s="1"/>
  <c r="H60" i="17" l="1"/>
  <c r="M59" i="17"/>
  <c r="L59" i="17"/>
  <c r="K60" i="1" s="1"/>
  <c r="M60" i="1" s="1"/>
  <c r="G61" i="4"/>
  <c r="E62" i="4"/>
  <c r="G62" i="4" l="1"/>
  <c r="E63" i="4"/>
  <c r="M60" i="17"/>
  <c r="L60" i="17" s="1"/>
  <c r="K61" i="1" s="1"/>
  <c r="M61" i="1" s="1"/>
  <c r="H61" i="17"/>
  <c r="H62" i="17" l="1"/>
  <c r="M61" i="17"/>
  <c r="L61" i="17" s="1"/>
  <c r="K62" i="1" s="1"/>
  <c r="M62" i="1" s="1"/>
  <c r="E64" i="4"/>
  <c r="G63" i="4"/>
  <c r="E65" i="4" l="1"/>
  <c r="G64" i="4"/>
  <c r="H63" i="17"/>
  <c r="L62" i="17"/>
  <c r="K63" i="1" s="1"/>
  <c r="M63" i="1" s="1"/>
  <c r="M62" i="17"/>
  <c r="H64" i="17" l="1"/>
  <c r="M63" i="17"/>
  <c r="L63" i="17" s="1"/>
  <c r="K64" i="1" s="1"/>
  <c r="M64" i="1" s="1"/>
  <c r="G65" i="4"/>
  <c r="E66" i="4"/>
  <c r="E67" i="4" l="1"/>
  <c r="G66" i="4"/>
  <c r="H65" i="17"/>
  <c r="M64" i="17"/>
  <c r="L64" i="17"/>
  <c r="K65" i="1" s="1"/>
  <c r="M65" i="1" s="1"/>
  <c r="M65" i="17" l="1"/>
  <c r="H66" i="17"/>
  <c r="L65" i="17"/>
  <c r="K66" i="1" s="1"/>
  <c r="M66" i="1" s="1"/>
  <c r="E68" i="4"/>
  <c r="G67" i="4"/>
  <c r="E69" i="4" l="1"/>
  <c r="G68" i="4"/>
  <c r="M66" i="17"/>
  <c r="H67" i="17"/>
  <c r="L66" i="17"/>
  <c r="K67" i="1" s="1"/>
  <c r="M67" i="1" s="1"/>
  <c r="M67" i="17" l="1"/>
  <c r="L67" i="17"/>
  <c r="K68" i="1" s="1"/>
  <c r="M68" i="1" s="1"/>
  <c r="H68" i="17"/>
  <c r="G69" i="4"/>
  <c r="E70" i="4"/>
  <c r="E71" i="4" l="1"/>
  <c r="G70" i="4"/>
  <c r="H69" i="17"/>
  <c r="M68" i="17"/>
  <c r="L68" i="17" s="1"/>
  <c r="K69" i="1" s="1"/>
  <c r="M69" i="1" s="1"/>
  <c r="H70" i="17" l="1"/>
  <c r="M69" i="17"/>
  <c r="L69" i="17"/>
  <c r="K70" i="1" s="1"/>
  <c r="M70" i="1" s="1"/>
  <c r="E72" i="4"/>
  <c r="G71" i="4"/>
  <c r="E73" i="4" l="1"/>
  <c r="G72" i="4"/>
  <c r="M70" i="17"/>
  <c r="L70" i="17"/>
  <c r="K71" i="1" s="1"/>
  <c r="M71" i="1" s="1"/>
  <c r="H71" i="17"/>
  <c r="H72" i="17" l="1"/>
  <c r="M71" i="17"/>
  <c r="L71" i="17" s="1"/>
  <c r="K72" i="1" s="1"/>
  <c r="M72" i="1" s="1"/>
  <c r="E74" i="4"/>
  <c r="G73" i="4"/>
  <c r="G74" i="4" l="1"/>
  <c r="E75" i="4"/>
  <c r="H73" i="17"/>
  <c r="M72" i="17"/>
  <c r="L72" i="17" s="1"/>
  <c r="K73" i="1" s="1"/>
  <c r="M73" i="1" s="1"/>
  <c r="H74" i="17" l="1"/>
  <c r="M73" i="17"/>
  <c r="L73" i="17" s="1"/>
  <c r="K74" i="1" s="1"/>
  <c r="M74" i="1" s="1"/>
  <c r="G75" i="4"/>
  <c r="E76" i="4"/>
  <c r="E77" i="4" l="1"/>
  <c r="G76" i="4"/>
  <c r="M74" i="17"/>
  <c r="L74" i="17" s="1"/>
  <c r="K75" i="1" s="1"/>
  <c r="M75" i="1" s="1"/>
  <c r="H75" i="17"/>
  <c r="H76" i="17" l="1"/>
  <c r="M75" i="17"/>
  <c r="L75" i="17"/>
  <c r="K76" i="1" s="1"/>
  <c r="M76" i="1" s="1"/>
  <c r="G77" i="4"/>
  <c r="E78" i="4"/>
  <c r="G78" i="4" l="1"/>
  <c r="E79" i="4"/>
  <c r="M76" i="17"/>
  <c r="L76" i="17" s="1"/>
  <c r="K77" i="1" s="1"/>
  <c r="M77" i="1" s="1"/>
  <c r="H77" i="17"/>
  <c r="M77" i="17" l="1"/>
  <c r="H78" i="17"/>
  <c r="L77" i="17"/>
  <c r="K78" i="1" s="1"/>
  <c r="M78" i="1" s="1"/>
  <c r="G79" i="4"/>
  <c r="E80" i="4"/>
  <c r="G80" i="4" l="1"/>
  <c r="E81" i="4"/>
  <c r="H79" i="17"/>
  <c r="M78" i="17"/>
  <c r="L78" i="17" s="1"/>
  <c r="K79" i="1" s="1"/>
  <c r="M79" i="1" s="1"/>
  <c r="H80" i="17" l="1"/>
  <c r="M79" i="17"/>
  <c r="L79" i="17" s="1"/>
  <c r="K80" i="1" s="1"/>
  <c r="M80" i="1" s="1"/>
  <c r="E82" i="4"/>
  <c r="G81" i="4"/>
  <c r="E83" i="4" l="1"/>
  <c r="G82" i="4"/>
  <c r="M80" i="17"/>
  <c r="L80" i="17" s="1"/>
  <c r="K81" i="1" s="1"/>
  <c r="M81" i="1" s="1"/>
  <c r="H81" i="17"/>
  <c r="H82" i="17" l="1"/>
  <c r="M81" i="17"/>
  <c r="L81" i="17" s="1"/>
  <c r="K82" i="1" s="1"/>
  <c r="M82" i="1" s="1"/>
  <c r="E84" i="4"/>
  <c r="G83" i="4"/>
  <c r="G84" i="4" l="1"/>
  <c r="E85" i="4"/>
  <c r="H83" i="17"/>
  <c r="M82" i="17"/>
  <c r="L82" i="17" s="1"/>
  <c r="K83" i="1" s="1"/>
  <c r="M83" i="1" s="1"/>
  <c r="M83" i="17" l="1"/>
  <c r="L83" i="17" s="1"/>
  <c r="K84" i="1" s="1"/>
  <c r="M84" i="1" s="1"/>
  <c r="H84" i="17"/>
  <c r="G85" i="4"/>
  <c r="E86" i="4"/>
  <c r="E87" i="4" l="1"/>
  <c r="G86" i="4"/>
  <c r="H85" i="17"/>
  <c r="M84" i="17"/>
  <c r="L84" i="17" s="1"/>
  <c r="K85" i="1" s="1"/>
  <c r="M85" i="1" s="1"/>
  <c r="H86" i="17" l="1"/>
  <c r="M85" i="17"/>
  <c r="L85" i="17" s="1"/>
  <c r="K86" i="1" s="1"/>
  <c r="M86" i="1" s="1"/>
  <c r="E88" i="4"/>
  <c r="G87" i="4"/>
  <c r="G88" i="4" l="1"/>
  <c r="E89" i="4"/>
  <c r="M86" i="17"/>
  <c r="L86" i="17" s="1"/>
  <c r="K87" i="1" s="1"/>
  <c r="M87" i="1" s="1"/>
  <c r="H87" i="17"/>
  <c r="H88" i="17" l="1"/>
  <c r="M87" i="17"/>
  <c r="L87" i="17" s="1"/>
  <c r="K88" i="1" s="1"/>
  <c r="M88" i="1" s="1"/>
  <c r="G89" i="4"/>
  <c r="E90" i="4"/>
  <c r="G90" i="4" l="1"/>
  <c r="E91" i="4"/>
  <c r="M88" i="17"/>
  <c r="L88" i="17" s="1"/>
  <c r="K89" i="1" s="1"/>
  <c r="M89" i="1" s="1"/>
  <c r="H89" i="17"/>
  <c r="M89" i="17" l="1"/>
  <c r="L89" i="17"/>
  <c r="K90" i="1" s="1"/>
  <c r="M90" i="1" s="1"/>
  <c r="H90" i="17"/>
  <c r="G91" i="4"/>
  <c r="E92" i="4"/>
  <c r="G92" i="4" l="1"/>
  <c r="E93" i="4"/>
  <c r="M90" i="17"/>
  <c r="L90" i="17" s="1"/>
  <c r="K91" i="1" s="1"/>
  <c r="M91" i="1" s="1"/>
  <c r="H91" i="17"/>
  <c r="H92" i="17" l="1"/>
  <c r="M91" i="17"/>
  <c r="L91" i="17" s="1"/>
  <c r="K92" i="1" s="1"/>
  <c r="M92" i="1" s="1"/>
  <c r="G93" i="4"/>
  <c r="E94" i="4"/>
  <c r="E95" i="4" l="1"/>
  <c r="G95" i="4" s="1"/>
  <c r="G94" i="4"/>
  <c r="H93" i="17"/>
  <c r="M92" i="17"/>
  <c r="L92" i="17"/>
  <c r="K93" i="1" s="1"/>
  <c r="M93" i="1" s="1"/>
  <c r="M93" i="17" l="1"/>
  <c r="L93" i="17"/>
  <c r="K94" i="1" s="1"/>
  <c r="M94" i="1" s="1"/>
  <c r="H94" i="17"/>
  <c r="H95" i="17" l="1"/>
  <c r="M94" i="17"/>
  <c r="L94" i="17" s="1"/>
  <c r="K95" i="1" s="1"/>
  <c r="M95" i="1" s="1"/>
  <c r="M95" i="17" l="1"/>
  <c r="G26" i="1" l="1"/>
  <c r="F32" i="1" s="1"/>
  <c r="L95" i="17"/>
  <c r="K96" i="1" s="1"/>
  <c r="M96" i="1" s="1"/>
  <c r="F35" i="1" l="1"/>
  <c r="E32" i="1"/>
  <c r="D22" i="2" s="1"/>
  <c r="G32" i="1"/>
  <c r="H14" i="13" l="1"/>
  <c r="G22" i="2"/>
  <c r="H23" i="2" s="1"/>
  <c r="G26" i="2" s="1"/>
  <c r="G28" i="2" s="1"/>
  <c r="L14" i="13"/>
  <c r="F14" i="13"/>
  <c r="D14" i="13"/>
  <c r="J14" i="13"/>
  <c r="AD15" i="13"/>
  <c r="AD17" i="13"/>
  <c r="AK8" i="2"/>
  <c r="AD6" i="13"/>
  <c r="AK20" i="2"/>
  <c r="AD12" i="13"/>
  <c r="AK7" i="2"/>
  <c r="AK6" i="2"/>
  <c r="AK19" i="2"/>
  <c r="AK12" i="2"/>
  <c r="AK18" i="2"/>
  <c r="AD20" i="13"/>
  <c r="AK13" i="2"/>
  <c r="AD18" i="13"/>
  <c r="AK17" i="2"/>
  <c r="AD16" i="13"/>
  <c r="AD11" i="13"/>
  <c r="AD5" i="13"/>
  <c r="AK9" i="2"/>
  <c r="AK11" i="2"/>
  <c r="AD13" i="13"/>
  <c r="AK4" i="2"/>
  <c r="AD9" i="13"/>
  <c r="AD7" i="13"/>
  <c r="AK14" i="2"/>
  <c r="AD8" i="13"/>
  <c r="AK16" i="2"/>
  <c r="AK5" i="2"/>
  <c r="AD4" i="13"/>
  <c r="AD10" i="13"/>
  <c r="AK10" i="2"/>
  <c r="AD14" i="13"/>
  <c r="AD19" i="13"/>
  <c r="AK15" i="2"/>
  <c r="AN5" i="2" l="1"/>
  <c r="AN8" i="2"/>
  <c r="AN9" i="2"/>
  <c r="AN19" i="2"/>
  <c r="AN13" i="2"/>
  <c r="AN15" i="2"/>
  <c r="AN14" i="2"/>
  <c r="AN12" i="2"/>
  <c r="AN10" i="2"/>
  <c r="AN6" i="2"/>
  <c r="AN18" i="2"/>
  <c r="AN17" i="2"/>
  <c r="AN7" i="2"/>
  <c r="AN16" i="2"/>
  <c r="AN20" i="2"/>
  <c r="AN11" i="2"/>
  <c r="G30" i="2"/>
</calcChain>
</file>

<file path=xl/sharedStrings.xml><?xml version="1.0" encoding="utf-8"?>
<sst xmlns="http://schemas.openxmlformats.org/spreadsheetml/2006/main" count="585" uniqueCount="364">
  <si>
    <t>N</t>
  </si>
  <si>
    <t>LEVEL 1</t>
  </si>
  <si>
    <t>LEVEL 2</t>
  </si>
  <si>
    <t>LEVEL 3</t>
  </si>
  <si>
    <t>LEVEL 4</t>
  </si>
  <si>
    <t>LEVEL 5</t>
  </si>
  <si>
    <t>LEVEL 6</t>
  </si>
  <si>
    <t>tot_2M</t>
  </si>
  <si>
    <t>K2LEV_M</t>
  </si>
  <si>
    <t>cvap2mat</t>
  </si>
  <si>
    <t>-</t>
  </si>
  <si>
    <t>Mathematics</t>
  </si>
  <si>
    <t>lower</t>
  </si>
  <si>
    <t>upper</t>
  </si>
  <si>
    <t>KS2 SUBJECTS</t>
  </si>
  <si>
    <t>INPUT SHEET GUIDANCE</t>
  </si>
  <si>
    <t>CALCULATION CELL</t>
  </si>
  <si>
    <t>DATA INPUT CELL</t>
  </si>
  <si>
    <t>NOT APPLICABLE</t>
  </si>
  <si>
    <t>CELL COLOUR GUIDE:</t>
  </si>
  <si>
    <t>=</t>
  </si>
  <si>
    <t>FROM 'KS2 DATA INPUT' SHEET</t>
  </si>
  <si>
    <t>HOW TO USE THE READY RECKONER</t>
  </si>
  <si>
    <t xml:space="preserve">Step 1)    </t>
  </si>
  <si>
    <t>Step 2)</t>
  </si>
  <si>
    <t>Step 3)</t>
  </si>
  <si>
    <t>USE FINE POINT SCORE</t>
  </si>
  <si>
    <t>INDIVIDUAL PUPIL KS2 DATA INPUT SHEET</t>
  </si>
  <si>
    <t>A - Absent</t>
  </si>
  <si>
    <t>M - Missing</t>
  </si>
  <si>
    <t>Q - Disregard</t>
  </si>
  <si>
    <t>X - Lost</t>
  </si>
  <si>
    <t>T - No access to test</t>
  </si>
  <si>
    <t>B - Working below level of test</t>
  </si>
  <si>
    <t>N - Not awarded test level</t>
  </si>
  <si>
    <t>OTHER (e.g. A, D, F etc)</t>
  </si>
  <si>
    <t>KS2 information</t>
  </si>
  <si>
    <r>
      <t xml:space="preserve">KS2 </t>
    </r>
    <r>
      <rPr>
        <b/>
        <sz val="10"/>
        <rFont val="Arial"/>
        <family val="2"/>
      </rPr>
      <t>MATHEMATICS</t>
    </r>
    <r>
      <rPr>
        <sz val="10"/>
        <rFont val="Arial"/>
        <family val="2"/>
      </rPr>
      <t xml:space="preserve"> TEST OUTCOME</t>
    </r>
  </si>
  <si>
    <r>
      <t xml:space="preserve">KS2 </t>
    </r>
    <r>
      <rPr>
        <b/>
        <sz val="10"/>
        <rFont val="Arial"/>
        <family val="2"/>
      </rPr>
      <t>MATHEMATICS</t>
    </r>
    <r>
      <rPr>
        <sz val="10"/>
        <rFont val="Arial"/>
        <family val="2"/>
      </rPr>
      <t xml:space="preserve"> POINT SCORE USED TO CALCULATE KS2 APS</t>
    </r>
  </si>
  <si>
    <r>
      <t xml:space="preserve">KS2 </t>
    </r>
    <r>
      <rPr>
        <b/>
        <sz val="10"/>
        <rFont val="Arial"/>
        <family val="2"/>
      </rPr>
      <t>MATHEMATICS</t>
    </r>
    <r>
      <rPr>
        <sz val="10"/>
        <rFont val="Arial"/>
        <family val="2"/>
      </rPr>
      <t xml:space="preserve"> TEACHER ASSESSMENT DATA</t>
    </r>
  </si>
  <si>
    <t>Mean KS2 Fine Grade (English &amp; maths)</t>
  </si>
  <si>
    <t>Estimated KS4 outcome</t>
  </si>
  <si>
    <t>Maths</t>
  </si>
  <si>
    <t/>
  </si>
  <si>
    <t>key stage 2 teacher assessment outcome can be used instead.</t>
  </si>
  <si>
    <t>This sheet is the data input sheet. Its purpose is to calculate a pupil's key stage 2 fine level</t>
  </si>
  <si>
    <t xml:space="preserve">These cells convert the key stage 2 test mark entered above to </t>
  </si>
  <si>
    <r>
      <t>Please enter</t>
    </r>
    <r>
      <rPr>
        <i/>
        <sz val="12"/>
        <rFont val="Arial"/>
        <family val="2"/>
      </rPr>
      <t xml:space="preserve"> key stage 2 teacher assessment levels if a pupil does not have an outcome in one or both of their key stage 2 tests or they have scored a </t>
    </r>
  </si>
  <si>
    <t>level 2 in one or both of their key stage 2 tests.</t>
  </si>
  <si>
    <t>The appropriate test or teacher assessment score is selected for each subject.</t>
  </si>
  <si>
    <t>The following steps explain how to use the ready reckoner….</t>
  </si>
  <si>
    <t>This cell calculates the banded KS2 fine level based on the key stage 2 fine grade.</t>
  </si>
  <si>
    <t>A,M,Q,S,T,X</t>
  </si>
  <si>
    <t>B,N</t>
  </si>
  <si>
    <t>--Select--</t>
  </si>
  <si>
    <t>W - Working towards Level 1</t>
  </si>
  <si>
    <t>Note:</t>
  </si>
  <si>
    <t xml:space="preserve">There were significant changes to KS2 assessments in 2012 where schools were no longer required to administer a writing test and submit this for external marking. </t>
  </si>
  <si>
    <t xml:space="preserve">The 2011 English (combined reading and writing) test results (marked out of 100) and level thresholds cannot be applied to 2012 reading test (marked out of 50).  </t>
  </si>
  <si>
    <t>Qualifications which count towards the EBacc</t>
  </si>
  <si>
    <t>1) WHICH PROGRESS MEASURE?</t>
  </si>
  <si>
    <t>2) ACTUAL KEY STAGE 4 ATTAINMENT</t>
  </si>
  <si>
    <t>3) ESTIMATED KEY STAGE 4 ATTAINMENT</t>
  </si>
  <si>
    <t>Using the drop down box, please select the key stage 2 to 4 progress measure you wish to view</t>
  </si>
  <si>
    <t>PROGRESS SCORE</t>
  </si>
  <si>
    <t>Progress 8</t>
  </si>
  <si>
    <t>1) Progress 8</t>
  </si>
  <si>
    <r>
      <t xml:space="preserve">Once the key stage 2 prior attainment data is complete, go to the </t>
    </r>
    <r>
      <rPr>
        <b/>
        <sz val="12"/>
        <color indexed="18"/>
        <rFont val="Arial"/>
        <family val="2"/>
      </rPr>
      <t>'Single Measure Ready Reckoner'</t>
    </r>
    <r>
      <rPr>
        <sz val="12"/>
        <color indexed="18"/>
        <rFont val="Arial"/>
        <family val="2"/>
      </rPr>
      <t xml:space="preserve"> sheet.</t>
    </r>
  </si>
  <si>
    <r>
      <t xml:space="preserve">In the </t>
    </r>
    <r>
      <rPr>
        <b/>
        <sz val="12"/>
        <color indexed="18"/>
        <rFont val="Arial"/>
        <family val="2"/>
      </rPr>
      <t>'Single Measure Ready Reckoner'</t>
    </r>
    <r>
      <rPr>
        <sz val="12"/>
        <color indexed="18"/>
        <rFont val="Arial"/>
        <family val="2"/>
      </rPr>
      <t xml:space="preserve"> sheet, select the progress measure you wish to use. See screenshot below showing the drop down box to use.</t>
    </r>
  </si>
  <si>
    <t>Step 4)</t>
  </si>
  <si>
    <t>Then enter the pupils actual key stage 4 attainment for the progress measure in question (see screenshot below). Further information on the subjects which count in the EBacc can be accessed</t>
  </si>
  <si>
    <t>from the link 'Qualifications which count towards the EBacc'.</t>
  </si>
  <si>
    <t>Step 5)</t>
  </si>
  <si>
    <r>
      <t xml:space="preserve">The pupil's progress score will then be shown in the dark blue box at the bottom of the </t>
    </r>
    <r>
      <rPr>
        <b/>
        <sz val="12"/>
        <color indexed="18"/>
        <rFont val="Arial"/>
        <family val="2"/>
      </rPr>
      <t>'Single Measure Ready Reckoner'</t>
    </r>
    <r>
      <rPr>
        <sz val="12"/>
        <color indexed="18"/>
        <rFont val="Arial"/>
        <family val="2"/>
      </rPr>
      <t xml:space="preserve"> sheet. There is also a chart comparing the pupil's actual</t>
    </r>
  </si>
  <si>
    <t>Step 6)</t>
  </si>
  <si>
    <r>
      <t xml:space="preserve">It is also possible to calculate progress scores for all three measures at the same time. To do this, go to the </t>
    </r>
    <r>
      <rPr>
        <b/>
        <sz val="12"/>
        <color indexed="18"/>
        <rFont val="Arial"/>
        <family val="2"/>
      </rPr>
      <t>'All Measures Ready Reckoner'</t>
    </r>
    <r>
      <rPr>
        <sz val="12"/>
        <color indexed="18"/>
        <rFont val="Arial"/>
        <family val="2"/>
      </rPr>
      <t xml:space="preserve"> sheet.</t>
    </r>
  </si>
  <si>
    <t>To Key stage 2 Data Input Sheet  ---&gt;</t>
  </si>
  <si>
    <t>To Single Measure Ready Reckoner  ---&gt;</t>
  </si>
  <si>
    <t>This sheet is the ready reckoner for the key stage 2 to 4 Progress 8 progress measures. To calculate a pupil's value added score, you need to first choose the</t>
  </si>
  <si>
    <t>measure you would like to use and then enter the pupil's actual key stage 4 attainment for the measure you have chosen.</t>
  </si>
  <si>
    <t>Please enter the pupil's score
in your chosen progress measure</t>
  </si>
  <si>
    <t>This section estimates the pupil's key stage 4 outcome based on their key stage 2 prior attainment.</t>
  </si>
  <si>
    <t>VALUE ADDED SCORE</t>
  </si>
  <si>
    <r>
      <t>Please enter</t>
    </r>
    <r>
      <rPr>
        <i/>
        <sz val="13"/>
        <rFont val="Arial"/>
        <family val="2"/>
      </rPr>
      <t xml:space="preserve"> the pupil's actual key stage 4 attainment</t>
    </r>
  </si>
  <si>
    <t>Pupil's estimated key stage 4 attainment (calculated)</t>
  </si>
  <si>
    <t>Back to Single Measure Ready Reckoner  &lt;---</t>
  </si>
  <si>
    <t>INDIVIDUAL PUPIL PROGRESS 8 AND PROGRESS 8 ELEMENTS READY RECKONER</t>
  </si>
  <si>
    <t>INDIVIDUAL PUPIL KEY STAGE 2 - 4 PROGRESS 8 READY RECKONER - ALL MEASURES</t>
  </si>
  <si>
    <t>The purpose of this sheet is to allow the user to calculate the value added scores for all five key stage 2 to 4 Progress 8 progress measures at the same time.</t>
  </si>
  <si>
    <t>The input for this sheet is still the 'Key stage 2 Data Input' sheet.</t>
  </si>
  <si>
    <t>Key stage 2 to 4 progress measures</t>
  </si>
  <si>
    <t>Back to Key stage 2 Data Input
&lt;---</t>
  </si>
  <si>
    <t>To All Measures Ready Reckoner ---&gt;</t>
  </si>
  <si>
    <t>4) PUPIL VALUE ADDED SCORE</t>
  </si>
  <si>
    <t xml:space="preserve">VA SCORE  (ACTUAL - ESTIMATED) </t>
  </si>
  <si>
    <t xml:space="preserve">FINAL VA AVERAGE (PER SUBJECT SCORE) </t>
  </si>
  <si>
    <t xml:space="preserve">Pupil value added average score (calculated)      </t>
  </si>
  <si>
    <t>2) Progress 8 - English element</t>
  </si>
  <si>
    <t>3) Progress 8 - maths element</t>
  </si>
  <si>
    <t>4) Progress 8 - EBacc element</t>
  </si>
  <si>
    <t>Progress 8 - English element</t>
  </si>
  <si>
    <t>Progress 8 - maths element</t>
  </si>
  <si>
    <t>Progress 8 - EBacc element</t>
  </si>
  <si>
    <t>5) Progress 8 - open element</t>
  </si>
  <si>
    <t>Progress 8 - open element</t>
  </si>
  <si>
    <t xml:space="preserve">Progress 8 - maths element </t>
  </si>
  <si>
    <t xml:space="preserve">Table 1 </t>
  </si>
  <si>
    <t>Prior Attainment Band</t>
  </si>
  <si>
    <t>Prior attainment shown in table</t>
  </si>
  <si>
    <t>Band includes pupils with prior attainment scores</t>
  </si>
  <si>
    <t>Less than or equal to 1.5</t>
  </si>
  <si>
    <t>Between 1.6 and 2.0</t>
  </si>
  <si>
    <t>Between 2.1 and 2.5</t>
  </si>
  <si>
    <t>Between 2.6 and 2.8</t>
  </si>
  <si>
    <t>Greater than or equal to 5.8</t>
  </si>
  <si>
    <t>All other prior attainment scores in the table have not been banded</t>
  </si>
  <si>
    <t>Back to All Measures Ready Reckoner &lt;---</t>
  </si>
  <si>
    <t>Back to Ready Reckoner Guidance &lt;---</t>
  </si>
  <si>
    <t>KS2 Prior band</t>
  </si>
  <si>
    <t>Best 8 including English &amp; mathematics</t>
  </si>
  <si>
    <t>English Baccalaureate - English subject area</t>
  </si>
  <si>
    <t>English Baccalaureate - mathematics subject area</t>
  </si>
  <si>
    <t>English Baccalaureate - science subject area</t>
  </si>
  <si>
    <t>English Baccalaureate - humanities subject area</t>
  </si>
  <si>
    <t>English Baccalaureate - languages subject area</t>
  </si>
  <si>
    <t>There are four key stage 2 to 4 ready reckoners.</t>
  </si>
  <si>
    <t xml:space="preserve">These value added scores can be copied and pasted directly from the pupil level file on the </t>
  </si>
  <si>
    <t>To Guidance  ---&gt;</t>
  </si>
  <si>
    <t xml:space="preserve">The ready reckoner allows the user to input, for an individual pupil, their key stage 2 prior attainment and key stage 4 outcome in Attainment 8 or any of its elements. </t>
  </si>
  <si>
    <r>
      <rPr>
        <b/>
        <sz val="10"/>
        <rFont val="Arial"/>
        <family val="2"/>
      </rPr>
      <t xml:space="preserve">This is the Progress 8 element breakdown pupil ready reckoner. </t>
    </r>
    <r>
      <rPr>
        <sz val="10"/>
        <rFont val="Arial"/>
        <family val="2"/>
      </rPr>
      <t>The aim</t>
    </r>
    <r>
      <rPr>
        <b/>
        <sz val="10"/>
        <rFont val="Arial"/>
        <family val="2"/>
      </rPr>
      <t xml:space="preserve"> </t>
    </r>
    <r>
      <rPr>
        <sz val="10"/>
        <rFont val="Arial"/>
        <family val="2"/>
      </rPr>
      <t xml:space="preserve">is to help the user to understand how we arrive at a value added score for their pupil. </t>
    </r>
  </si>
  <si>
    <r>
      <t xml:space="preserve">The aim of the </t>
    </r>
    <r>
      <rPr>
        <b/>
        <sz val="10"/>
        <rFont val="Arial"/>
        <family val="2"/>
      </rPr>
      <t xml:space="preserve">Progress 8 element breakdown school ready reckoner </t>
    </r>
    <r>
      <rPr>
        <sz val="10"/>
        <rFont val="Arial"/>
        <family val="2"/>
      </rPr>
      <t xml:space="preserve">is to help the user understand how we arrive at a value added score for their school. </t>
    </r>
  </si>
  <si>
    <t xml:space="preserve">The ready reckoner allows the user to input the value added scores in Progress 8 or any of its elements, for all pupils in their school. </t>
  </si>
  <si>
    <t xml:space="preserve">The ready reckoner allows the user to input, for an individual pupil, their key stage 2 prior attainment and key stage 4 attainment in any of the three subject areas in the English Baccalaureate. </t>
  </si>
  <si>
    <r>
      <t xml:space="preserve">The aim of the </t>
    </r>
    <r>
      <rPr>
        <b/>
        <sz val="10"/>
        <rFont val="Arial"/>
        <family val="2"/>
      </rPr>
      <t>EBacc subject school ready reckoner</t>
    </r>
    <r>
      <rPr>
        <sz val="10"/>
        <rFont val="Arial"/>
        <family val="2"/>
      </rPr>
      <t xml:space="preserve"> is to help the user understand how we arrive at a value added score for their school. </t>
    </r>
  </si>
  <si>
    <t xml:space="preserve">The ready reckoner allows the user to input the value added scores in any of the three subject areas in the English Baccalaureate, for all pupils in their school. </t>
  </si>
  <si>
    <r>
      <t>The aim of the</t>
    </r>
    <r>
      <rPr>
        <b/>
        <sz val="10"/>
        <rFont val="Arial"/>
        <family val="2"/>
      </rPr>
      <t xml:space="preserve"> EBacc subject pupil ready reckoner</t>
    </r>
    <r>
      <rPr>
        <sz val="10"/>
        <rFont val="Arial"/>
        <family val="2"/>
      </rPr>
      <t xml:space="preserve"> is to help the user to understand how we arrive at a value added score for their pupil. </t>
    </r>
  </si>
  <si>
    <t>This ready reckoner allows the user to calculate a value added score for an individual pupil for the following measures:</t>
  </si>
  <si>
    <r>
      <t xml:space="preserve">Go to sheet </t>
    </r>
    <r>
      <rPr>
        <b/>
        <sz val="12"/>
        <color indexed="18"/>
        <rFont val="Arial"/>
        <family val="2"/>
      </rPr>
      <t>'Key stage 2 data input'</t>
    </r>
    <r>
      <rPr>
        <sz val="12"/>
        <color indexed="18"/>
        <rFont val="Arial"/>
        <family val="2"/>
      </rPr>
      <t xml:space="preserve"> and enter the pupil's key stage 2 prior attainment in key stage 2 reading and mathematics. If a pupil is missing a valid key stage 2 test outcome, then their </t>
    </r>
  </si>
  <si>
    <t>key stage 4 attainment against their estimated key stage 4 attainment in 2017.</t>
  </si>
  <si>
    <r>
      <t xml:space="preserve">KS2 </t>
    </r>
    <r>
      <rPr>
        <b/>
        <sz val="10"/>
        <rFont val="Arial"/>
        <family val="2"/>
      </rPr>
      <t>READING</t>
    </r>
    <r>
      <rPr>
        <sz val="10"/>
        <rFont val="Arial"/>
        <family val="2"/>
      </rPr>
      <t xml:space="preserve"> TEST OUTCOME</t>
    </r>
  </si>
  <si>
    <t>using their key stage 2 test and teacher assessment outcomes in reading and mathematics.</t>
  </si>
  <si>
    <r>
      <t xml:space="preserve">KS2 </t>
    </r>
    <r>
      <rPr>
        <b/>
        <sz val="10"/>
        <rFont val="Arial"/>
        <family val="2"/>
      </rPr>
      <t>READING</t>
    </r>
    <r>
      <rPr>
        <sz val="10"/>
        <rFont val="Arial"/>
        <family val="2"/>
      </rPr>
      <t xml:space="preserve"> TEACHER ASSESSMENT DATA</t>
    </r>
  </si>
  <si>
    <r>
      <t xml:space="preserve">KS2 </t>
    </r>
    <r>
      <rPr>
        <b/>
        <sz val="10"/>
        <rFont val="Arial"/>
        <family val="2"/>
      </rPr>
      <t>READING</t>
    </r>
    <r>
      <rPr>
        <sz val="10"/>
        <rFont val="Arial"/>
        <family val="2"/>
      </rPr>
      <t xml:space="preserve"> POINT SCORE USED TO CALCULATE KS2 APS</t>
    </r>
  </si>
  <si>
    <t>This cell calculates the key stage 2 average point score based on key stage 2 reading and mathematics.</t>
  </si>
  <si>
    <t>Key stage 2 reading and maths score in fine level</t>
  </si>
  <si>
    <t>Reading</t>
  </si>
  <si>
    <t>tot_2r</t>
  </si>
  <si>
    <t>K2LEV_r</t>
  </si>
  <si>
    <t>cvap2read</t>
  </si>
  <si>
    <t>reading</t>
  </si>
  <si>
    <t>fine grades for each subject.</t>
  </si>
  <si>
    <t>These cells convert the key stage 2 asessment outcomes entered above to key stage 2 grades.</t>
  </si>
  <si>
    <t>reading drop down</t>
  </si>
  <si>
    <t>15 - Fine grade = 2.8929</t>
  </si>
  <si>
    <t>16 - Fine grade = 2.9286</t>
  </si>
  <si>
    <t>17 - Fine grade = 2.9643</t>
  </si>
  <si>
    <t>18 - Fine grade = 3</t>
  </si>
  <si>
    <t>19 - Fine grade = 3.0357</t>
  </si>
  <si>
    <t>20 - Fine grade = 3.0714</t>
  </si>
  <si>
    <t>21 - Fine grade = 3.1071</t>
  </si>
  <si>
    <t>22 - Fine grade = 3.1429</t>
  </si>
  <si>
    <t>23 - Fine grade = 3.1786</t>
  </si>
  <si>
    <t>24 - Fine grade = 3.2143</t>
  </si>
  <si>
    <t>25 - Fine grade = 3.25</t>
  </si>
  <si>
    <t>26 - Fine grade = 3.2857</t>
  </si>
  <si>
    <t>27 - Fine grade = 3.3214</t>
  </si>
  <si>
    <t>28 - Fine grade = 3.3571</t>
  </si>
  <si>
    <t>29 - Fine grade = 3.3929</t>
  </si>
  <si>
    <t>30 - Fine grade = 3.4286</t>
  </si>
  <si>
    <t>31 - Fine grade = 3.4643</t>
  </si>
  <si>
    <t>32 - Fine grade = 3.5</t>
  </si>
  <si>
    <t>33 - Fine grade = 3.5357</t>
  </si>
  <si>
    <t>34 - Fine grade = 3.5714</t>
  </si>
  <si>
    <t>35 - Fine grade = 3.6071</t>
  </si>
  <si>
    <t>36 - Fine grade = 3.6429</t>
  </si>
  <si>
    <t>37 - Fine grade = 3.6786</t>
  </si>
  <si>
    <t>38 - Fine grade = 3.7143</t>
  </si>
  <si>
    <t>39 - Fine grade = 3.75</t>
  </si>
  <si>
    <t>40 - Fine grade = 3.7857</t>
  </si>
  <si>
    <t>41 - Fine grade = 3.8214</t>
  </si>
  <si>
    <t>42 - Fine grade = 3.8571</t>
  </si>
  <si>
    <t>43 - Fine grade = 3.8929</t>
  </si>
  <si>
    <t>44 - Fine grade = 3.9286</t>
  </si>
  <si>
    <t>45 - Fine grade = 3.9643</t>
  </si>
  <si>
    <t>46 - Fine grade = 4</t>
  </si>
  <si>
    <t>47 - Fine grade = 4.0303</t>
  </si>
  <si>
    <t>48 - Fine grade = 4.0606</t>
  </si>
  <si>
    <t>49 - Fine grade = 4.0909</t>
  </si>
  <si>
    <t>50 - Fine grade = 4.1212</t>
  </si>
  <si>
    <t>51 - Fine grade = 4.1515</t>
  </si>
  <si>
    <t>52 - Fine grade = 4.1818</t>
  </si>
  <si>
    <t>53 - Fine grade = 4.2121</t>
  </si>
  <si>
    <t>54 - Fine grade = 4.2424</t>
  </si>
  <si>
    <t>55 - Fine grade = 4.2727</t>
  </si>
  <si>
    <t>56 - Fine grade = 4.303</t>
  </si>
  <si>
    <t>57 - Fine grade = 4.3333</t>
  </si>
  <si>
    <t>58 - Fine grade = 4.3636</t>
  </si>
  <si>
    <t>59 - Fine grade = 4.3939</t>
  </si>
  <si>
    <t>60 - Fine grade = 4.4242</t>
  </si>
  <si>
    <t>61 - Fine grade = 4.4545</t>
  </si>
  <si>
    <t>62 - Fine grade = 4.4848</t>
  </si>
  <si>
    <t>63 - Fine grade = 4.5152</t>
  </si>
  <si>
    <t>64 - Fine grade = 4.5455</t>
  </si>
  <si>
    <t>65 - Fine grade = 4.5758</t>
  </si>
  <si>
    <t>66 - Fine grade = 4.6061</t>
  </si>
  <si>
    <t>67 - Fine grade = 4.6364</t>
  </si>
  <si>
    <t>68 - Fine grade = 4.6667</t>
  </si>
  <si>
    <t>69 - Fine grade = 4.697</t>
  </si>
  <si>
    <t>70 - Fine grade = 4.7273</t>
  </si>
  <si>
    <t>71 - Fine grade = 4.7576</t>
  </si>
  <si>
    <t>72 - Fine grade = 4.7879</t>
  </si>
  <si>
    <t>73 - Fine grade = 4.8182</t>
  </si>
  <si>
    <t>74 - Fine grade = 4.8485</t>
  </si>
  <si>
    <t>75 - Fine grade = 4.8788</t>
  </si>
  <si>
    <t>76 - Fine grade = 4.9091</t>
  </si>
  <si>
    <t>77 - Fine grade = 4.9394</t>
  </si>
  <si>
    <t>78 - Fine grade = 4.9697</t>
  </si>
  <si>
    <t>79 - Fine grade = 5</t>
  </si>
  <si>
    <t>80 - Fine grade = 5.0455</t>
  </si>
  <si>
    <t>81 - Fine grade = 5.0909</t>
  </si>
  <si>
    <t>82 - Fine grade = 5.1364</t>
  </si>
  <si>
    <t>83 - Fine grade = 5.1818</t>
  </si>
  <si>
    <t>84 - Fine grade = 5.2273</t>
  </si>
  <si>
    <t>85 - Fine grade = 5.2727</t>
  </si>
  <si>
    <t>86 - Fine grade = 5.3182</t>
  </si>
  <si>
    <t>87 - Fine grade = 5.3636</t>
  </si>
  <si>
    <t>88 - Fine grade = 5.4091</t>
  </si>
  <si>
    <t>89 - Fine grade = 5.4545</t>
  </si>
  <si>
    <t>90 - Fine grade = 5.5</t>
  </si>
  <si>
    <t>91 - Fine grade = 5.5455</t>
  </si>
  <si>
    <t>92 - Fine grade = 5.5909</t>
  </si>
  <si>
    <t>93 - Fine grade = 5.6364</t>
  </si>
  <si>
    <t>94 - Fine grade = 5.6818</t>
  </si>
  <si>
    <t>95 - Fine grade = 5.7273</t>
  </si>
  <si>
    <t>96 - Fine grade = 5.7727</t>
  </si>
  <si>
    <t>97 - Fine grade = 5.8182</t>
  </si>
  <si>
    <t>98 - Fine grade = 5.8636</t>
  </si>
  <si>
    <t>99 - Fine grade = 5.9091</t>
  </si>
  <si>
    <t>100 - Fine grade = 5.9545</t>
  </si>
  <si>
    <t>Maths drop down</t>
  </si>
  <si>
    <t>Reading fine grade lookup</t>
  </si>
  <si>
    <t>Maths fine grade lookup</t>
  </si>
  <si>
    <t>Mark</t>
  </si>
  <si>
    <t>Level</t>
  </si>
  <si>
    <t>Bottom</t>
  </si>
  <si>
    <t>Top</t>
  </si>
  <si>
    <t>Drop down list?</t>
  </si>
  <si>
    <t>Fine grade</t>
  </si>
  <si>
    <r>
      <t>Please enter</t>
    </r>
    <r>
      <rPr>
        <i/>
        <sz val="12"/>
        <rFont val="Arial"/>
        <family val="2"/>
      </rPr>
      <t xml:space="preserve"> the pupil's key stage 2 test mark for each subject. This is the number on the left in the options in the drop down menu - if you don't know the test mark, but do know the fine grade, then select from the drop down menu based on the fine grade.</t>
    </r>
  </si>
  <si>
    <t>Calculations are completed based on attainment estimates to 2 decimal places.</t>
  </si>
  <si>
    <t>Checking site.</t>
  </si>
  <si>
    <r>
      <t xml:space="preserve">Note: it is not possible to access key stage 2 test marks on the </t>
    </r>
    <r>
      <rPr>
        <b/>
        <sz val="12"/>
        <color indexed="10"/>
        <rFont val="Arial"/>
        <family val="2"/>
      </rPr>
      <t>Checking website</t>
    </r>
    <r>
      <rPr>
        <sz val="12"/>
        <color indexed="10"/>
        <rFont val="Arial"/>
        <family val="2"/>
      </rPr>
      <t xml:space="preserve"> but these are given along with their corresponding fine point score in the drop down box</t>
    </r>
  </si>
  <si>
    <r>
      <t xml:space="preserve">The fine point score can be found in the pupil level data file under the </t>
    </r>
    <r>
      <rPr>
        <b/>
        <sz val="12"/>
        <color indexed="10"/>
        <rFont val="Arial"/>
        <family val="2"/>
      </rPr>
      <t xml:space="preserve">Guidance/Documents </t>
    </r>
    <r>
      <rPr>
        <sz val="12"/>
        <color indexed="10"/>
        <rFont val="Arial"/>
        <family val="2"/>
      </rPr>
      <t xml:space="preserve">tab. </t>
    </r>
  </si>
  <si>
    <r>
      <t xml:space="preserve">Note: key stage 4 attainment can be found on the </t>
    </r>
    <r>
      <rPr>
        <b/>
        <sz val="12"/>
        <color indexed="10"/>
        <rFont val="Arial"/>
        <family val="2"/>
      </rPr>
      <t>Checking website</t>
    </r>
    <r>
      <rPr>
        <sz val="12"/>
        <color indexed="10"/>
        <rFont val="Arial"/>
        <family val="2"/>
      </rPr>
      <t xml:space="preserve"> in the pupil level data file under the </t>
    </r>
    <r>
      <rPr>
        <b/>
        <sz val="12"/>
        <color indexed="10"/>
        <rFont val="Arial"/>
        <family val="2"/>
      </rPr>
      <t>Guidance/Documents</t>
    </r>
    <r>
      <rPr>
        <sz val="12"/>
        <color indexed="10"/>
        <rFont val="Arial"/>
        <family val="2"/>
      </rPr>
      <t xml:space="preserve"> tab.</t>
    </r>
  </si>
  <si>
    <t>ks2emfg_grp</t>
  </si>
  <si>
    <t>p8est</t>
  </si>
  <si>
    <t>p8esteng</t>
  </si>
  <si>
    <t>p8estmat</t>
  </si>
  <si>
    <t>p8estebac</t>
  </si>
  <si>
    <t>p8estopen</t>
  </si>
  <si>
    <t>p8estopeng</t>
  </si>
  <si>
    <t>p8estopenng</t>
  </si>
  <si>
    <t>Imported from the Coefficients and Model Values 2018 spreadsheet</t>
  </si>
  <si>
    <t>Where few pupils achieved a certain prior attainment score, banding has been applied to produce more accurate predicted values.</t>
  </si>
  <si>
    <t>The groupings used for this banding can be seen in Table 1.</t>
  </si>
  <si>
    <t>PAG Limits</t>
  </si>
  <si>
    <t>Prior Attainment Group (PAG)</t>
  </si>
  <si>
    <t>N/A</t>
  </si>
  <si>
    <t>Back to Single Measure Ready Reckoner &lt;---</t>
  </si>
  <si>
    <t>The table below shows the thirty four prior attainment groups (PAGs) that pupils can be allocated to depending on their key stage 2 average fine level score.</t>
  </si>
  <si>
    <t xml:space="preserve">Not all prior attainment groups wil have pupils with extremely negative scores. </t>
  </si>
  <si>
    <t xml:space="preserve">This is because the average Attainment 8 score for pupils in the lowest prior attainment groups will already be relatively low. </t>
  </si>
  <si>
    <t>1-18</t>
  </si>
  <si>
    <t>KS2 average fine level</t>
  </si>
  <si>
    <t>Minimum threshold for adjusted Progress 8</t>
  </si>
  <si>
    <t>&gt;=4.25 and &lt; 4.35</t>
  </si>
  <si>
    <t>&gt;=4.35 and &lt; 4.45</t>
  </si>
  <si>
    <t>&gt;=4.45 and &lt; 4.55</t>
  </si>
  <si>
    <t>&gt;=4.55 and &lt; 4.65</t>
  </si>
  <si>
    <t>&gt;=4.65 and &lt; 4.75</t>
  </si>
  <si>
    <t>&gt;=4.75 and &lt; 4.85</t>
  </si>
  <si>
    <t>&gt;=4.85 and &lt; 4.95</t>
  </si>
  <si>
    <t>&gt;=4.95 and &lt; 5.05</t>
  </si>
  <si>
    <t>&gt;=5.05 and &lt; 5.15</t>
  </si>
  <si>
    <t>&gt;=5.15 and &lt; 5.25</t>
  </si>
  <si>
    <t>&gt;=5.25 and &lt; 5.35</t>
  </si>
  <si>
    <t>&gt;=5.35 and &lt; 5.45</t>
  </si>
  <si>
    <t>&gt;=5.45 and &lt; 5.55</t>
  </si>
  <si>
    <t>&gt;=5.55 and &lt; 5.65</t>
  </si>
  <si>
    <t>&gt;=5.65 and &lt; 5.75</t>
  </si>
  <si>
    <t>&gt;=5.75</t>
  </si>
  <si>
    <t>PAG</t>
  </si>
  <si>
    <t>Lower</t>
  </si>
  <si>
    <t>Upper</t>
  </si>
  <si>
    <t>My grp</t>
  </si>
  <si>
    <t xml:space="preserve">Grp </t>
  </si>
  <si>
    <t xml:space="preserve">Pupil value added average score (capped)      </t>
  </si>
  <si>
    <t>Progress 8: Predicted Value 2018</t>
  </si>
  <si>
    <t>Progress 8: Capping threshold</t>
  </si>
  <si>
    <t>Progress 8: Value Used</t>
  </si>
  <si>
    <t xml:space="preserve">FINAL VA AVERAGE FOR PROGRESS 8 ONLY (ALLOWING FOR EXTREME NEGATIVE SCORES) </t>
  </si>
  <si>
    <t>&lt;4.25</t>
  </si>
  <si>
    <t>To complete this sheet, you need to enter the pupil's actual key stage 4 attainment for the various measures.</t>
  </si>
  <si>
    <t xml:space="preserve">GUIDE TO 2019 KEY STAGE 2 TO 4 READY RECKONERS </t>
  </si>
  <si>
    <t>2019 KEY STAGE 2 TO 4 INDIVIDUAL PUPIL READY RECKONER GUIDANCE</t>
  </si>
  <si>
    <t>Please note that all attainment estimates and calculations relate to 2019 only.</t>
  </si>
  <si>
    <t xml:space="preserve">The ready reckoner only provides correct calculations for pupils reaching the end of key stage 4 in 2019 who took their key stage 2 tests in 2014. </t>
  </si>
  <si>
    <t>12 - Fine grade = 3</t>
  </si>
  <si>
    <t>13 - Fine grade = 3.1429</t>
  </si>
  <si>
    <t>14 - Fine grade = 3.2857</t>
  </si>
  <si>
    <t>15 - Fine grade = 3.4286</t>
  </si>
  <si>
    <t>16 - Fine grade = 3.5714</t>
  </si>
  <si>
    <t>17 - Fine grade = 3.7143</t>
  </si>
  <si>
    <t>18 - Fine grade = 3.8571</t>
  </si>
  <si>
    <t>19 - Fine grade = 4</t>
  </si>
  <si>
    <t>20 - Fine grade = 4.0769</t>
  </si>
  <si>
    <t>21 - Fine grade = 4.1538</t>
  </si>
  <si>
    <t>22 - Fine grade = 4.2308</t>
  </si>
  <si>
    <t>23 - Fine grade = 4.3077</t>
  </si>
  <si>
    <t>24 - Fine grade = 4.3846</t>
  </si>
  <si>
    <t>25 - Fine grade = 4.4615</t>
  </si>
  <si>
    <t>26 - Fine grade = 4.5385</t>
  </si>
  <si>
    <t>27 - Fine grade = 4.6154</t>
  </si>
  <si>
    <t>28 - Fine grade = 4.6923</t>
  </si>
  <si>
    <t>29 - Fine grade = 4.7692</t>
  </si>
  <si>
    <t>30 - Fine grade = 4.8462</t>
  </si>
  <si>
    <t>31 - Fine grade = 4.9231</t>
  </si>
  <si>
    <t>32 - Fine grade = 5</t>
  </si>
  <si>
    <t>33 - Fine grade = 5.0526</t>
  </si>
  <si>
    <t>34 - Fine grade = 5.1053</t>
  </si>
  <si>
    <t>35 - Fine grade = 5.1579</t>
  </si>
  <si>
    <t>36 - Fine grade = 5.2105</t>
  </si>
  <si>
    <t>37 - Fine grade = 5.2632</t>
  </si>
  <si>
    <t>38 - Fine grade = 5.3158</t>
  </si>
  <si>
    <t>39 - Fine grade = 5.3684</t>
  </si>
  <si>
    <t>40 - Fine grade = 5.4211</t>
  </si>
  <si>
    <t>41 - Fine grade = 5.4737</t>
  </si>
  <si>
    <t>42 - Fine grade = 5.5263</t>
  </si>
  <si>
    <t>43 - Fine grade = 5.5789</t>
  </si>
  <si>
    <t>44 - Fine grade = 5.6316</t>
  </si>
  <si>
    <t>45 - Fine grade = 5.6842</t>
  </si>
  <si>
    <t>46 - Fine grade = 5.7368</t>
  </si>
  <si>
    <t>47 - Fine grade = 5.7895</t>
  </si>
  <si>
    <t>48 - Fine grade = 5.8421</t>
  </si>
  <si>
    <t>49 - Fine grade = 5.8947</t>
  </si>
  <si>
    <t>50 - Fine grade = 5.9474</t>
  </si>
  <si>
    <t>2014 Key Stage 2 Thresholds</t>
  </si>
  <si>
    <t>These 2019 figures are used in the calculation for cell G22 in the Single Measure Ready Reckoner</t>
  </si>
  <si>
    <t>Model Values - 2019 Predicted Scores by Prior Attainment</t>
  </si>
  <si>
    <t>This sheet shows the 2019 predicted point score for Progress 8 and each of its elements for pupils with the same prior attainment.</t>
  </si>
  <si>
    <t>Within the PAGs there is a limit on how negative a pupil's progress score can be and the table shows the lowest score they can be allocated in 2019.</t>
  </si>
  <si>
    <t>Predicted Values 2019</t>
  </si>
  <si>
    <t>Progress 8: Predicted Values 2019</t>
  </si>
  <si>
    <t xml:space="preserve">Maths </t>
  </si>
  <si>
    <t>Mark range</t>
  </si>
  <si>
    <t>0-11</t>
  </si>
  <si>
    <t>0-14</t>
  </si>
  <si>
    <t>15-17</t>
  </si>
  <si>
    <t>18-45</t>
  </si>
  <si>
    <t>19-31</t>
  </si>
  <si>
    <t>46-78</t>
  </si>
  <si>
    <t>32-50</t>
  </si>
  <si>
    <t>79-100</t>
  </si>
  <si>
    <t>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</si>
</sst>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0.00&quot; Points&quot;"/>
    <numFmt numFmtId="167" formatCode="0.0000"/>
    <numFmt numFmtId="168" formatCode="0.000"/>
    <numFmt numFmtId="169" formatCode="0.000000"/>
  </numFmts>
  <fonts count="75" x14ac:knownFonts="1">
    <font>
      <sz val="10"/>
      <name val="Arial"/>
    </font>
    <font>
      <sz val="10"/>
      <name val="Arial"/>
      <family val="2"/>
    </font>
    <font>
      <b/>
      <sz val="10"/>
      <name val="Arial"/>
      <family val="2"/>
    </font>
    <font>
      <b/>
      <sz val="14"/>
      <name val="Arial"/>
      <family val="2"/>
    </font>
    <font>
      <sz val="8"/>
      <name val="Arial"/>
      <family val="2"/>
    </font>
    <font>
      <b/>
      <sz val="12"/>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name val="Arial"/>
      <family val="2"/>
    </font>
    <font>
      <b/>
      <sz val="8"/>
      <color indexed="12"/>
      <name val="Arial"/>
      <family val="2"/>
    </font>
    <font>
      <sz val="8"/>
      <name val="Arial"/>
      <family val="2"/>
    </font>
    <font>
      <sz val="8"/>
      <color indexed="12"/>
      <name val="Arial"/>
      <family val="2"/>
    </font>
    <font>
      <b/>
      <sz val="10"/>
      <color indexed="8"/>
      <name val="ARIAL"/>
      <family val="2"/>
    </font>
    <font>
      <sz val="16"/>
      <name val="Arial"/>
      <family val="2"/>
    </font>
    <font>
      <sz val="12"/>
      <name val="Arial"/>
      <family val="2"/>
    </font>
    <font>
      <b/>
      <sz val="16"/>
      <name val="Arial"/>
      <family val="2"/>
    </font>
    <font>
      <b/>
      <sz val="14"/>
      <color indexed="9"/>
      <name val="Arial"/>
      <family val="2"/>
    </font>
    <font>
      <sz val="12"/>
      <name val="Arial"/>
      <family val="2"/>
    </font>
    <font>
      <b/>
      <sz val="14"/>
      <color indexed="18"/>
      <name val="Arial"/>
      <family val="2"/>
    </font>
    <font>
      <sz val="10"/>
      <color indexed="9"/>
      <name val="Arial"/>
      <family val="2"/>
    </font>
    <font>
      <sz val="10"/>
      <color indexed="10"/>
      <name val="Arial"/>
      <family val="2"/>
    </font>
    <font>
      <sz val="12"/>
      <color indexed="10"/>
      <name val="Arial"/>
      <family val="2"/>
    </font>
    <font>
      <b/>
      <sz val="8"/>
      <color indexed="8"/>
      <name val="Arial"/>
      <family val="2"/>
    </font>
    <font>
      <sz val="8"/>
      <color indexed="8"/>
      <name val="Arial"/>
      <family val="2"/>
    </font>
    <font>
      <b/>
      <u/>
      <sz val="14"/>
      <color indexed="18"/>
      <name val="Arial"/>
      <family val="2"/>
    </font>
    <font>
      <sz val="12"/>
      <color indexed="8"/>
      <name val="Arial"/>
      <family val="2"/>
    </font>
    <font>
      <sz val="12"/>
      <color indexed="8"/>
      <name val="Arial"/>
      <family val="2"/>
    </font>
    <font>
      <i/>
      <sz val="12"/>
      <color indexed="8"/>
      <name val="Arial"/>
      <family val="2"/>
    </font>
    <font>
      <i/>
      <sz val="12"/>
      <name val="Arial"/>
      <family val="2"/>
    </font>
    <font>
      <b/>
      <sz val="12"/>
      <color indexed="18"/>
      <name val="Arial"/>
      <family val="2"/>
    </font>
    <font>
      <sz val="12"/>
      <color indexed="18"/>
      <name val="Arial"/>
      <family val="2"/>
    </font>
    <font>
      <sz val="10"/>
      <color indexed="18"/>
      <name val="Arial"/>
      <family val="2"/>
    </font>
    <font>
      <b/>
      <sz val="13"/>
      <color indexed="8"/>
      <name val="Arial"/>
      <family val="2"/>
    </font>
    <font>
      <b/>
      <sz val="14"/>
      <color indexed="8"/>
      <name val="Arial"/>
      <family val="2"/>
    </font>
    <font>
      <b/>
      <i/>
      <sz val="12"/>
      <name val="Arial"/>
      <family val="2"/>
    </font>
    <font>
      <b/>
      <i/>
      <sz val="11"/>
      <color indexed="48"/>
      <name val="Arial"/>
      <family val="2"/>
    </font>
    <font>
      <sz val="10"/>
      <name val="Arial"/>
      <family val="2"/>
    </font>
    <font>
      <b/>
      <sz val="12"/>
      <color indexed="10"/>
      <name val="Arial"/>
      <family val="2"/>
    </font>
    <font>
      <sz val="14"/>
      <name val="Arial"/>
      <family val="2"/>
    </font>
    <font>
      <sz val="11"/>
      <name val="Arial"/>
      <family val="2"/>
    </font>
    <font>
      <b/>
      <i/>
      <sz val="13"/>
      <name val="Arial"/>
      <family val="2"/>
    </font>
    <font>
      <i/>
      <sz val="13"/>
      <name val="Arial"/>
      <family val="2"/>
    </font>
    <font>
      <sz val="10"/>
      <color indexed="8"/>
      <name val="Arial"/>
      <family val="2"/>
    </font>
    <font>
      <sz val="11"/>
      <color theme="1"/>
      <name val="Calibri"/>
      <family val="2"/>
      <scheme val="minor"/>
    </font>
    <font>
      <sz val="10"/>
      <color theme="0"/>
      <name val="Arial"/>
      <family val="2"/>
    </font>
    <font>
      <sz val="10"/>
      <color rgb="FFFF0000"/>
      <name val="Arial"/>
      <family val="2"/>
    </font>
    <font>
      <b/>
      <sz val="10"/>
      <color rgb="FFFF0000"/>
      <name val="Arial"/>
      <family val="2"/>
    </font>
    <font>
      <b/>
      <sz val="11"/>
      <color theme="1"/>
      <name val="Calibri"/>
      <family val="2"/>
      <scheme val="minor"/>
    </font>
    <font>
      <sz val="8.25"/>
      <color rgb="FF000000"/>
      <name val="Arial"/>
      <family val="2"/>
    </font>
    <font>
      <b/>
      <sz val="16"/>
      <color theme="0"/>
      <name val="Arial"/>
      <family val="2"/>
    </font>
    <font>
      <sz val="8.5"/>
      <color theme="1"/>
      <name val="Arial"/>
      <family val="2"/>
    </font>
    <font>
      <sz val="12"/>
      <color rgb="FF0D0D0D"/>
      <name val="Arial"/>
      <family val="2"/>
    </font>
    <font>
      <sz val="10"/>
      <color theme="1"/>
      <name val="Arial"/>
      <family val="2"/>
    </font>
    <font>
      <sz val="8"/>
      <color theme="1"/>
      <name val="Arial"/>
      <family val="2"/>
    </font>
    <font>
      <b/>
      <sz val="14"/>
      <color theme="1"/>
      <name val="Arial"/>
      <family val="2"/>
    </font>
    <font>
      <b/>
      <sz val="12"/>
      <color rgb="FF0D0D0D"/>
      <name val="Arial"/>
      <family val="2"/>
    </font>
    <font>
      <b/>
      <sz val="14"/>
      <color theme="0"/>
      <name val="Arial"/>
      <family val="2"/>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indexed="55"/>
        <bgColor indexed="64"/>
      </patternFill>
    </fill>
    <fill>
      <patternFill patternType="solid">
        <fgColor indexed="18"/>
        <bgColor indexed="64"/>
      </patternFill>
    </fill>
    <fill>
      <patternFill patternType="solid">
        <fgColor indexed="49"/>
        <bgColor indexed="64"/>
      </patternFill>
    </fill>
    <fill>
      <patternFill patternType="solid">
        <fgColor indexed="62"/>
        <bgColor indexed="64"/>
      </patternFill>
    </fill>
    <fill>
      <patternFill patternType="solid">
        <fgColor theme="9" tint="0.59996337778862885"/>
        <bgColor indexed="64"/>
      </patternFill>
    </fill>
    <fill>
      <patternFill patternType="solid">
        <fgColor rgb="FF99CCFF"/>
        <bgColor indexed="64"/>
      </patternFill>
    </fill>
    <fill>
      <patternFill patternType="solid">
        <fgColor theme="0"/>
        <bgColor indexed="64"/>
      </patternFill>
    </fill>
    <fill>
      <patternFill patternType="solid">
        <fgColor rgb="FF33CCCC"/>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000080"/>
        <bgColor indexed="64"/>
      </patternFill>
    </fill>
    <fill>
      <patternFill patternType="solid">
        <fgColor rgb="FFCFDCE3"/>
        <bgColor indexed="64"/>
      </patternFill>
    </fill>
    <fill>
      <patternFill patternType="solid">
        <fgColor theme="9" tint="0.59999389629810485"/>
        <bgColor indexed="64"/>
      </patternFill>
    </fill>
    <fill>
      <patternFill patternType="solid">
        <fgColor rgb="FFCCFFFF"/>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48">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12" fillId="0" borderId="0"/>
    <xf numFmtId="0" fontId="1" fillId="0" borderId="0"/>
    <xf numFmtId="0" fontId="61" fillId="0" borderId="0"/>
    <xf numFmtId="0" fontId="12" fillId="0" borderId="0" applyNumberFormat="0" applyFill="0" applyBorder="0" applyAlignment="0" applyProtection="0"/>
    <xf numFmtId="0" fontId="12" fillId="23" borderId="7" applyNumberFormat="0" applyFont="0" applyAlignment="0" applyProtection="0"/>
    <xf numFmtId="0" fontId="22" fillId="20" borderId="8" applyNumberFormat="0" applyAlignment="0" applyProtection="0"/>
    <xf numFmtId="9" fontId="54"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440">
    <xf numFmtId="0" fontId="0" fillId="0" borderId="0" xfId="0"/>
    <xf numFmtId="0" fontId="27" fillId="0" borderId="0" xfId="41" applyFont="1"/>
    <xf numFmtId="0" fontId="26" fillId="0" borderId="0" xfId="41" applyFont="1"/>
    <xf numFmtId="4" fontId="28" fillId="0" borderId="0" xfId="0" applyNumberFormat="1" applyFont="1"/>
    <xf numFmtId="0" fontId="29" fillId="0" borderId="0" xfId="41" applyFont="1"/>
    <xf numFmtId="0" fontId="28" fillId="0" borderId="0" xfId="41" applyFont="1"/>
    <xf numFmtId="2" fontId="28" fillId="0" borderId="0" xfId="0" applyNumberFormat="1" applyFont="1"/>
    <xf numFmtId="4" fontId="29" fillId="0" borderId="0" xfId="0" applyNumberFormat="1" applyFont="1"/>
    <xf numFmtId="0" fontId="28" fillId="0" borderId="0" xfId="0" quotePrefix="1" applyFont="1" applyAlignment="1">
      <alignment horizontal="left"/>
    </xf>
    <xf numFmtId="0" fontId="28" fillId="0" borderId="0" xfId="0" quotePrefix="1" applyFont="1"/>
    <xf numFmtId="165" fontId="28" fillId="0" borderId="0" xfId="0" quotePrefix="1" applyNumberFormat="1" applyFont="1" applyAlignment="1">
      <alignment horizontal="left"/>
    </xf>
    <xf numFmtId="0" fontId="29" fillId="0" borderId="0" xfId="0" applyFont="1"/>
    <xf numFmtId="2" fontId="29" fillId="0" borderId="0" xfId="0" applyNumberFormat="1" applyFont="1"/>
    <xf numFmtId="2" fontId="28" fillId="0" borderId="0" xfId="41" applyNumberFormat="1" applyFont="1"/>
    <xf numFmtId="0" fontId="28" fillId="0" borderId="0" xfId="0" applyFont="1"/>
    <xf numFmtId="0" fontId="28" fillId="0" borderId="0" xfId="0" applyFont="1" applyAlignment="1">
      <alignment horizontal="left"/>
    </xf>
    <xf numFmtId="0" fontId="26" fillId="0" borderId="0" xfId="0" applyFont="1"/>
    <xf numFmtId="49" fontId="28" fillId="0" borderId="0" xfId="0" quotePrefix="1" applyNumberFormat="1" applyFont="1"/>
    <xf numFmtId="0" fontId="28" fillId="0" borderId="0" xfId="0" quotePrefix="1" applyNumberFormat="1" applyFont="1" applyAlignment="1">
      <alignment horizontal="left"/>
    </xf>
    <xf numFmtId="0" fontId="28" fillId="0" borderId="0" xfId="0" applyNumberFormat="1" applyFont="1" applyAlignment="1">
      <alignment horizontal="left"/>
    </xf>
    <xf numFmtId="49" fontId="28" fillId="0" borderId="0" xfId="0" applyNumberFormat="1" applyFont="1" applyAlignment="1">
      <alignment horizontal="left"/>
    </xf>
    <xf numFmtId="0" fontId="40" fillId="0" borderId="0" xfId="41" applyFont="1"/>
    <xf numFmtId="0" fontId="41" fillId="0" borderId="0" xfId="41" applyFont="1"/>
    <xf numFmtId="2" fontId="41" fillId="0" borderId="0" xfId="0" applyNumberFormat="1" applyFont="1"/>
    <xf numFmtId="4" fontId="41" fillId="0" borderId="0" xfId="0" applyNumberFormat="1" applyFont="1"/>
    <xf numFmtId="0" fontId="41" fillId="0" borderId="0" xfId="0" applyFont="1"/>
    <xf numFmtId="2" fontId="41" fillId="0" borderId="0" xfId="41" applyNumberFormat="1" applyFont="1"/>
    <xf numFmtId="0" fontId="41" fillId="0" borderId="0" xfId="0" applyFont="1" applyAlignment="1">
      <alignment horizontal="center"/>
    </xf>
    <xf numFmtId="1" fontId="0" fillId="0" borderId="0" xfId="0" applyNumberFormat="1"/>
    <xf numFmtId="0" fontId="2" fillId="24" borderId="10" xfId="0" applyFont="1" applyFill="1" applyBorder="1" applyAlignment="1" applyProtection="1">
      <alignment horizontal="center" vertical="center" wrapText="1"/>
      <protection locked="0"/>
    </xf>
    <xf numFmtId="0" fontId="30" fillId="24" borderId="10" xfId="0" applyFont="1" applyFill="1" applyBorder="1" applyAlignment="1" applyProtection="1">
      <alignment horizontal="center" vertical="center" wrapText="1"/>
      <protection locked="0"/>
    </xf>
    <xf numFmtId="0" fontId="41" fillId="0" borderId="0" xfId="0" quotePrefix="1" applyNumberFormat="1" applyFont="1"/>
    <xf numFmtId="2" fontId="28" fillId="0" borderId="0" xfId="0" quotePrefix="1" applyNumberFormat="1" applyFont="1" applyAlignment="1">
      <alignment horizontal="center"/>
    </xf>
    <xf numFmtId="4" fontId="28" fillId="0" borderId="0" xfId="0" applyNumberFormat="1" applyFont="1" applyAlignment="1">
      <alignment horizontal="center"/>
    </xf>
    <xf numFmtId="2" fontId="28" fillId="0" borderId="0" xfId="0" applyNumberFormat="1" applyFont="1" applyAlignment="1">
      <alignment horizontal="center"/>
    </xf>
    <xf numFmtId="0" fontId="28" fillId="0" borderId="0" xfId="41" applyFont="1" applyAlignment="1">
      <alignment horizontal="center"/>
    </xf>
    <xf numFmtId="0" fontId="26" fillId="0" borderId="0" xfId="41" applyFont="1" applyAlignment="1">
      <alignment horizontal="center"/>
    </xf>
    <xf numFmtId="2" fontId="28" fillId="0" borderId="0" xfId="41" applyNumberFormat="1" applyFont="1" applyAlignment="1">
      <alignment horizontal="center"/>
    </xf>
    <xf numFmtId="4" fontId="29" fillId="0" borderId="0" xfId="0" applyNumberFormat="1" applyFont="1" applyAlignment="1">
      <alignment horizontal="center"/>
    </xf>
    <xf numFmtId="0" fontId="28" fillId="0" borderId="0" xfId="0" quotePrefix="1" applyNumberFormat="1" applyFont="1" applyAlignment="1">
      <alignment horizontal="center"/>
    </xf>
    <xf numFmtId="0" fontId="28" fillId="0" borderId="0" xfId="0" quotePrefix="1" applyFont="1" applyAlignment="1">
      <alignment horizontal="center"/>
    </xf>
    <xf numFmtId="0" fontId="29" fillId="0" borderId="0" xfId="41" applyFont="1" applyAlignment="1">
      <alignment horizontal="center"/>
    </xf>
    <xf numFmtId="2" fontId="29" fillId="0" borderId="0" xfId="41"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4" fontId="26" fillId="0" borderId="0" xfId="0" applyNumberFormat="1" applyFont="1" applyAlignment="1">
      <alignment horizontal="center"/>
    </xf>
    <xf numFmtId="2" fontId="26" fillId="0" borderId="0" xfId="0" applyNumberFormat="1" applyFont="1" applyAlignment="1">
      <alignment horizontal="center"/>
    </xf>
    <xf numFmtId="0" fontId="12" fillId="0" borderId="0" xfId="0" applyFont="1"/>
    <xf numFmtId="2" fontId="28" fillId="0" borderId="0" xfId="0" applyNumberFormat="1" applyFont="1" applyAlignment="1">
      <alignment horizontal="left"/>
    </xf>
    <xf numFmtId="0" fontId="28" fillId="0" borderId="0" xfId="41" applyFont="1" applyAlignment="1">
      <alignment horizontal="left"/>
    </xf>
    <xf numFmtId="4" fontId="28" fillId="0" borderId="0" xfId="0" applyNumberFormat="1" applyFont="1" applyAlignment="1">
      <alignment horizontal="left"/>
    </xf>
    <xf numFmtId="2" fontId="26" fillId="0" borderId="0" xfId="41" applyNumberFormat="1" applyFont="1"/>
    <xf numFmtId="0" fontId="51" fillId="0" borderId="0" xfId="34" applyFont="1" applyFill="1" applyBorder="1" applyAlignment="1" applyProtection="1">
      <alignment vertical="center"/>
      <protection locked="0"/>
    </xf>
    <xf numFmtId="0" fontId="51" fillId="0" borderId="0" xfId="34" applyFont="1" applyFill="1" applyBorder="1" applyAlignment="1" applyProtection="1">
      <protection locked="0"/>
    </xf>
    <xf numFmtId="0" fontId="4" fillId="0" borderId="0" xfId="41" applyFont="1"/>
    <xf numFmtId="0" fontId="12" fillId="0" borderId="0" xfId="0" applyFont="1" applyAlignment="1">
      <alignment horizontal="center"/>
    </xf>
    <xf numFmtId="2" fontId="4" fillId="0" borderId="0" xfId="0" applyNumberFormat="1" applyFont="1" applyAlignment="1">
      <alignment horizontal="left"/>
    </xf>
    <xf numFmtId="2" fontId="12" fillId="0" borderId="0" xfId="0" applyNumberFormat="1" applyFont="1" applyAlignment="1">
      <alignment horizontal="center"/>
    </xf>
    <xf numFmtId="164" fontId="12" fillId="0" borderId="0" xfId="0" applyNumberFormat="1" applyFont="1" applyAlignment="1">
      <alignment horizontal="center"/>
    </xf>
    <xf numFmtId="0" fontId="0" fillId="0" borderId="0" xfId="0" applyFill="1" applyAlignment="1" applyProtection="1">
      <alignment vertical="center"/>
      <protection locked="0"/>
    </xf>
    <xf numFmtId="0" fontId="0" fillId="0" borderId="0" xfId="0" applyProtection="1">
      <protection locked="0"/>
    </xf>
    <xf numFmtId="0" fontId="62" fillId="0" borderId="0" xfId="0" applyFont="1" applyProtection="1">
      <protection locked="0"/>
    </xf>
    <xf numFmtId="0" fontId="12" fillId="0" borderId="0" xfId="0" applyFont="1" applyBorder="1" applyProtection="1">
      <protection locked="0"/>
    </xf>
    <xf numFmtId="0" fontId="62" fillId="0" borderId="0" xfId="0" applyFont="1" applyAlignment="1" applyProtection="1">
      <alignment horizontal="center"/>
      <protection locked="0"/>
    </xf>
    <xf numFmtId="0" fontId="12" fillId="0" borderId="0" xfId="0" applyFont="1" applyProtection="1">
      <protection locked="0"/>
    </xf>
    <xf numFmtId="164" fontId="12" fillId="0" borderId="0" xfId="0" applyNumberFormat="1" applyFont="1" applyProtection="1">
      <protection locked="0"/>
    </xf>
    <xf numFmtId="0" fontId="44" fillId="0" borderId="0" xfId="0" applyFont="1" applyProtection="1">
      <protection locked="0"/>
    </xf>
    <xf numFmtId="0" fontId="0" fillId="0" borderId="0" xfId="0" applyBorder="1" applyProtection="1">
      <protection locked="0"/>
    </xf>
    <xf numFmtId="0" fontId="62" fillId="0" borderId="0" xfId="0" applyFont="1" applyBorder="1" applyProtection="1">
      <protection locked="0"/>
    </xf>
    <xf numFmtId="0" fontId="5" fillId="0" borderId="0" xfId="0" applyFont="1" applyBorder="1" applyAlignment="1" applyProtection="1">
      <alignment vertical="center" wrapText="1"/>
      <protection locked="0"/>
    </xf>
    <xf numFmtId="2" fontId="0" fillId="0" borderId="0" xfId="0" applyNumberFormat="1" applyBorder="1" applyProtection="1">
      <protection locked="0"/>
    </xf>
    <xf numFmtId="0" fontId="32" fillId="0" borderId="0" xfId="0" applyFont="1" applyBorder="1" applyAlignment="1" applyProtection="1">
      <protection locked="0"/>
    </xf>
    <xf numFmtId="0" fontId="39" fillId="0" borderId="0" xfId="0" applyFont="1" applyBorder="1" applyProtection="1">
      <protection locked="0"/>
    </xf>
    <xf numFmtId="0" fontId="12" fillId="0" borderId="0" xfId="0" applyFont="1" applyBorder="1" applyAlignment="1" applyProtection="1">
      <alignment horizontal="center" wrapText="1"/>
      <protection locked="0"/>
    </xf>
    <xf numFmtId="0" fontId="45" fillId="0" borderId="0" xfId="0" applyFont="1" applyBorder="1" applyAlignment="1" applyProtection="1">
      <alignment vertical="center"/>
      <protection locked="0"/>
    </xf>
    <xf numFmtId="0" fontId="0" fillId="0" borderId="0" xfId="0" applyBorder="1" applyAlignment="1" applyProtection="1">
      <alignment wrapText="1"/>
      <protection locked="0"/>
    </xf>
    <xf numFmtId="0" fontId="3" fillId="0" borderId="0" xfId="0" applyFont="1" applyBorder="1" applyProtection="1">
      <protection locked="0"/>
    </xf>
    <xf numFmtId="0" fontId="53" fillId="0" borderId="0" xfId="0" applyFont="1" applyBorder="1" applyProtection="1">
      <protection locked="0"/>
    </xf>
    <xf numFmtId="0" fontId="0" fillId="0" borderId="0" xfId="0" applyBorder="1" applyAlignment="1" applyProtection="1">
      <protection locked="0"/>
    </xf>
    <xf numFmtId="0" fontId="38" fillId="0" borderId="0" xfId="0" applyFont="1" applyBorder="1" applyProtection="1">
      <protection locked="0"/>
    </xf>
    <xf numFmtId="0" fontId="18" fillId="0" borderId="0" xfId="34" applyBorder="1" applyAlignment="1" applyProtection="1">
      <protection locked="0"/>
    </xf>
    <xf numFmtId="0" fontId="43" fillId="0" borderId="0" xfId="0" applyFont="1" applyAlignment="1" applyProtection="1">
      <protection locked="0"/>
    </xf>
    <xf numFmtId="0" fontId="2" fillId="0" borderId="0" xfId="0" applyFont="1" applyAlignment="1" applyProtection="1">
      <alignment horizontal="center"/>
      <protection locked="0"/>
    </xf>
    <xf numFmtId="0" fontId="52" fillId="0" borderId="0" xfId="0" applyFont="1" applyBorder="1" applyAlignment="1" applyProtection="1">
      <alignment vertical="center"/>
      <protection locked="0"/>
    </xf>
    <xf numFmtId="164" fontId="31" fillId="0" borderId="0" xfId="0" applyNumberFormat="1" applyFont="1" applyFill="1" applyBorder="1" applyAlignment="1" applyProtection="1">
      <alignment vertical="center"/>
      <protection locked="0"/>
    </xf>
    <xf numFmtId="0" fontId="6" fillId="0" borderId="0" xfId="0" applyFont="1" applyProtection="1">
      <protection locked="0"/>
    </xf>
    <xf numFmtId="164" fontId="62" fillId="0" borderId="0" xfId="0" applyNumberFormat="1" applyFont="1" applyProtection="1">
      <protection locked="0"/>
    </xf>
    <xf numFmtId="0" fontId="0" fillId="0" borderId="0" xfId="0" applyAlignment="1" applyProtection="1">
      <alignment horizontal="right"/>
      <protection locked="0"/>
    </xf>
    <xf numFmtId="0" fontId="63" fillId="0" borderId="0" xfId="0" applyFont="1" applyProtection="1">
      <protection locked="0"/>
    </xf>
    <xf numFmtId="164" fontId="63" fillId="0" borderId="0" xfId="0" applyNumberFormat="1" applyFont="1" applyProtection="1">
      <protection locked="0"/>
    </xf>
    <xf numFmtId="2" fontId="62" fillId="0" borderId="0" xfId="0" applyNumberFormat="1" applyFont="1" applyFill="1" applyBorder="1" applyAlignment="1" applyProtection="1">
      <alignment vertical="center"/>
    </xf>
    <xf numFmtId="0" fontId="34" fillId="0" borderId="0" xfId="0" applyFont="1" applyFill="1" applyBorder="1" applyAlignment="1" applyProtection="1">
      <alignment vertical="center" wrapText="1"/>
      <protection locked="0"/>
    </xf>
    <xf numFmtId="0" fontId="1" fillId="0" borderId="0" xfId="0" applyFont="1" applyProtection="1">
      <protection locked="0"/>
    </xf>
    <xf numFmtId="0" fontId="2" fillId="0" borderId="0" xfId="0" applyFont="1" applyAlignment="1" applyProtection="1">
      <alignment vertical="center" wrapText="1"/>
      <protection locked="0"/>
    </xf>
    <xf numFmtId="0" fontId="0" fillId="0" borderId="0" xfId="0" applyFill="1" applyAlignment="1" applyProtection="1">
      <alignment horizontal="center" vertical="center" wrapText="1"/>
      <protection locked="0"/>
    </xf>
    <xf numFmtId="2" fontId="31" fillId="0" borderId="0" xfId="0" applyNumberFormat="1" applyFont="1" applyFill="1" applyBorder="1" applyAlignment="1" applyProtection="1">
      <alignment horizontal="center" vertical="center"/>
      <protection locked="0"/>
    </xf>
    <xf numFmtId="2" fontId="2" fillId="25" borderId="11" xfId="0" applyNumberFormat="1" applyFont="1" applyFill="1" applyBorder="1" applyAlignment="1" applyProtection="1">
      <alignment horizontal="center" vertical="center" wrapText="1"/>
    </xf>
    <xf numFmtId="1" fontId="2" fillId="25" borderId="12" xfId="0" applyNumberFormat="1" applyFont="1" applyFill="1" applyBorder="1" applyAlignment="1" applyProtection="1">
      <alignment horizontal="center" vertical="center" wrapText="1"/>
    </xf>
    <xf numFmtId="2" fontId="2" fillId="25" borderId="10" xfId="0" applyNumberFormat="1" applyFont="1" applyFill="1" applyBorder="1" applyAlignment="1" applyProtection="1">
      <alignment horizontal="center" vertical="center" wrapText="1"/>
    </xf>
    <xf numFmtId="0" fontId="64" fillId="0" borderId="0" xfId="0" applyFont="1" applyAlignment="1" applyProtection="1">
      <alignment horizontal="center" vertical="center" wrapText="1"/>
    </xf>
    <xf numFmtId="0" fontId="3" fillId="0" borderId="0" xfId="0" applyFont="1" applyProtection="1"/>
    <xf numFmtId="0" fontId="0" fillId="0" borderId="0" xfId="0" applyProtection="1"/>
    <xf numFmtId="0" fontId="43" fillId="0" borderId="0" xfId="0" applyFont="1" applyProtection="1"/>
    <xf numFmtId="0" fontId="50" fillId="0" borderId="0" xfId="0" applyFont="1" applyProtection="1"/>
    <xf numFmtId="0" fontId="35" fillId="0" borderId="0" xfId="0" applyFont="1" applyProtection="1"/>
    <xf numFmtId="0" fontId="48" fillId="0" borderId="0" xfId="0" applyFont="1" applyProtection="1"/>
    <xf numFmtId="0" fontId="49" fillId="0" borderId="0" xfId="0" applyFont="1" applyProtection="1"/>
    <xf numFmtId="2" fontId="62" fillId="0" borderId="0" xfId="0" applyNumberFormat="1" applyFont="1" applyFill="1" applyBorder="1" applyAlignment="1" applyProtection="1">
      <alignment horizontal="center"/>
    </xf>
    <xf numFmtId="0" fontId="33" fillId="0" borderId="0" xfId="0" applyFont="1" applyAlignment="1" applyProtection="1">
      <alignment horizontal="left"/>
    </xf>
    <xf numFmtId="0" fontId="12" fillId="0" borderId="0" xfId="0" applyFont="1" applyProtection="1"/>
    <xf numFmtId="0" fontId="0" fillId="0" borderId="0" xfId="0" applyBorder="1" applyProtection="1"/>
    <xf numFmtId="0" fontId="42" fillId="0" borderId="0" xfId="0" applyFont="1" applyBorder="1" applyProtection="1"/>
    <xf numFmtId="0" fontId="0" fillId="0" borderId="0" xfId="0" applyBorder="1" applyAlignment="1" applyProtection="1"/>
    <xf numFmtId="0" fontId="42" fillId="0" borderId="0" xfId="0" applyFont="1" applyAlignment="1" applyProtection="1"/>
    <xf numFmtId="0" fontId="36" fillId="0" borderId="0" xfId="0" applyFont="1" applyProtection="1"/>
    <xf numFmtId="0" fontId="0" fillId="0" borderId="0" xfId="0" applyAlignment="1" applyProtection="1"/>
    <xf numFmtId="0" fontId="43" fillId="0" borderId="0" xfId="0" applyFont="1" applyAlignment="1" applyProtection="1"/>
    <xf numFmtId="0" fontId="2" fillId="0" borderId="13" xfId="0" applyFont="1" applyBorder="1" applyAlignment="1" applyProtection="1">
      <alignment horizontal="center" vertical="center"/>
    </xf>
    <xf numFmtId="0" fontId="2" fillId="0" borderId="0" xfId="0" applyFont="1" applyAlignment="1" applyProtection="1">
      <alignment horizontal="center" vertical="center"/>
    </xf>
    <xf numFmtId="0" fontId="2" fillId="0" borderId="0" xfId="0" applyFont="1" applyBorder="1" applyAlignment="1" applyProtection="1">
      <alignment horizontal="center" vertical="center"/>
    </xf>
    <xf numFmtId="0" fontId="2" fillId="0" borderId="0" xfId="0" applyFont="1" applyAlignment="1" applyProtection="1">
      <alignment horizontal="center"/>
    </xf>
    <xf numFmtId="0" fontId="2" fillId="0" borderId="0" xfId="34" applyFont="1" applyFill="1" applyBorder="1" applyAlignment="1" applyProtection="1">
      <alignment horizontal="center"/>
    </xf>
    <xf numFmtId="0" fontId="52" fillId="0" borderId="0" xfId="0" applyFont="1" applyBorder="1" applyAlignment="1" applyProtection="1">
      <alignment vertical="center"/>
    </xf>
    <xf numFmtId="0" fontId="42" fillId="0" borderId="0" xfId="0" applyFont="1" applyBorder="1" applyAlignment="1" applyProtection="1"/>
    <xf numFmtId="0" fontId="3" fillId="0" borderId="0" xfId="0" applyFont="1" applyBorder="1" applyAlignment="1" applyProtection="1">
      <alignment horizontal="center" vertical="center"/>
    </xf>
    <xf numFmtId="2" fontId="0" fillId="0" borderId="0" xfId="0" applyNumberFormat="1" applyBorder="1" applyProtection="1"/>
    <xf numFmtId="0" fontId="3" fillId="0" borderId="0" xfId="0" applyFont="1" applyAlignment="1" applyProtection="1">
      <alignment horizontal="left"/>
    </xf>
    <xf numFmtId="0" fontId="32" fillId="0" borderId="0" xfId="0" applyFont="1" applyProtection="1"/>
    <xf numFmtId="0" fontId="6" fillId="0" borderId="0" xfId="0" applyFont="1" applyProtection="1"/>
    <xf numFmtId="0" fontId="12" fillId="0" borderId="0" xfId="0" applyFont="1" applyAlignment="1" applyProtection="1">
      <alignment horizontal="left" vertical="center" wrapText="1"/>
    </xf>
    <xf numFmtId="0" fontId="6" fillId="0" borderId="0" xfId="0" applyFont="1" applyAlignment="1" applyProtection="1">
      <alignment horizontal="left" vertical="center" wrapText="1"/>
    </xf>
    <xf numFmtId="0" fontId="0" fillId="0" borderId="0" xfId="0" applyAlignment="1" applyProtection="1">
      <alignment horizontal="left" vertical="center" wrapText="1"/>
    </xf>
    <xf numFmtId="0" fontId="2" fillId="0" borderId="0" xfId="0" applyFont="1" applyAlignment="1" applyProtection="1">
      <alignment horizontal="left" vertical="center" wrapText="1"/>
    </xf>
    <xf numFmtId="0" fontId="45" fillId="0" borderId="0" xfId="0" applyFont="1" applyAlignment="1" applyProtection="1">
      <alignment horizontal="left" vertical="center"/>
    </xf>
    <xf numFmtId="0" fontId="46" fillId="0" borderId="0" xfId="0" applyFont="1" applyAlignment="1" applyProtection="1">
      <alignment horizontal="left" vertical="top"/>
    </xf>
    <xf numFmtId="0" fontId="5" fillId="0" borderId="0" xfId="0" applyFont="1" applyAlignment="1" applyProtection="1">
      <alignment horizontal="left" vertical="center" wrapText="1"/>
    </xf>
    <xf numFmtId="0" fontId="0" fillId="0" borderId="0" xfId="0" applyAlignment="1" applyProtection="1">
      <alignment horizontal="center" vertical="center" wrapText="1"/>
    </xf>
    <xf numFmtId="0" fontId="0" fillId="0" borderId="0" xfId="0" applyAlignment="1" applyProtection="1">
      <alignment horizontal="center" vertical="center"/>
    </xf>
    <xf numFmtId="0" fontId="0" fillId="24" borderId="10" xfId="0" applyFill="1" applyBorder="1" applyAlignment="1" applyProtection="1">
      <alignment horizontal="center"/>
    </xf>
    <xf numFmtId="0" fontId="0" fillId="25" borderId="10" xfId="0" applyFill="1" applyBorder="1" applyAlignment="1" applyProtection="1">
      <alignment horizontal="center"/>
    </xf>
    <xf numFmtId="0" fontId="0" fillId="26" borderId="10" xfId="0" applyFill="1" applyBorder="1" applyAlignment="1" applyProtection="1">
      <alignment horizontal="center"/>
    </xf>
    <xf numFmtId="0" fontId="1" fillId="0" borderId="0" xfId="0" applyFont="1" applyAlignment="1" applyProtection="1">
      <alignment horizontal="center" vertical="center" wrapText="1"/>
    </xf>
    <xf numFmtId="0" fontId="1" fillId="0" borderId="0" xfId="0" applyFont="1" applyProtection="1"/>
    <xf numFmtId="0" fontId="2" fillId="0" borderId="0" xfId="0" applyFont="1" applyAlignment="1" applyProtection="1">
      <alignment vertical="center" wrapText="1"/>
    </xf>
    <xf numFmtId="0" fontId="0" fillId="0" borderId="0" xfId="0" applyFill="1" applyBorder="1" applyProtection="1">
      <protection locked="0"/>
    </xf>
    <xf numFmtId="0" fontId="6" fillId="30" borderId="10" xfId="0" applyFont="1" applyFill="1" applyBorder="1" applyAlignment="1" applyProtection="1">
      <alignment horizontal="center" vertical="top"/>
    </xf>
    <xf numFmtId="0" fontId="47" fillId="0" borderId="0" xfId="0" applyFont="1" applyProtection="1"/>
    <xf numFmtId="0" fontId="48" fillId="0" borderId="0" xfId="0" applyFont="1"/>
    <xf numFmtId="0" fontId="32" fillId="0" borderId="0" xfId="0" applyFont="1"/>
    <xf numFmtId="164" fontId="33" fillId="31" borderId="10" xfId="0" applyNumberFormat="1" applyFont="1" applyFill="1" applyBorder="1" applyAlignment="1" applyProtection="1">
      <alignment horizontal="center" vertical="center"/>
    </xf>
    <xf numFmtId="0" fontId="39" fillId="0" borderId="0" xfId="0" applyFont="1" applyFill="1"/>
    <xf numFmtId="0" fontId="0" fillId="0" borderId="0" xfId="0" applyFill="1"/>
    <xf numFmtId="0" fontId="48" fillId="0" borderId="0" xfId="0" applyFont="1" applyFill="1"/>
    <xf numFmtId="0" fontId="49" fillId="0" borderId="0" xfId="0" applyFont="1" applyFill="1"/>
    <xf numFmtId="0" fontId="48" fillId="0" borderId="0" xfId="0" applyFont="1" applyFill="1" applyAlignment="1">
      <alignment vertical="top"/>
    </xf>
    <xf numFmtId="0" fontId="0" fillId="0" borderId="0" xfId="0" applyFill="1" applyAlignment="1">
      <alignment vertical="top"/>
    </xf>
    <xf numFmtId="0" fontId="6" fillId="0" borderId="0" xfId="0" applyFont="1" applyFill="1" applyBorder="1" applyAlignment="1" applyProtection="1"/>
    <xf numFmtId="0" fontId="3" fillId="0" borderId="0" xfId="34" applyFont="1" applyFill="1" applyBorder="1" applyAlignment="1" applyProtection="1">
      <alignment vertical="center" wrapText="1"/>
    </xf>
    <xf numFmtId="0" fontId="18" fillId="0" borderId="0" xfId="34" applyFill="1" applyBorder="1" applyAlignment="1" applyProtection="1">
      <alignment vertical="center"/>
      <protection locked="0"/>
    </xf>
    <xf numFmtId="0" fontId="12" fillId="0" borderId="0" xfId="38"/>
    <xf numFmtId="2" fontId="12" fillId="0" borderId="0" xfId="38" applyNumberFormat="1"/>
    <xf numFmtId="0" fontId="3" fillId="0" borderId="0" xfId="38" applyFont="1" applyAlignment="1">
      <alignment horizontal="left"/>
    </xf>
    <xf numFmtId="0" fontId="6" fillId="0" borderId="0" xfId="38" applyFont="1" applyAlignment="1">
      <alignment horizontal="right" indent="1"/>
    </xf>
    <xf numFmtId="0" fontId="32" fillId="0" borderId="0" xfId="38" applyFont="1"/>
    <xf numFmtId="0" fontId="12" fillId="0" borderId="0" xfId="38" applyFont="1"/>
    <xf numFmtId="0" fontId="12" fillId="0" borderId="0" xfId="38" applyFont="1" applyAlignment="1">
      <alignment horizontal="right"/>
    </xf>
    <xf numFmtId="2" fontId="12" fillId="0" borderId="0" xfId="38" applyNumberFormat="1" applyFont="1" applyAlignment="1">
      <alignment horizontal="right"/>
    </xf>
    <xf numFmtId="0" fontId="12" fillId="0" borderId="0" xfId="38" applyAlignment="1"/>
    <xf numFmtId="2" fontId="12" fillId="0" borderId="0" xfId="38" applyNumberFormat="1" applyAlignment="1">
      <alignment horizontal="right"/>
    </xf>
    <xf numFmtId="0" fontId="12" fillId="0" borderId="0" xfId="38" applyAlignment="1">
      <alignment vertical="center" wrapText="1"/>
    </xf>
    <xf numFmtId="0" fontId="57" fillId="0" borderId="10" xfId="38" applyFont="1" applyBorder="1" applyAlignment="1">
      <alignment horizontal="center" vertical="center" wrapText="1"/>
    </xf>
    <xf numFmtId="0" fontId="32" fillId="0" borderId="0" xfId="38" applyFont="1" applyAlignment="1">
      <alignment horizontal="center" vertical="center" wrapText="1"/>
    </xf>
    <xf numFmtId="0" fontId="12" fillId="0" borderId="0" xfId="38" applyFont="1" applyAlignment="1">
      <alignment horizontal="center"/>
    </xf>
    <xf numFmtId="0" fontId="58" fillId="0" borderId="0" xfId="38" applyFont="1" applyAlignment="1">
      <alignment horizontal="left" vertical="center" wrapText="1"/>
    </xf>
    <xf numFmtId="0" fontId="12" fillId="0" borderId="0" xfId="38" applyFont="1" applyAlignment="1">
      <alignment horizontal="left"/>
    </xf>
    <xf numFmtId="0" fontId="37" fillId="0" borderId="0" xfId="38" applyFont="1"/>
    <xf numFmtId="0" fontId="59" fillId="0" borderId="0" xfId="38" applyFont="1" applyAlignment="1">
      <alignment horizontal="left" vertical="center" wrapText="1"/>
    </xf>
    <xf numFmtId="0" fontId="3" fillId="0" borderId="0" xfId="34" applyFont="1" applyFill="1" applyBorder="1" applyAlignment="1" applyProtection="1">
      <alignment horizontal="center" vertical="center" wrapText="1"/>
      <protection locked="0"/>
    </xf>
    <xf numFmtId="164" fontId="3" fillId="25" borderId="10" xfId="0" applyNumberFormat="1" applyFont="1" applyFill="1" applyBorder="1" applyAlignment="1" applyProtection="1">
      <alignment horizontal="center" vertical="center"/>
    </xf>
    <xf numFmtId="166" fontId="3" fillId="24" borderId="10" xfId="38" applyNumberFormat="1" applyFont="1" applyFill="1" applyBorder="1" applyAlignment="1" applyProtection="1">
      <alignment horizontal="center" vertical="center" wrapText="1"/>
      <protection locked="0"/>
    </xf>
    <xf numFmtId="2" fontId="34" fillId="27" borderId="10" xfId="38" applyNumberFormat="1" applyFont="1" applyFill="1" applyBorder="1" applyAlignment="1" applyProtection="1">
      <alignment horizontal="center" vertical="center" wrapText="1"/>
      <protection hidden="1"/>
    </xf>
    <xf numFmtId="0" fontId="33" fillId="32" borderId="0" xfId="0" applyFont="1" applyFill="1" applyAlignment="1">
      <alignment horizontal="left"/>
    </xf>
    <xf numFmtId="0" fontId="0" fillId="32" borderId="0" xfId="0" applyFill="1"/>
    <xf numFmtId="0" fontId="32" fillId="32" borderId="0" xfId="0" applyFont="1" applyFill="1"/>
    <xf numFmtId="0" fontId="2" fillId="32" borderId="0" xfId="0" applyFont="1" applyFill="1" applyBorder="1" applyAlignment="1"/>
    <xf numFmtId="0" fontId="2" fillId="32" borderId="13" xfId="0" applyFont="1" applyFill="1" applyBorder="1" applyAlignment="1">
      <alignment horizontal="center" vertical="center" wrapText="1"/>
    </xf>
    <xf numFmtId="0" fontId="2" fillId="32" borderId="0" xfId="0" applyFont="1" applyFill="1" applyBorder="1" applyAlignment="1">
      <alignment horizontal="center"/>
    </xf>
    <xf numFmtId="164" fontId="1" fillId="32" borderId="13" xfId="0" applyNumberFormat="1" applyFont="1" applyFill="1" applyBorder="1" applyAlignment="1">
      <alignment horizontal="right"/>
    </xf>
    <xf numFmtId="164" fontId="0" fillId="32" borderId="13" xfId="0" applyNumberFormat="1" applyFill="1" applyBorder="1"/>
    <xf numFmtId="2" fontId="0" fillId="32" borderId="13" xfId="0" applyNumberFormat="1" applyFill="1" applyBorder="1" applyAlignment="1">
      <alignment horizontal="center"/>
    </xf>
    <xf numFmtId="2" fontId="0" fillId="32" borderId="0" xfId="0" applyNumberFormat="1" applyFill="1" applyBorder="1"/>
    <xf numFmtId="164" fontId="0" fillId="32" borderId="13" xfId="0" applyNumberFormat="1" applyFill="1" applyBorder="1" applyAlignment="1">
      <alignment horizontal="right"/>
    </xf>
    <xf numFmtId="1" fontId="60" fillId="32" borderId="0" xfId="0" applyNumberFormat="1" applyFont="1" applyFill="1" applyAlignment="1">
      <alignment horizontal="center" vertical="center"/>
    </xf>
    <xf numFmtId="0" fontId="0" fillId="32" borderId="13" xfId="0" applyFill="1" applyBorder="1"/>
    <xf numFmtId="0" fontId="1" fillId="32" borderId="13" xfId="0" applyFont="1" applyFill="1" applyBorder="1"/>
    <xf numFmtId="0" fontId="1" fillId="32" borderId="0" xfId="0" applyFont="1" applyFill="1" applyProtection="1">
      <protection hidden="1"/>
    </xf>
    <xf numFmtId="0" fontId="1" fillId="32" borderId="0" xfId="0" applyFont="1" applyFill="1"/>
    <xf numFmtId="0" fontId="62" fillId="32" borderId="0" xfId="0" applyFont="1" applyFill="1" applyProtection="1">
      <protection hidden="1"/>
    </xf>
    <xf numFmtId="164" fontId="0" fillId="32" borderId="0" xfId="0" applyNumberFormat="1" applyFill="1"/>
    <xf numFmtId="1" fontId="62" fillId="32" borderId="0" xfId="0" applyNumberFormat="1" applyFont="1" applyFill="1" applyProtection="1">
      <protection hidden="1"/>
    </xf>
    <xf numFmtId="164" fontId="62" fillId="32" borderId="0" xfId="0" applyNumberFormat="1" applyFont="1" applyFill="1" applyAlignment="1" applyProtection="1">
      <alignment horizontal="left"/>
      <protection hidden="1"/>
    </xf>
    <xf numFmtId="164" fontId="62" fillId="32" borderId="0" xfId="0" applyNumberFormat="1" applyFont="1" applyFill="1" applyProtection="1">
      <protection hidden="1"/>
    </xf>
    <xf numFmtId="11" fontId="1" fillId="32" borderId="0" xfId="0" applyNumberFormat="1" applyFont="1" applyFill="1"/>
    <xf numFmtId="11" fontId="0" fillId="32" borderId="0" xfId="0" applyNumberFormat="1" applyFill="1"/>
    <xf numFmtId="0" fontId="2" fillId="32" borderId="14" xfId="0" applyFont="1" applyFill="1" applyBorder="1" applyAlignment="1">
      <alignment horizontal="center"/>
    </xf>
    <xf numFmtId="0" fontId="2" fillId="32" borderId="14" xfId="0" applyFont="1" applyFill="1" applyBorder="1" applyAlignment="1">
      <alignment horizontal="center" wrapText="1"/>
    </xf>
    <xf numFmtId="0" fontId="1" fillId="32" borderId="13" xfId="0" applyFont="1" applyFill="1" applyBorder="1" applyAlignment="1"/>
    <xf numFmtId="0" fontId="3" fillId="0" borderId="0" xfId="0" applyFont="1"/>
    <xf numFmtId="0" fontId="1" fillId="0" borderId="0" xfId="0" applyFont="1"/>
    <xf numFmtId="0" fontId="18" fillId="0" borderId="0" xfId="34" applyAlignment="1" applyProtection="1">
      <protection locked="0"/>
    </xf>
    <xf numFmtId="0" fontId="0" fillId="0" borderId="0" xfId="0" applyFill="1" applyProtection="1"/>
    <xf numFmtId="0" fontId="1" fillId="0" borderId="0" xfId="0" applyFont="1" applyAlignment="1" applyProtection="1">
      <alignment horizontal="center"/>
      <protection locked="0"/>
    </xf>
    <xf numFmtId="0" fontId="65" fillId="0" borderId="0" xfId="40" applyFont="1"/>
    <xf numFmtId="0" fontId="61" fillId="0" borderId="0" xfId="40"/>
    <xf numFmtId="0" fontId="66" fillId="0" borderId="0" xfId="40" applyFont="1" applyAlignment="1">
      <alignment horizontal="right" vertical="center" wrapText="1"/>
    </xf>
    <xf numFmtId="0" fontId="66" fillId="0" borderId="0" xfId="40" applyFont="1" applyAlignment="1">
      <alignment horizontal="left" vertical="center" wrapText="1"/>
    </xf>
    <xf numFmtId="167" fontId="61" fillId="0" borderId="0" xfId="40" applyNumberFormat="1"/>
    <xf numFmtId="0" fontId="61" fillId="0" borderId="15" xfId="40" applyBorder="1"/>
    <xf numFmtId="0" fontId="66" fillId="0" borderId="15" xfId="40" applyFont="1" applyBorder="1" applyAlignment="1">
      <alignment horizontal="right" vertical="center" wrapText="1"/>
    </xf>
    <xf numFmtId="2" fontId="33" fillId="31" borderId="10" xfId="0" applyNumberFormat="1" applyFont="1" applyFill="1" applyBorder="1" applyAlignment="1" applyProtection="1">
      <alignment horizontal="center" vertical="center"/>
    </xf>
    <xf numFmtId="166" fontId="3" fillId="33" borderId="10" xfId="38" applyNumberFormat="1" applyFont="1" applyFill="1" applyBorder="1" applyAlignment="1">
      <alignment horizontal="center" vertical="center" wrapText="1"/>
    </xf>
    <xf numFmtId="0" fontId="67" fillId="0" borderId="0" xfId="0" applyFont="1" applyAlignment="1" applyProtection="1">
      <alignment horizontal="center" vertical="center"/>
    </xf>
    <xf numFmtId="0" fontId="12" fillId="34" borderId="0" xfId="0" applyFont="1" applyFill="1" applyAlignment="1">
      <alignment horizontal="center" vertical="center" wrapText="1"/>
    </xf>
    <xf numFmtId="0" fontId="12" fillId="34" borderId="0" xfId="0" applyFont="1" applyFill="1" applyAlignment="1">
      <alignment horizontal="center" vertical="top" wrapText="1"/>
    </xf>
    <xf numFmtId="0" fontId="1" fillId="34" borderId="0" xfId="0" applyFont="1" applyFill="1" applyAlignment="1">
      <alignment horizontal="center" vertical="center" wrapText="1"/>
    </xf>
    <xf numFmtId="0" fontId="0" fillId="35" borderId="0" xfId="0" applyFill="1"/>
    <xf numFmtId="0" fontId="2" fillId="35" borderId="0" xfId="0" applyFont="1" applyFill="1"/>
    <xf numFmtId="0" fontId="0" fillId="34" borderId="0" xfId="0" applyFill="1" applyAlignment="1">
      <alignment horizontal="left" vertical="top" wrapText="1"/>
    </xf>
    <xf numFmtId="0" fontId="0" fillId="0" borderId="0" xfId="0" applyAlignment="1">
      <alignment horizontal="left" vertical="top" wrapText="1"/>
    </xf>
    <xf numFmtId="0" fontId="68" fillId="0" borderId="0" xfId="40" applyFont="1" applyAlignment="1">
      <alignment horizontal="center" vertical="center"/>
    </xf>
    <xf numFmtId="0" fontId="5" fillId="0" borderId="13" xfId="0" applyFont="1" applyFill="1" applyBorder="1" applyAlignment="1">
      <alignment horizontal="center" vertical="center" wrapText="1"/>
    </xf>
    <xf numFmtId="167" fontId="0" fillId="0" borderId="0" xfId="0" applyNumberFormat="1"/>
    <xf numFmtId="169" fontId="0" fillId="0" borderId="0" xfId="0" applyNumberFormat="1"/>
    <xf numFmtId="2" fontId="0" fillId="0" borderId="0" xfId="0" applyNumberFormat="1"/>
    <xf numFmtId="0" fontId="0" fillId="0" borderId="0" xfId="0" applyFill="1" applyBorder="1"/>
    <xf numFmtId="0" fontId="69" fillId="0" borderId="0" xfId="0" applyFont="1"/>
    <xf numFmtId="0" fontId="32" fillId="0" borderId="16" xfId="0" applyFont="1" applyBorder="1" applyAlignment="1">
      <alignment horizontal="center" vertical="center" wrapText="1"/>
    </xf>
    <xf numFmtId="0" fontId="69" fillId="0" borderId="13" xfId="0" applyFont="1" applyBorder="1" applyAlignment="1">
      <alignment horizontal="center" vertical="center" wrapText="1"/>
    </xf>
    <xf numFmtId="0" fontId="32" fillId="36" borderId="13" xfId="0" quotePrefix="1" applyFont="1" applyFill="1" applyBorder="1" applyAlignment="1">
      <alignment horizontal="center" vertical="center" wrapText="1"/>
    </xf>
    <xf numFmtId="0" fontId="32" fillId="36" borderId="17" xfId="0" applyFont="1" applyFill="1" applyBorder="1" applyAlignment="1">
      <alignment horizontal="left" vertical="center" wrapText="1"/>
    </xf>
    <xf numFmtId="2" fontId="32" fillId="36" borderId="17" xfId="0" applyNumberFormat="1" applyFont="1" applyFill="1" applyBorder="1" applyAlignment="1">
      <alignment horizontal="center" vertical="center" wrapText="1"/>
    </xf>
    <xf numFmtId="0" fontId="32" fillId="0" borderId="18" xfId="0" applyFont="1" applyBorder="1" applyAlignment="1">
      <alignment horizontal="center" vertical="center" wrapText="1"/>
    </xf>
    <xf numFmtId="0" fontId="32" fillId="0" borderId="18" xfId="0" applyFont="1" applyBorder="1" applyAlignment="1">
      <alignment horizontal="left" vertical="center" wrapText="1"/>
    </xf>
    <xf numFmtId="2" fontId="32" fillId="0" borderId="18" xfId="0" applyNumberFormat="1" applyFont="1" applyBorder="1" applyAlignment="1">
      <alignment horizontal="center" vertical="center"/>
    </xf>
    <xf numFmtId="0" fontId="32" fillId="0" borderId="0" xfId="0" applyFont="1" applyBorder="1" applyAlignment="1">
      <alignment horizontal="center" vertical="center" wrapText="1"/>
    </xf>
    <xf numFmtId="0" fontId="32" fillId="0" borderId="0" xfId="0" applyFont="1" applyBorder="1" applyAlignment="1">
      <alignment horizontal="left" vertical="center" wrapText="1"/>
    </xf>
    <xf numFmtId="2" fontId="32" fillId="0" borderId="0" xfId="0" applyNumberFormat="1" applyFont="1" applyBorder="1" applyAlignment="1">
      <alignment horizontal="center" vertical="center"/>
    </xf>
    <xf numFmtId="0" fontId="1" fillId="0" borderId="0" xfId="0" applyFont="1" applyBorder="1" applyProtection="1">
      <protection locked="0"/>
    </xf>
    <xf numFmtId="0" fontId="1" fillId="0" borderId="0" xfId="0" applyFont="1" applyAlignment="1">
      <alignment horizontal="right"/>
    </xf>
    <xf numFmtId="0" fontId="1" fillId="0" borderId="0" xfId="0" applyFont="1" applyAlignment="1">
      <alignment horizontal="center" vertical="top"/>
    </xf>
    <xf numFmtId="2" fontId="1" fillId="0" borderId="0" xfId="0" applyNumberFormat="1" applyFont="1" applyAlignment="1">
      <alignment horizontal="center" vertical="top"/>
    </xf>
    <xf numFmtId="2" fontId="1" fillId="0" borderId="0" xfId="0" applyNumberFormat="1"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xf>
    <xf numFmtId="168" fontId="1" fillId="0" borderId="0" xfId="0" applyNumberFormat="1" applyFont="1" applyAlignment="1">
      <alignment horizontal="center" vertical="top"/>
    </xf>
    <xf numFmtId="2" fontId="69" fillId="0" borderId="13" xfId="0" applyNumberFormat="1" applyFont="1" applyBorder="1" applyAlignment="1">
      <alignment horizontal="center" vertical="center" wrapText="1"/>
    </xf>
    <xf numFmtId="0" fontId="1" fillId="0" borderId="0" xfId="0" applyFont="1" applyAlignment="1">
      <alignment vertical="center" wrapText="1"/>
    </xf>
    <xf numFmtId="2" fontId="1" fillId="0" borderId="0" xfId="0" applyNumberFormat="1" applyFont="1" applyAlignment="1">
      <alignment horizontal="center"/>
    </xf>
    <xf numFmtId="0" fontId="1" fillId="0" borderId="0" xfId="0" applyFont="1" applyAlignment="1">
      <alignment horizontal="left" vertical="center" wrapText="1"/>
    </xf>
    <xf numFmtId="2" fontId="34" fillId="37" borderId="10" xfId="38" applyNumberFormat="1" applyFont="1" applyFill="1" applyBorder="1" applyAlignment="1" applyProtection="1">
      <alignment horizontal="center" vertical="center" wrapText="1"/>
      <protection hidden="1"/>
    </xf>
    <xf numFmtId="0" fontId="0" fillId="0" borderId="0" xfId="0" applyAlignment="1" applyProtection="1">
      <alignment horizontal="center" vertical="center"/>
      <protection locked="0"/>
    </xf>
    <xf numFmtId="2" fontId="34" fillId="0" borderId="0" xfId="38" applyNumberFormat="1" applyFont="1" applyFill="1" applyBorder="1" applyAlignment="1" applyProtection="1">
      <alignment horizontal="center" vertical="center" wrapText="1"/>
      <protection hidden="1"/>
    </xf>
    <xf numFmtId="0" fontId="32" fillId="36" borderId="17" xfId="0" applyFont="1" applyFill="1" applyBorder="1" applyAlignment="1">
      <alignment horizontal="center" vertical="center" wrapText="1"/>
    </xf>
    <xf numFmtId="0" fontId="70" fillId="0" borderId="0" xfId="38" applyFont="1"/>
    <xf numFmtId="0" fontId="70" fillId="0" borderId="0" xfId="0" applyFont="1" applyAlignment="1">
      <alignment horizontal="center" vertical="center"/>
    </xf>
    <xf numFmtId="0" fontId="70" fillId="0" borderId="0" xfId="0" applyFont="1" applyAlignment="1"/>
    <xf numFmtId="2" fontId="70" fillId="0" borderId="0" xfId="0" applyNumberFormat="1" applyFont="1" applyAlignment="1">
      <alignment horizontal="center" vertical="center"/>
    </xf>
    <xf numFmtId="168" fontId="70" fillId="0" borderId="0" xfId="0" applyNumberFormat="1" applyFont="1" applyAlignment="1">
      <alignment horizontal="center" vertical="center"/>
    </xf>
    <xf numFmtId="0" fontId="70" fillId="0" borderId="0" xfId="38" applyFont="1" applyAlignment="1">
      <alignment horizontal="center" vertical="center"/>
    </xf>
    <xf numFmtId="0" fontId="41" fillId="0" borderId="0" xfId="0" applyFont="1" applyAlignment="1">
      <alignment horizontal="right"/>
    </xf>
    <xf numFmtId="0" fontId="70" fillId="0" borderId="0" xfId="0" applyFont="1" applyProtection="1">
      <protection locked="0"/>
    </xf>
    <xf numFmtId="0" fontId="69" fillId="38" borderId="12" xfId="0" applyFont="1" applyFill="1" applyBorder="1" applyAlignment="1">
      <alignment horizontal="center" vertical="center" wrapText="1"/>
    </xf>
    <xf numFmtId="0" fontId="69" fillId="38" borderId="19" xfId="0" applyFont="1" applyFill="1" applyBorder="1" applyAlignment="1">
      <alignment horizontal="center" vertical="center" wrapText="1"/>
    </xf>
    <xf numFmtId="0" fontId="69" fillId="0" borderId="12" xfId="0" applyFont="1" applyBorder="1" applyAlignment="1">
      <alignment vertical="center" wrapText="1"/>
    </xf>
    <xf numFmtId="0" fontId="69" fillId="0" borderId="19" xfId="0" applyFont="1" applyBorder="1" applyAlignment="1">
      <alignment vertical="center" wrapText="1"/>
    </xf>
    <xf numFmtId="0" fontId="70" fillId="0" borderId="0" xfId="0" applyFont="1" applyAlignment="1" applyProtection="1">
      <alignment horizontal="center"/>
      <protection locked="0"/>
    </xf>
    <xf numFmtId="2" fontId="70" fillId="0" borderId="0" xfId="0" applyNumberFormat="1" applyFont="1" applyProtection="1">
      <protection locked="0"/>
    </xf>
    <xf numFmtId="0" fontId="70" fillId="0" borderId="0" xfId="0" applyFont="1"/>
    <xf numFmtId="0" fontId="70" fillId="0" borderId="0" xfId="0" applyFont="1" applyAlignment="1">
      <alignment horizontal="right"/>
    </xf>
    <xf numFmtId="0" fontId="70" fillId="0" borderId="0" xfId="0" applyFont="1" applyAlignment="1">
      <alignment vertical="center"/>
    </xf>
    <xf numFmtId="0" fontId="69" fillId="42" borderId="19" xfId="0" applyFont="1" applyFill="1" applyBorder="1" applyAlignment="1">
      <alignment vertical="center" wrapText="1"/>
    </xf>
    <xf numFmtId="0" fontId="69" fillId="43" borderId="19" xfId="0" applyFont="1" applyFill="1" applyBorder="1" applyAlignment="1">
      <alignment vertical="center" wrapText="1"/>
    </xf>
    <xf numFmtId="0" fontId="69" fillId="44" borderId="12" xfId="0" applyFont="1" applyFill="1" applyBorder="1" applyAlignment="1">
      <alignment vertical="center" wrapText="1"/>
    </xf>
    <xf numFmtId="0" fontId="69" fillId="44" borderId="19" xfId="0" quotePrefix="1" applyNumberFormat="1" applyFont="1" applyFill="1" applyBorder="1" applyAlignment="1">
      <alignment vertical="center" wrapText="1"/>
    </xf>
    <xf numFmtId="0" fontId="69" fillId="44" borderId="19" xfId="0" applyFont="1" applyFill="1" applyBorder="1" applyAlignment="1">
      <alignment vertical="center" wrapText="1"/>
    </xf>
    <xf numFmtId="0" fontId="69" fillId="45" borderId="12" xfId="0" applyFont="1" applyFill="1" applyBorder="1" applyAlignment="1">
      <alignment vertical="center" wrapText="1"/>
    </xf>
    <xf numFmtId="0" fontId="69" fillId="45" borderId="19" xfId="0" applyFont="1" applyFill="1" applyBorder="1" applyAlignment="1">
      <alignment vertical="center" wrapText="1"/>
    </xf>
    <xf numFmtId="0" fontId="69" fillId="35" borderId="12" xfId="0" applyFont="1" applyFill="1" applyBorder="1" applyAlignment="1">
      <alignment vertical="center" wrapText="1"/>
    </xf>
    <xf numFmtId="0" fontId="69" fillId="35" borderId="19" xfId="0" applyFont="1" applyFill="1" applyBorder="1" applyAlignment="1">
      <alignment vertical="center" wrapText="1"/>
    </xf>
    <xf numFmtId="0" fontId="61" fillId="35" borderId="0" xfId="40" applyFill="1"/>
    <xf numFmtId="0" fontId="61" fillId="35" borderId="15" xfId="40" applyFill="1" applyBorder="1"/>
    <xf numFmtId="0" fontId="61" fillId="45" borderId="0" xfId="40" applyFill="1"/>
    <xf numFmtId="0" fontId="61" fillId="45" borderId="15" xfId="40" applyFill="1" applyBorder="1"/>
    <xf numFmtId="0" fontId="61" fillId="44" borderId="0" xfId="40" applyFill="1"/>
    <xf numFmtId="0" fontId="61" fillId="44" borderId="15" xfId="40" applyFill="1" applyBorder="1"/>
    <xf numFmtId="0" fontId="61" fillId="43" borderId="0" xfId="40" applyFill="1"/>
    <xf numFmtId="0" fontId="71" fillId="45" borderId="0" xfId="40" applyFont="1" applyFill="1"/>
    <xf numFmtId="2" fontId="28" fillId="45" borderId="0" xfId="0" applyNumberFormat="1" applyFont="1" applyFill="1" applyAlignment="1">
      <alignment horizontal="center"/>
    </xf>
    <xf numFmtId="4" fontId="28" fillId="45" borderId="0" xfId="0" applyNumberFormat="1" applyFont="1" applyFill="1" applyAlignment="1">
      <alignment horizontal="center"/>
    </xf>
    <xf numFmtId="0" fontId="71" fillId="44" borderId="0" xfId="40" applyFont="1" applyFill="1"/>
    <xf numFmtId="2" fontId="28" fillId="44" borderId="0" xfId="0" applyNumberFormat="1" applyFont="1" applyFill="1" applyAlignment="1">
      <alignment horizontal="center"/>
    </xf>
    <xf numFmtId="4" fontId="28" fillId="44" borderId="0" xfId="0" applyNumberFormat="1" applyFont="1" applyFill="1" applyAlignment="1">
      <alignment horizontal="center"/>
    </xf>
    <xf numFmtId="0" fontId="71" fillId="35" borderId="0" xfId="40" applyFont="1" applyFill="1"/>
    <xf numFmtId="2" fontId="28" fillId="35" borderId="0" xfId="0" applyNumberFormat="1" applyFont="1" applyFill="1" applyAlignment="1">
      <alignment horizontal="center"/>
    </xf>
    <xf numFmtId="4" fontId="28" fillId="35" borderId="0" xfId="0" applyNumberFormat="1" applyFont="1" applyFill="1" applyAlignment="1">
      <alignment horizontal="center"/>
    </xf>
    <xf numFmtId="4" fontId="29" fillId="35" borderId="0" xfId="0" applyNumberFormat="1" applyFont="1" applyFill="1" applyAlignment="1">
      <alignment horizontal="center"/>
    </xf>
    <xf numFmtId="4" fontId="29" fillId="45" borderId="0" xfId="0" applyNumberFormat="1" applyFont="1" applyFill="1" applyAlignment="1">
      <alignment horizontal="center"/>
    </xf>
    <xf numFmtId="4" fontId="29" fillId="44" borderId="0" xfId="0" applyNumberFormat="1" applyFont="1" applyFill="1" applyAlignment="1">
      <alignment horizontal="center"/>
    </xf>
    <xf numFmtId="0" fontId="71" fillId="43" borderId="0" xfId="40" applyFont="1" applyFill="1"/>
    <xf numFmtId="2" fontId="28" fillId="43" borderId="0" xfId="0" applyNumberFormat="1" applyFont="1" applyFill="1" applyAlignment="1">
      <alignment horizontal="center"/>
    </xf>
    <xf numFmtId="4" fontId="29" fillId="43" borderId="0" xfId="0" applyNumberFormat="1" applyFont="1" applyFill="1" applyAlignment="1">
      <alignment horizontal="center"/>
    </xf>
    <xf numFmtId="4" fontId="29" fillId="35" borderId="0" xfId="0" applyNumberFormat="1" applyFont="1" applyFill="1"/>
    <xf numFmtId="0" fontId="62" fillId="0" borderId="0" xfId="0" quotePrefix="1" applyFont="1" applyAlignment="1" applyProtection="1">
      <alignment horizontal="center"/>
      <protection locked="0"/>
    </xf>
    <xf numFmtId="0" fontId="62" fillId="0" borderId="0" xfId="0" quotePrefix="1" applyFont="1" applyProtection="1">
      <protection locked="0"/>
    </xf>
    <xf numFmtId="0" fontId="62" fillId="0" borderId="0" xfId="0" applyFont="1" applyAlignment="1" applyProtection="1">
      <alignment horizontal="left"/>
      <protection locked="0"/>
    </xf>
    <xf numFmtId="2" fontId="62" fillId="0" borderId="0" xfId="0" applyNumberFormat="1" applyFont="1" applyProtection="1">
      <protection locked="0"/>
    </xf>
    <xf numFmtId="0" fontId="62" fillId="0" borderId="0" xfId="0" applyFont="1" applyAlignment="1">
      <alignment horizontal="left"/>
    </xf>
    <xf numFmtId="0" fontId="62" fillId="0" borderId="0" xfId="0" applyFont="1" applyAlignment="1">
      <alignment horizontal="right"/>
    </xf>
    <xf numFmtId="0" fontId="62" fillId="0" borderId="0" xfId="0" applyFont="1"/>
    <xf numFmtId="0" fontId="62" fillId="0" borderId="0" xfId="0" applyFont="1" applyAlignment="1">
      <alignment horizontal="center" vertical="center"/>
    </xf>
    <xf numFmtId="0" fontId="62" fillId="0" borderId="0" xfId="0" applyFont="1" applyAlignment="1">
      <alignment vertical="center"/>
    </xf>
    <xf numFmtId="0" fontId="62" fillId="0" borderId="0" xfId="0" applyFont="1" applyAlignment="1">
      <alignment vertical="center" wrapText="1"/>
    </xf>
    <xf numFmtId="0" fontId="62" fillId="0" borderId="0" xfId="0" applyFont="1" applyAlignment="1">
      <alignment horizontal="left" vertical="center" wrapText="1"/>
    </xf>
    <xf numFmtId="2" fontId="62" fillId="0" borderId="0" xfId="0" applyNumberFormat="1" applyFont="1" applyAlignment="1">
      <alignment horizontal="center" vertical="top"/>
    </xf>
    <xf numFmtId="2" fontId="62" fillId="0" borderId="0" xfId="0" applyNumberFormat="1" applyFont="1" applyAlignment="1">
      <alignment horizontal="center" vertical="center"/>
    </xf>
    <xf numFmtId="168" fontId="62" fillId="0" borderId="0" xfId="0" applyNumberFormat="1" applyFont="1" applyAlignment="1">
      <alignment horizontal="center" vertical="center"/>
    </xf>
    <xf numFmtId="0" fontId="62" fillId="0" borderId="0" xfId="0" applyFont="1" applyAlignment="1"/>
    <xf numFmtId="0" fontId="5" fillId="30" borderId="20" xfId="34" applyFont="1" applyFill="1" applyBorder="1" applyAlignment="1" applyProtection="1">
      <alignment horizontal="center" vertical="center" wrapText="1"/>
      <protection locked="0"/>
    </xf>
    <xf numFmtId="0" fontId="5" fillId="30" borderId="21" xfId="34" applyFont="1" applyFill="1" applyBorder="1" applyAlignment="1" applyProtection="1">
      <alignment horizontal="center" vertical="center" wrapText="1"/>
      <protection locked="0"/>
    </xf>
    <xf numFmtId="0" fontId="5" fillId="30" borderId="22" xfId="34" applyFont="1" applyFill="1" applyBorder="1" applyAlignment="1" applyProtection="1">
      <alignment horizontal="center" vertical="center" wrapText="1"/>
      <protection locked="0"/>
    </xf>
    <xf numFmtId="0" fontId="5" fillId="30" borderId="23" xfId="34" applyFont="1" applyFill="1" applyBorder="1" applyAlignment="1" applyProtection="1">
      <alignment horizontal="center" vertical="center" wrapText="1"/>
      <protection locked="0"/>
    </xf>
    <xf numFmtId="0" fontId="5" fillId="30" borderId="24" xfId="34" applyFont="1" applyFill="1" applyBorder="1" applyAlignment="1" applyProtection="1">
      <alignment horizontal="center" vertical="center" wrapText="1"/>
      <protection locked="0"/>
    </xf>
    <xf numFmtId="0" fontId="5" fillId="30" borderId="19" xfId="34" applyFont="1" applyFill="1" applyBorder="1" applyAlignment="1" applyProtection="1">
      <alignment horizontal="center" vertical="center" wrapText="1"/>
      <protection locked="0"/>
    </xf>
    <xf numFmtId="0" fontId="72" fillId="30" borderId="20" xfId="34" applyFont="1" applyFill="1" applyBorder="1" applyAlignment="1" applyProtection="1">
      <alignment horizontal="center" vertical="center" wrapText="1"/>
      <protection locked="0"/>
    </xf>
    <xf numFmtId="0" fontId="72" fillId="30" borderId="21" xfId="34" applyFont="1" applyFill="1" applyBorder="1" applyAlignment="1" applyProtection="1">
      <alignment horizontal="center" vertical="center" wrapText="1"/>
      <protection locked="0"/>
    </xf>
    <xf numFmtId="0" fontId="72" fillId="30" borderId="22" xfId="34" applyFont="1" applyFill="1" applyBorder="1" applyAlignment="1" applyProtection="1">
      <alignment horizontal="center" vertical="center" wrapText="1"/>
      <protection locked="0"/>
    </xf>
    <xf numFmtId="0" fontId="72" fillId="30" borderId="23" xfId="34" applyFont="1" applyFill="1" applyBorder="1" applyAlignment="1" applyProtection="1">
      <alignment horizontal="center" vertical="center" wrapText="1"/>
      <protection locked="0"/>
    </xf>
    <xf numFmtId="0" fontId="72" fillId="30" borderId="24" xfId="34" applyFont="1" applyFill="1" applyBorder="1" applyAlignment="1" applyProtection="1">
      <alignment horizontal="center" vertical="center" wrapText="1"/>
      <protection locked="0"/>
    </xf>
    <xf numFmtId="0" fontId="72" fillId="30" borderId="19" xfId="34" applyFont="1" applyFill="1" applyBorder="1" applyAlignment="1" applyProtection="1">
      <alignment horizontal="center" vertical="center" wrapText="1"/>
      <protection locked="0"/>
    </xf>
    <xf numFmtId="0" fontId="73" fillId="38" borderId="25" xfId="0" applyFont="1" applyFill="1" applyBorder="1" applyAlignment="1">
      <alignment horizontal="center" vertical="center" wrapText="1"/>
    </xf>
    <xf numFmtId="0" fontId="73" fillId="38" borderId="26" xfId="0" applyFont="1" applyFill="1" applyBorder="1" applyAlignment="1">
      <alignment horizontal="center" vertical="center" wrapText="1"/>
    </xf>
    <xf numFmtId="0" fontId="73" fillId="38" borderId="25" xfId="0" applyFont="1" applyFill="1" applyBorder="1" applyAlignment="1">
      <alignment vertical="center" wrapText="1"/>
    </xf>
    <xf numFmtId="0" fontId="73" fillId="38" borderId="26" xfId="0" applyFont="1" applyFill="1" applyBorder="1" applyAlignment="1">
      <alignment vertical="center" wrapText="1"/>
    </xf>
    <xf numFmtId="0" fontId="41" fillId="0" borderId="0" xfId="0" applyFont="1" applyAlignment="1">
      <alignment horizontal="left"/>
    </xf>
    <xf numFmtId="0" fontId="46" fillId="0" borderId="0" xfId="0" applyFont="1" applyAlignment="1" applyProtection="1">
      <alignment horizontal="left" vertical="center" wrapText="1"/>
    </xf>
    <xf numFmtId="0" fontId="6" fillId="0" borderId="0" xfId="0" applyFont="1" applyAlignment="1" applyProtection="1">
      <alignment wrapText="1"/>
    </xf>
    <xf numFmtId="0" fontId="6" fillId="0" borderId="0" xfId="0" applyFont="1" applyAlignment="1" applyProtection="1"/>
    <xf numFmtId="2" fontId="72" fillId="30" borderId="11" xfId="34" applyNumberFormat="1" applyFont="1" applyFill="1" applyBorder="1" applyAlignment="1" applyProtection="1">
      <alignment horizontal="center" vertical="center" wrapText="1"/>
      <protection locked="0"/>
    </xf>
    <xf numFmtId="2" fontId="72" fillId="30" borderId="27" xfId="34" applyNumberFormat="1" applyFont="1" applyFill="1" applyBorder="1" applyAlignment="1" applyProtection="1">
      <alignment horizontal="center" vertical="center" wrapText="1"/>
      <protection locked="0"/>
    </xf>
    <xf numFmtId="2" fontId="72" fillId="30" borderId="12" xfId="34" applyNumberFormat="1" applyFont="1" applyFill="1" applyBorder="1" applyAlignment="1" applyProtection="1">
      <alignment horizontal="center" vertical="center" wrapText="1"/>
      <protection locked="0"/>
    </xf>
    <xf numFmtId="0" fontId="72" fillId="30" borderId="11" xfId="34" applyFont="1" applyFill="1" applyBorder="1" applyAlignment="1" applyProtection="1">
      <alignment horizontal="center" vertical="center" wrapText="1"/>
      <protection locked="0"/>
    </xf>
    <xf numFmtId="0" fontId="72" fillId="30" borderId="27" xfId="34" applyFont="1" applyFill="1" applyBorder="1" applyAlignment="1" applyProtection="1">
      <alignment horizontal="center" vertical="center" wrapText="1"/>
      <protection locked="0"/>
    </xf>
    <xf numFmtId="0" fontId="72" fillId="30" borderId="12" xfId="34" applyFont="1" applyFill="1" applyBorder="1" applyAlignment="1" applyProtection="1">
      <alignment horizontal="center" vertical="center" wrapText="1"/>
      <protection locked="0"/>
    </xf>
    <xf numFmtId="0" fontId="42" fillId="0" borderId="0" xfId="0" applyFont="1" applyAlignment="1" applyProtection="1">
      <alignment horizontal="left" vertical="center" wrapText="1"/>
    </xf>
    <xf numFmtId="0" fontId="42" fillId="0" borderId="0" xfId="0" applyFont="1" applyAlignment="1" applyProtection="1">
      <alignment horizontal="left" vertical="center"/>
    </xf>
    <xf numFmtId="0" fontId="34" fillId="29" borderId="25" xfId="0" applyFont="1" applyFill="1" applyBorder="1" applyAlignment="1" applyProtection="1">
      <alignment horizontal="center" vertical="center" wrapText="1"/>
    </xf>
    <xf numFmtId="0" fontId="34" fillId="29" borderId="28" xfId="0" applyFont="1" applyFill="1" applyBorder="1" applyAlignment="1" applyProtection="1">
      <alignment horizontal="center" vertical="center" wrapText="1"/>
    </xf>
    <xf numFmtId="0" fontId="52" fillId="0" borderId="0" xfId="0" applyFont="1" applyAlignment="1" applyProtection="1">
      <alignment horizontal="left" vertical="center" wrapText="1"/>
    </xf>
    <xf numFmtId="0" fontId="46" fillId="0" borderId="0" xfId="0" applyFont="1" applyAlignment="1" applyProtection="1"/>
    <xf numFmtId="0" fontId="3" fillId="39" borderId="20" xfId="34" applyFont="1" applyFill="1" applyBorder="1" applyAlignment="1" applyProtection="1">
      <alignment horizontal="center" vertical="center"/>
      <protection locked="0"/>
    </xf>
    <xf numFmtId="0" fontId="3" fillId="39" borderId="29" xfId="34" applyFont="1" applyFill="1" applyBorder="1" applyAlignment="1" applyProtection="1">
      <alignment horizontal="center" vertical="center"/>
      <protection locked="0"/>
    </xf>
    <xf numFmtId="0" fontId="3" fillId="39" borderId="21" xfId="34" applyFont="1" applyFill="1" applyBorder="1" applyAlignment="1" applyProtection="1">
      <alignment horizontal="center" vertical="center"/>
      <protection locked="0"/>
    </xf>
    <xf numFmtId="0" fontId="3" fillId="39" borderId="24" xfId="34" applyFont="1" applyFill="1" applyBorder="1" applyAlignment="1" applyProtection="1">
      <alignment horizontal="center" vertical="center"/>
      <protection locked="0"/>
    </xf>
    <xf numFmtId="0" fontId="3" fillId="39" borderId="30" xfId="34" applyFont="1" applyFill="1" applyBorder="1" applyAlignment="1" applyProtection="1">
      <alignment horizontal="center" vertical="center"/>
      <protection locked="0"/>
    </xf>
    <xf numFmtId="0" fontId="3" fillId="39" borderId="19" xfId="34" applyFont="1" applyFill="1" applyBorder="1" applyAlignment="1" applyProtection="1">
      <alignment horizontal="center" vertical="center"/>
      <protection locked="0"/>
    </xf>
    <xf numFmtId="0" fontId="46" fillId="0" borderId="0" xfId="0" applyFont="1" applyBorder="1" applyAlignment="1" applyProtection="1">
      <alignment horizontal="left" vertical="center" wrapText="1"/>
      <protection locked="0"/>
    </xf>
    <xf numFmtId="0" fontId="5" fillId="0" borderId="0" xfId="0" applyFont="1" applyBorder="1" applyAlignment="1" applyProtection="1">
      <alignment horizontal="left" vertical="center"/>
    </xf>
    <xf numFmtId="2" fontId="34" fillId="37" borderId="25" xfId="0" applyNumberFormat="1" applyFont="1" applyFill="1" applyBorder="1" applyAlignment="1" applyProtection="1">
      <alignment horizontal="center" vertical="center"/>
    </xf>
    <xf numFmtId="2" fontId="34" fillId="37" borderId="28" xfId="0" applyNumberFormat="1" applyFont="1" applyFill="1" applyBorder="1" applyAlignment="1" applyProtection="1">
      <alignment horizontal="center" vertical="center"/>
    </xf>
    <xf numFmtId="2" fontId="34" fillId="37" borderId="26" xfId="0" applyNumberFormat="1" applyFont="1" applyFill="1" applyBorder="1" applyAlignment="1" applyProtection="1">
      <alignment horizontal="center" vertical="center"/>
    </xf>
    <xf numFmtId="0" fontId="45" fillId="0" borderId="0" xfId="0" applyFont="1" applyBorder="1" applyAlignment="1" applyProtection="1">
      <alignment horizontal="left" vertical="center" wrapText="1"/>
    </xf>
    <xf numFmtId="0" fontId="45" fillId="0" borderId="0" xfId="0" applyFont="1" applyBorder="1" applyAlignment="1" applyProtection="1">
      <alignment horizontal="left" vertical="center"/>
    </xf>
    <xf numFmtId="0" fontId="5" fillId="0" borderId="0" xfId="0" applyFont="1" applyBorder="1" applyAlignment="1" applyProtection="1">
      <alignment horizontal="left" vertical="center" wrapText="1"/>
    </xf>
    <xf numFmtId="2" fontId="3" fillId="28" borderId="25" xfId="0" applyNumberFormat="1" applyFont="1" applyFill="1" applyBorder="1" applyAlignment="1" applyProtection="1">
      <alignment horizontal="center" vertical="center"/>
    </xf>
    <xf numFmtId="2" fontId="3" fillId="28" borderId="28" xfId="0" applyNumberFormat="1" applyFont="1" applyFill="1" applyBorder="1" applyAlignment="1" applyProtection="1">
      <alignment horizontal="center" vertical="center"/>
    </xf>
    <xf numFmtId="2" fontId="3" fillId="28" borderId="26" xfId="0" applyNumberFormat="1" applyFont="1" applyFill="1" applyBorder="1" applyAlignment="1" applyProtection="1">
      <alignment horizontal="center" vertical="center"/>
    </xf>
    <xf numFmtId="166" fontId="3" fillId="40" borderId="20" xfId="0" applyNumberFormat="1" applyFont="1" applyFill="1" applyBorder="1" applyAlignment="1" applyProtection="1">
      <alignment horizontal="center" vertical="center" wrapText="1"/>
      <protection locked="0"/>
    </xf>
    <xf numFmtId="166" fontId="3" fillId="40" borderId="29" xfId="0" applyNumberFormat="1" applyFont="1" applyFill="1" applyBorder="1" applyAlignment="1" applyProtection="1">
      <alignment horizontal="center" vertical="center" wrapText="1"/>
      <protection locked="0"/>
    </xf>
    <xf numFmtId="166" fontId="3" fillId="40" borderId="21" xfId="0" applyNumberFormat="1" applyFont="1" applyFill="1" applyBorder="1" applyAlignment="1" applyProtection="1">
      <alignment horizontal="center" vertical="center" wrapText="1"/>
      <protection locked="0"/>
    </xf>
    <xf numFmtId="166" fontId="3" fillId="40" borderId="24" xfId="0" applyNumberFormat="1" applyFont="1" applyFill="1" applyBorder="1" applyAlignment="1" applyProtection="1">
      <alignment horizontal="center" vertical="center" wrapText="1"/>
      <protection locked="0"/>
    </xf>
    <xf numFmtId="166" fontId="3" fillId="40" borderId="30" xfId="0" applyNumberFormat="1" applyFont="1" applyFill="1" applyBorder="1" applyAlignment="1" applyProtection="1">
      <alignment horizontal="center" vertical="center" wrapText="1"/>
      <protection locked="0"/>
    </xf>
    <xf numFmtId="166" fontId="3" fillId="40" borderId="19" xfId="0" applyNumberFormat="1" applyFont="1" applyFill="1" applyBorder="1" applyAlignment="1" applyProtection="1">
      <alignment horizontal="center" vertical="center" wrapText="1"/>
      <protection locked="0"/>
    </xf>
    <xf numFmtId="2" fontId="74" fillId="37" borderId="0" xfId="0" applyNumberFormat="1" applyFont="1" applyFill="1" applyAlignment="1" applyProtection="1">
      <alignment horizontal="center" vertical="center" wrapText="1"/>
    </xf>
    <xf numFmtId="166" fontId="3" fillId="28" borderId="25" xfId="0" applyNumberFormat="1" applyFont="1" applyFill="1" applyBorder="1" applyAlignment="1" applyProtection="1">
      <alignment horizontal="center" vertical="center" wrapText="1"/>
    </xf>
    <xf numFmtId="166" fontId="3" fillId="28" borderId="28" xfId="0" applyNumberFormat="1" applyFont="1" applyFill="1" applyBorder="1" applyAlignment="1" applyProtection="1">
      <alignment horizontal="center" vertical="center" wrapText="1"/>
    </xf>
    <xf numFmtId="166" fontId="3" fillId="28" borderId="26" xfId="0" applyNumberFormat="1" applyFont="1" applyFill="1" applyBorder="1" applyAlignment="1" applyProtection="1">
      <alignment horizontal="center" vertical="center" wrapText="1"/>
    </xf>
    <xf numFmtId="0" fontId="6" fillId="39" borderId="25" xfId="0" applyFont="1" applyFill="1" applyBorder="1" applyAlignment="1" applyProtection="1">
      <alignment horizontal="center"/>
    </xf>
    <xf numFmtId="0" fontId="6" fillId="39" borderId="26" xfId="0" applyFont="1" applyFill="1" applyBorder="1" applyAlignment="1" applyProtection="1">
      <alignment horizontal="center"/>
    </xf>
    <xf numFmtId="0" fontId="3" fillId="40" borderId="25" xfId="34" applyFont="1" applyFill="1" applyBorder="1" applyAlignment="1" applyProtection="1">
      <alignment horizontal="center" vertical="center" wrapText="1"/>
      <protection locked="0"/>
    </xf>
    <xf numFmtId="0" fontId="3" fillId="40" borderId="28" xfId="34" applyFont="1" applyFill="1" applyBorder="1" applyAlignment="1" applyProtection="1">
      <alignment horizontal="center" vertical="center" wrapText="1"/>
      <protection locked="0"/>
    </xf>
    <xf numFmtId="0" fontId="3" fillId="40" borderId="26" xfId="34" applyFont="1" applyFill="1" applyBorder="1" applyAlignment="1" applyProtection="1">
      <alignment horizontal="center" vertical="center" wrapText="1"/>
      <protection locked="0"/>
    </xf>
    <xf numFmtId="0" fontId="18" fillId="39" borderId="20" xfId="34" applyFill="1" applyBorder="1" applyAlignment="1" applyProtection="1">
      <alignment horizontal="center" vertical="center"/>
      <protection locked="0"/>
    </xf>
    <xf numFmtId="0" fontId="18" fillId="39" borderId="21" xfId="34" applyFill="1" applyBorder="1" applyAlignment="1" applyProtection="1">
      <alignment horizontal="center" vertical="center"/>
      <protection locked="0"/>
    </xf>
    <xf numFmtId="0" fontId="18" fillId="39" borderId="24" xfId="34" applyFill="1" applyBorder="1" applyAlignment="1" applyProtection="1">
      <alignment horizontal="center" vertical="center"/>
      <protection locked="0"/>
    </xf>
    <xf numFmtId="0" fontId="18" fillId="39" borderId="19" xfId="34" applyFill="1" applyBorder="1" applyAlignment="1" applyProtection="1">
      <alignment horizontal="center" vertical="center"/>
      <protection locked="0"/>
    </xf>
    <xf numFmtId="0" fontId="18" fillId="39" borderId="20" xfId="34" applyFill="1" applyBorder="1" applyAlignment="1" applyProtection="1">
      <alignment horizontal="center" vertical="center" wrapText="1"/>
      <protection locked="0"/>
    </xf>
    <xf numFmtId="0" fontId="18" fillId="39" borderId="21" xfId="34" applyFill="1" applyBorder="1" applyAlignment="1" applyProtection="1">
      <alignment horizontal="center" vertical="center" wrapText="1"/>
      <protection locked="0"/>
    </xf>
    <xf numFmtId="0" fontId="18" fillId="39" borderId="22" xfId="34" applyFill="1" applyBorder="1" applyAlignment="1" applyProtection="1">
      <alignment horizontal="center" vertical="center" wrapText="1"/>
      <protection locked="0"/>
    </xf>
    <xf numFmtId="0" fontId="18" fillId="39" borderId="23" xfId="34" applyFill="1" applyBorder="1" applyAlignment="1" applyProtection="1">
      <alignment horizontal="center" vertical="center" wrapText="1"/>
      <protection locked="0"/>
    </xf>
    <xf numFmtId="0" fontId="18" fillId="39" borderId="24" xfId="34" applyFill="1" applyBorder="1" applyAlignment="1" applyProtection="1">
      <alignment horizontal="center" vertical="center" wrapText="1"/>
      <protection locked="0"/>
    </xf>
    <xf numFmtId="0" fontId="18" fillId="39" borderId="19" xfId="34" applyFill="1" applyBorder="1" applyAlignment="1" applyProtection="1">
      <alignment horizontal="center" vertical="center" wrapText="1"/>
      <protection locked="0"/>
    </xf>
    <xf numFmtId="0" fontId="0" fillId="40" borderId="25" xfId="0" applyFill="1" applyBorder="1" applyAlignment="1" applyProtection="1">
      <alignment horizontal="center"/>
    </xf>
    <xf numFmtId="0" fontId="0" fillId="40" borderId="26" xfId="0" applyFill="1" applyBorder="1" applyAlignment="1" applyProtection="1">
      <alignment horizontal="center"/>
    </xf>
    <xf numFmtId="0" fontId="0" fillId="33" borderId="25" xfId="0" applyFill="1" applyBorder="1" applyAlignment="1" applyProtection="1">
      <alignment horizontal="center"/>
    </xf>
    <xf numFmtId="0" fontId="0" fillId="33" borderId="26" xfId="0" applyFill="1" applyBorder="1" applyAlignment="1" applyProtection="1">
      <alignment horizontal="center"/>
    </xf>
    <xf numFmtId="0" fontId="37" fillId="37" borderId="25" xfId="0" applyFont="1" applyFill="1" applyBorder="1" applyAlignment="1" applyProtection="1">
      <alignment horizontal="center"/>
    </xf>
    <xf numFmtId="0" fontId="37" fillId="37" borderId="26" xfId="0" applyFont="1" applyFill="1" applyBorder="1" applyAlignment="1" applyProtection="1">
      <alignment horizontal="center"/>
    </xf>
    <xf numFmtId="0" fontId="0" fillId="31" borderId="25" xfId="0" applyFill="1" applyBorder="1" applyAlignment="1" applyProtection="1">
      <alignment horizontal="center"/>
    </xf>
    <xf numFmtId="0" fontId="0" fillId="31" borderId="26" xfId="0" applyFill="1" applyBorder="1" applyAlignment="1" applyProtection="1">
      <alignment horizontal="center"/>
    </xf>
    <xf numFmtId="0" fontId="6" fillId="39" borderId="25" xfId="38" applyFont="1" applyFill="1" applyBorder="1" applyAlignment="1">
      <alignment horizontal="center"/>
    </xf>
    <xf numFmtId="0" fontId="6" fillId="39" borderId="26" xfId="38" applyFont="1" applyFill="1" applyBorder="1" applyAlignment="1">
      <alignment horizontal="center"/>
    </xf>
    <xf numFmtId="0" fontId="12" fillId="24" borderId="25" xfId="38" applyFill="1" applyBorder="1" applyAlignment="1">
      <alignment horizontal="center"/>
    </xf>
    <xf numFmtId="0" fontId="12" fillId="24" borderId="26" xfId="38" applyFill="1" applyBorder="1" applyAlignment="1">
      <alignment horizontal="center"/>
    </xf>
    <xf numFmtId="0" fontId="12" fillId="33" borderId="25" xfId="38" applyFill="1" applyBorder="1" applyAlignment="1">
      <alignment horizontal="center"/>
    </xf>
    <xf numFmtId="0" fontId="12" fillId="33" borderId="26" xfId="38" applyFill="1" applyBorder="1" applyAlignment="1">
      <alignment horizontal="center"/>
    </xf>
    <xf numFmtId="0" fontId="37" fillId="27" borderId="25" xfId="38" applyFont="1" applyFill="1" applyBorder="1" applyAlignment="1">
      <alignment horizontal="center"/>
    </xf>
    <xf numFmtId="0" fontId="37" fillId="27" borderId="26" xfId="38" applyFont="1" applyFill="1" applyBorder="1" applyAlignment="1">
      <alignment horizontal="center"/>
    </xf>
    <xf numFmtId="0" fontId="3" fillId="30" borderId="20" xfId="34" applyFont="1" applyFill="1" applyBorder="1" applyAlignment="1" applyProtection="1">
      <alignment horizontal="center" vertical="center" wrapText="1"/>
      <protection locked="0"/>
    </xf>
    <xf numFmtId="0" fontId="3" fillId="30" borderId="29" xfId="34" applyFont="1" applyFill="1" applyBorder="1" applyAlignment="1" applyProtection="1">
      <alignment horizontal="center" vertical="center" wrapText="1"/>
      <protection locked="0"/>
    </xf>
    <xf numFmtId="0" fontId="3" fillId="30" borderId="21" xfId="34" applyFont="1" applyFill="1" applyBorder="1" applyAlignment="1" applyProtection="1">
      <alignment horizontal="center" vertical="center" wrapText="1"/>
      <protection locked="0"/>
    </xf>
    <xf numFmtId="0" fontId="3" fillId="30" borderId="24" xfId="34" applyFont="1" applyFill="1" applyBorder="1" applyAlignment="1" applyProtection="1">
      <alignment horizontal="center" vertical="center" wrapText="1"/>
      <protection locked="0"/>
    </xf>
    <xf numFmtId="0" fontId="3" fillId="30" borderId="30" xfId="34" applyFont="1" applyFill="1" applyBorder="1" applyAlignment="1" applyProtection="1">
      <alignment horizontal="center" vertical="center" wrapText="1"/>
      <protection locked="0"/>
    </xf>
    <xf numFmtId="0" fontId="3" fillId="30" borderId="19" xfId="34" applyFont="1" applyFill="1" applyBorder="1" applyAlignment="1" applyProtection="1">
      <alignment horizontal="center" vertical="center" wrapText="1"/>
      <protection locked="0"/>
    </xf>
    <xf numFmtId="0" fontId="56" fillId="0" borderId="0" xfId="38" applyFont="1" applyAlignment="1">
      <alignment horizontal="center" wrapText="1"/>
    </xf>
    <xf numFmtId="0" fontId="2" fillId="32" borderId="13" xfId="0" applyFont="1" applyFill="1" applyBorder="1" applyAlignment="1">
      <alignment horizontal="center" vertical="center"/>
    </xf>
    <xf numFmtId="0" fontId="2" fillId="32" borderId="31" xfId="0" applyFont="1" applyFill="1" applyBorder="1" applyAlignment="1">
      <alignment horizontal="left"/>
    </xf>
    <xf numFmtId="0" fontId="2" fillId="32" borderId="17" xfId="0" applyFont="1" applyFill="1" applyBorder="1" applyAlignment="1">
      <alignment horizontal="center" vertical="center" wrapText="1"/>
    </xf>
    <xf numFmtId="0" fontId="2" fillId="32" borderId="32" xfId="0" applyFont="1" applyFill="1" applyBorder="1" applyAlignment="1">
      <alignment horizontal="center" vertical="center" wrapText="1"/>
    </xf>
    <xf numFmtId="0" fontId="1" fillId="32" borderId="18" xfId="0" applyFont="1" applyFill="1" applyBorder="1" applyAlignment="1">
      <alignment horizontal="center" vertical="top" wrapText="1"/>
    </xf>
    <xf numFmtId="0" fontId="1" fillId="32" borderId="0" xfId="0" applyFont="1" applyFill="1" applyBorder="1" applyAlignment="1">
      <alignment horizontal="center" vertical="top" wrapText="1"/>
    </xf>
    <xf numFmtId="0" fontId="72" fillId="30" borderId="29" xfId="34" applyFont="1" applyFill="1" applyBorder="1" applyAlignment="1" applyProtection="1">
      <alignment horizontal="center" vertical="center" wrapText="1"/>
      <protection locked="0"/>
    </xf>
    <xf numFmtId="0" fontId="72" fillId="30" borderId="30" xfId="34" applyFont="1" applyFill="1" applyBorder="1" applyAlignment="1" applyProtection="1">
      <alignment horizontal="center" vertical="center" wrapText="1"/>
      <protection locked="0"/>
    </xf>
    <xf numFmtId="0" fontId="5" fillId="41" borderId="11" xfId="34" applyFont="1" applyFill="1" applyBorder="1" applyAlignment="1" applyProtection="1">
      <alignment horizontal="center" vertical="center" wrapText="1"/>
      <protection locked="0"/>
    </xf>
    <xf numFmtId="0" fontId="5" fillId="41" borderId="27" xfId="34" applyFont="1" applyFill="1" applyBorder="1" applyAlignment="1" applyProtection="1">
      <alignment horizontal="center" vertical="center" wrapText="1"/>
      <protection locked="0"/>
    </xf>
    <xf numFmtId="0" fontId="5" fillId="41" borderId="12" xfId="34" applyFont="1" applyFill="1" applyBorder="1" applyAlignment="1" applyProtection="1">
      <alignment horizontal="center" vertical="center" wrapText="1"/>
      <protection locked="0"/>
    </xf>
    <xf numFmtId="0" fontId="5" fillId="41" borderId="11" xfId="39" applyFont="1" applyFill="1" applyBorder="1" applyAlignment="1" applyProtection="1">
      <alignment horizontal="center" vertical="center" wrapText="1"/>
      <protection locked="0"/>
    </xf>
    <xf numFmtId="0" fontId="5" fillId="41" borderId="27" xfId="39" applyFont="1" applyFill="1" applyBorder="1" applyAlignment="1" applyProtection="1">
      <alignment horizontal="center" vertical="center" wrapText="1"/>
      <protection locked="0"/>
    </xf>
    <xf numFmtId="0" fontId="5" fillId="41" borderId="12" xfId="39" applyFont="1" applyFill="1" applyBorder="1" applyAlignment="1" applyProtection="1">
      <alignment horizontal="center" vertical="center" wrapText="1"/>
      <protection locked="0"/>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rmal 2 2" xfId="39" xr:uid="{00000000-0005-0000-0000-000027000000}"/>
    <cellStyle name="Normal 3" xfId="40" xr:uid="{00000000-0005-0000-0000-000028000000}"/>
    <cellStyle name="Normal_KS2 Fine grades 2000 (version 1)" xfId="41" xr:uid="{00000000-0005-0000-0000-000029000000}"/>
    <cellStyle name="Note" xfId="42" builtinId="10" customBuiltin="1"/>
    <cellStyle name="Output" xfId="43" builtinId="21" customBuiltin="1"/>
    <cellStyle name="Percent 2" xfId="44" xr:uid="{00000000-0005-0000-0000-00002C000000}"/>
    <cellStyle name="Title" xfId="45" builtinId="15" customBuiltin="1"/>
    <cellStyle name="Total" xfId="46" builtinId="25" customBuiltin="1"/>
    <cellStyle name="Warning Text" xfId="47" builtinId="11" customBuiltin="1"/>
  </cellStyles>
  <dxfs count="10">
    <dxf>
      <font>
        <color theme="0"/>
      </font>
      <fill>
        <patternFill>
          <bgColor rgb="FFFF0000"/>
        </patternFill>
      </fill>
    </dxf>
    <dxf>
      <font>
        <color theme="0"/>
      </font>
      <fill>
        <patternFill>
          <bgColor rgb="FFFF0000"/>
        </patternFill>
      </fill>
    </dxf>
    <dxf>
      <font>
        <color theme="0"/>
      </font>
      <fill>
        <patternFill>
          <bgColor rgb="FFFF0000"/>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7961186335219698"/>
          <c:y val="7.7562431779172145E-2"/>
          <c:w val="0.74514651417735767"/>
          <c:h val="0.68144136491701235"/>
        </c:manualLayout>
      </c:layout>
      <c:scatterChart>
        <c:scatterStyle val="lineMarker"/>
        <c:varyColors val="0"/>
        <c:ser>
          <c:idx val="0"/>
          <c:order val="0"/>
          <c:tx>
            <c:v>Line</c:v>
          </c:tx>
          <c:spPr>
            <a:ln w="25400">
              <a:solidFill>
                <a:srgbClr val="000080"/>
              </a:solidFill>
              <a:prstDash val="solid"/>
            </a:ln>
          </c:spPr>
          <c:marker>
            <c:symbol val="diamond"/>
            <c:size val="7"/>
            <c:spPr>
              <a:solidFill>
                <a:srgbClr val="000080"/>
              </a:solidFill>
              <a:ln>
                <a:solidFill>
                  <a:srgbClr val="000080"/>
                </a:solidFill>
                <a:prstDash val="solid"/>
              </a:ln>
            </c:spPr>
          </c:marker>
          <c:xVal>
            <c:numRef>
              <c:f>'Chart Data'!$D$9:$D$10</c:f>
              <c:numCache>
                <c:formatCode>General</c:formatCode>
                <c:ptCount val="2"/>
                <c:pt idx="0">
                  <c:v>0</c:v>
                </c:pt>
                <c:pt idx="1">
                  <c:v>99</c:v>
                </c:pt>
              </c:numCache>
            </c:numRef>
          </c:xVal>
          <c:yVal>
            <c:numRef>
              <c:f>('Chart Data'!$D$9,'Chart Data'!$D$10)</c:f>
              <c:numCache>
                <c:formatCode>General</c:formatCode>
                <c:ptCount val="2"/>
                <c:pt idx="0">
                  <c:v>0</c:v>
                </c:pt>
                <c:pt idx="1">
                  <c:v>99</c:v>
                </c:pt>
              </c:numCache>
            </c:numRef>
          </c:yVal>
          <c:smooth val="0"/>
          <c:extLst>
            <c:ext xmlns:c16="http://schemas.microsoft.com/office/drawing/2014/chart" uri="{C3380CC4-5D6E-409C-BE32-E72D297353CC}">
              <c16:uniqueId val="{00000000-98D9-4F4E-988A-CC0507A74D3E}"/>
            </c:ext>
          </c:extLst>
        </c:ser>
        <c:ser>
          <c:idx val="3"/>
          <c:order val="1"/>
          <c:tx>
            <c:v>Pupil</c:v>
          </c:tx>
          <c:spPr>
            <a:ln w="28575">
              <a:noFill/>
            </a:ln>
          </c:spPr>
          <c:marker>
            <c:symbol val="circle"/>
            <c:size val="7"/>
            <c:spPr>
              <a:solidFill>
                <a:srgbClr val="FF00FF"/>
              </a:solidFill>
              <a:ln>
                <a:solidFill>
                  <a:srgbClr val="FF00FF"/>
                </a:solidFill>
                <a:prstDash val="solid"/>
              </a:ln>
            </c:spPr>
          </c:marker>
          <c:xVal>
            <c:numRef>
              <c:f>'Single Measure Ready Reckoner'!$H$23</c:f>
              <c:numCache>
                <c:formatCode>0.00</c:formatCode>
                <c:ptCount val="1"/>
                <c:pt idx="0">
                  <c:v>0</c:v>
                </c:pt>
              </c:numCache>
            </c:numRef>
          </c:xVal>
          <c:yVal>
            <c:numRef>
              <c:f>'Single Measure Ready Reckoner'!$J$13</c:f>
              <c:numCache>
                <c:formatCode>0.00</c:formatCode>
                <c:ptCount val="1"/>
                <c:pt idx="0">
                  <c:v>0</c:v>
                </c:pt>
              </c:numCache>
            </c:numRef>
          </c:yVal>
          <c:smooth val="0"/>
          <c:extLst>
            <c:ext xmlns:c16="http://schemas.microsoft.com/office/drawing/2014/chart" uri="{C3380CC4-5D6E-409C-BE32-E72D297353CC}">
              <c16:uniqueId val="{00000001-98D9-4F4E-988A-CC0507A74D3E}"/>
            </c:ext>
          </c:extLst>
        </c:ser>
        <c:dLbls>
          <c:showLegendKey val="0"/>
          <c:showVal val="0"/>
          <c:showCatName val="0"/>
          <c:showSerName val="0"/>
          <c:showPercent val="0"/>
          <c:showBubbleSize val="0"/>
        </c:dLbls>
        <c:axId val="952671432"/>
        <c:axId val="1"/>
      </c:scatterChart>
      <c:valAx>
        <c:axId val="952671432"/>
        <c:scaling>
          <c:orientation val="minMax"/>
          <c:max val="100"/>
          <c:min val="0"/>
        </c:scaling>
        <c:delete val="0"/>
        <c:axPos val="b"/>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Estimated KS4 Outcome</a:t>
                </a:r>
              </a:p>
            </c:rich>
          </c:tx>
          <c:layout>
            <c:manualLayout>
              <c:xMode val="edge"/>
              <c:yMode val="edge"/>
              <c:x val="0.27427203135607675"/>
              <c:y val="0.847646750038598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5"/>
      </c:valAx>
      <c:valAx>
        <c:axId val="1"/>
        <c:scaling>
          <c:orientation val="minMax"/>
          <c:max val="100"/>
          <c:min val="0"/>
        </c:scaling>
        <c:delete val="0"/>
        <c:axPos val="l"/>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Actual KS4 Outcome</a:t>
                </a:r>
              </a:p>
            </c:rich>
          </c:tx>
          <c:layout>
            <c:manualLayout>
              <c:xMode val="edge"/>
              <c:yMode val="edge"/>
              <c:x val="1.2135955958547983E-2"/>
              <c:y val="0.185596047552879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2671432"/>
        <c:crosses val="autoZero"/>
        <c:crossBetween val="midCat"/>
        <c:majorUnit val="5"/>
        <c:minorUnit val="1.218"/>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961186335219698"/>
          <c:y val="7.7562431779172145E-2"/>
          <c:w val="0.74514651417735767"/>
          <c:h val="0.68144136491701235"/>
        </c:manualLayout>
      </c:layout>
      <c:scatterChart>
        <c:scatterStyle val="lineMarker"/>
        <c:varyColors val="0"/>
        <c:ser>
          <c:idx val="0"/>
          <c:order val="0"/>
          <c:tx>
            <c:v>Line</c:v>
          </c:tx>
          <c:spPr>
            <a:ln w="25400">
              <a:solidFill>
                <a:srgbClr val="000080"/>
              </a:solidFill>
              <a:prstDash val="solid"/>
            </a:ln>
          </c:spPr>
          <c:marker>
            <c:symbol val="diamond"/>
            <c:size val="7"/>
            <c:spPr>
              <a:solidFill>
                <a:srgbClr val="000080"/>
              </a:solidFill>
              <a:ln>
                <a:solidFill>
                  <a:srgbClr val="000080"/>
                </a:solidFill>
                <a:prstDash val="solid"/>
              </a:ln>
            </c:spPr>
          </c:marker>
          <c:xVal>
            <c:numRef>
              <c:f>'Chart Data'!$D$9:$D$10</c:f>
              <c:numCache>
                <c:formatCode>General</c:formatCode>
                <c:ptCount val="2"/>
                <c:pt idx="0">
                  <c:v>0</c:v>
                </c:pt>
                <c:pt idx="1">
                  <c:v>99</c:v>
                </c:pt>
              </c:numCache>
            </c:numRef>
          </c:xVal>
          <c:yVal>
            <c:numRef>
              <c:f>('Chart Data'!$D$9,'Chart Data'!$D$10)</c:f>
              <c:numCache>
                <c:formatCode>General</c:formatCode>
                <c:ptCount val="2"/>
                <c:pt idx="0">
                  <c:v>0</c:v>
                </c:pt>
                <c:pt idx="1">
                  <c:v>99</c:v>
                </c:pt>
              </c:numCache>
            </c:numRef>
          </c:yVal>
          <c:smooth val="0"/>
          <c:extLst>
            <c:ext xmlns:c16="http://schemas.microsoft.com/office/drawing/2014/chart" uri="{C3380CC4-5D6E-409C-BE32-E72D297353CC}">
              <c16:uniqueId val="{00000000-105F-4481-AEF9-D76C283CE6DA}"/>
            </c:ext>
          </c:extLst>
        </c:ser>
        <c:ser>
          <c:idx val="3"/>
          <c:order val="1"/>
          <c:tx>
            <c:v>Pupil</c:v>
          </c:tx>
          <c:spPr>
            <a:ln w="28575">
              <a:noFill/>
            </a:ln>
          </c:spPr>
          <c:marker>
            <c:symbol val="circle"/>
            <c:size val="7"/>
            <c:spPr>
              <a:solidFill>
                <a:srgbClr val="FF00FF"/>
              </a:solidFill>
              <a:ln>
                <a:solidFill>
                  <a:srgbClr val="FF00FF"/>
                </a:solidFill>
                <a:prstDash val="solid"/>
              </a:ln>
            </c:spPr>
          </c:marker>
          <c:xVal>
            <c:numRef>
              <c:f>'Single Measure Ready Reckoner'!$H$23</c:f>
              <c:numCache>
                <c:formatCode>0.00</c:formatCode>
                <c:ptCount val="1"/>
                <c:pt idx="0">
                  <c:v>0</c:v>
                </c:pt>
              </c:numCache>
            </c:numRef>
          </c:xVal>
          <c:yVal>
            <c:numRef>
              <c:f>'Single Measure Ready Reckoner'!$J$13</c:f>
              <c:numCache>
                <c:formatCode>0.00</c:formatCode>
                <c:ptCount val="1"/>
                <c:pt idx="0">
                  <c:v>0</c:v>
                </c:pt>
              </c:numCache>
            </c:numRef>
          </c:yVal>
          <c:smooth val="0"/>
          <c:extLst>
            <c:ext xmlns:c16="http://schemas.microsoft.com/office/drawing/2014/chart" uri="{C3380CC4-5D6E-409C-BE32-E72D297353CC}">
              <c16:uniqueId val="{00000001-105F-4481-AEF9-D76C283CE6DA}"/>
            </c:ext>
          </c:extLst>
        </c:ser>
        <c:dLbls>
          <c:showLegendKey val="0"/>
          <c:showVal val="0"/>
          <c:showCatName val="0"/>
          <c:showSerName val="0"/>
          <c:showPercent val="0"/>
          <c:showBubbleSize val="0"/>
        </c:dLbls>
        <c:axId val="951431928"/>
        <c:axId val="1"/>
      </c:scatterChart>
      <c:valAx>
        <c:axId val="951431928"/>
        <c:scaling>
          <c:orientation val="minMax"/>
          <c:max val="100"/>
          <c:min val="0"/>
        </c:scaling>
        <c:delete val="0"/>
        <c:axPos val="b"/>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Estimated KS4 Outcome</a:t>
                </a:r>
              </a:p>
            </c:rich>
          </c:tx>
          <c:layout>
            <c:manualLayout>
              <c:xMode val="edge"/>
              <c:yMode val="edge"/>
              <c:x val="0.27427205936906102"/>
              <c:y val="0.847646544181977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5"/>
      </c:valAx>
      <c:valAx>
        <c:axId val="1"/>
        <c:scaling>
          <c:orientation val="minMax"/>
          <c:max val="100"/>
          <c:min val="0"/>
        </c:scaling>
        <c:delete val="0"/>
        <c:axPos val="l"/>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Actual KS4 Outcome</a:t>
                </a:r>
              </a:p>
            </c:rich>
          </c:tx>
          <c:layout>
            <c:manualLayout>
              <c:xMode val="edge"/>
              <c:yMode val="edge"/>
              <c:x val="1.2135910786609621E-2"/>
              <c:y val="0.185595800524934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1431928"/>
        <c:crosses val="autoZero"/>
        <c:crossBetween val="midCat"/>
        <c:majorUnit val="5"/>
        <c:minorUnit val="1.218"/>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142875</xdr:colOff>
      <xdr:row>28</xdr:row>
      <xdr:rowOff>95250</xdr:rowOff>
    </xdr:from>
    <xdr:to>
      <xdr:col>16</xdr:col>
      <xdr:colOff>814388</xdr:colOff>
      <xdr:row>33</xdr:row>
      <xdr:rowOff>76200</xdr:rowOff>
    </xdr:to>
    <xdr:pic>
      <xdr:nvPicPr>
        <xdr:cNvPr id="2006" name="Picture 1" descr="This illustrates to users how to select the key stage 2 to 4 progress measure they want to view in the Single Measures Ready Reckoner sheet of the tool" title="Which progress measure">
          <a:extLst>
            <a:ext uri="{FF2B5EF4-FFF2-40B4-BE49-F238E27FC236}">
              <a16:creationId xmlns:a16="http://schemas.microsoft.com/office/drawing/2014/main" id="{00000000-0008-0000-0100-0000D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1163" y="5119688"/>
          <a:ext cx="91535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600075</xdr:colOff>
      <xdr:row>39</xdr:row>
      <xdr:rowOff>47625</xdr:rowOff>
    </xdr:from>
    <xdr:to>
      <xdr:col>16</xdr:col>
      <xdr:colOff>652463</xdr:colOff>
      <xdr:row>44</xdr:row>
      <xdr:rowOff>161925</xdr:rowOff>
    </xdr:to>
    <xdr:pic>
      <xdr:nvPicPr>
        <xdr:cNvPr id="2007" name="Picture 2" descr="Thsi illustrates how users should enter the pupil's score in the chosen progress measure on the Single Measures Ready Reckoner sheet" title="Actual Ket Stage 4 Attainment">
          <a:extLst>
            <a:ext uri="{FF2B5EF4-FFF2-40B4-BE49-F238E27FC236}">
              <a16:creationId xmlns:a16="http://schemas.microsoft.com/office/drawing/2014/main" id="{00000000-0008-0000-0100-0000D7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5900" y="7243763"/>
          <a:ext cx="9186863"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438150</xdr:colOff>
      <xdr:row>49</xdr:row>
      <xdr:rowOff>152400</xdr:rowOff>
    </xdr:from>
    <xdr:to>
      <xdr:col>16</xdr:col>
      <xdr:colOff>804863</xdr:colOff>
      <xdr:row>57</xdr:row>
      <xdr:rowOff>47625</xdr:rowOff>
    </xdr:to>
    <xdr:pic>
      <xdr:nvPicPr>
        <xdr:cNvPr id="2008" name="Picture 4" descr="The illustrates how the pupil's progress score will be shown in the dark blue box at the bottom of the Single Measures Raedy Reckoner sheet. It shows the Value Added score as the actual score minus the estimated score and the Final VA Average (Per Subject Score)" title="Pupil Value Added Score">
          <a:extLst>
            <a:ext uri="{FF2B5EF4-FFF2-40B4-BE49-F238E27FC236}">
              <a16:creationId xmlns:a16="http://schemas.microsoft.com/office/drawing/2014/main" id="{00000000-0008-0000-0100-0000D807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9024938"/>
          <a:ext cx="9501188" cy="1252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723900</xdr:colOff>
      <xdr:row>11</xdr:row>
      <xdr:rowOff>38100</xdr:rowOff>
    </xdr:from>
    <xdr:to>
      <xdr:col>4</xdr:col>
      <xdr:colOff>723900</xdr:colOff>
      <xdr:row>11</xdr:row>
      <xdr:rowOff>514350</xdr:rowOff>
    </xdr:to>
    <xdr:sp macro="" textlink="">
      <xdr:nvSpPr>
        <xdr:cNvPr id="512033" name="Line 15">
          <a:extLst>
            <a:ext uri="{FF2B5EF4-FFF2-40B4-BE49-F238E27FC236}">
              <a16:creationId xmlns:a16="http://schemas.microsoft.com/office/drawing/2014/main" id="{00000000-0008-0000-0400-000021D00700}"/>
            </a:ext>
          </a:extLst>
        </xdr:cNvPr>
        <xdr:cNvSpPr>
          <a:spLocks noChangeShapeType="1"/>
        </xdr:cNvSpPr>
      </xdr:nvSpPr>
      <xdr:spPr bwMode="auto">
        <a:xfrm>
          <a:off x="7572375" y="3019425"/>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723900</xdr:colOff>
      <xdr:row>11</xdr:row>
      <xdr:rowOff>38100</xdr:rowOff>
    </xdr:from>
    <xdr:to>
      <xdr:col>6</xdr:col>
      <xdr:colOff>723900</xdr:colOff>
      <xdr:row>11</xdr:row>
      <xdr:rowOff>514350</xdr:rowOff>
    </xdr:to>
    <xdr:sp macro="" textlink="">
      <xdr:nvSpPr>
        <xdr:cNvPr id="512034" name="Line 17">
          <a:extLst>
            <a:ext uri="{FF2B5EF4-FFF2-40B4-BE49-F238E27FC236}">
              <a16:creationId xmlns:a16="http://schemas.microsoft.com/office/drawing/2014/main" id="{00000000-0008-0000-0400-000022D00700}"/>
            </a:ext>
          </a:extLst>
        </xdr:cNvPr>
        <xdr:cNvSpPr>
          <a:spLocks noChangeShapeType="1"/>
        </xdr:cNvSpPr>
      </xdr:nvSpPr>
      <xdr:spPr bwMode="auto">
        <a:xfrm>
          <a:off x="9939338" y="3019425"/>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757238</xdr:colOff>
      <xdr:row>18</xdr:row>
      <xdr:rowOff>47625</xdr:rowOff>
    </xdr:from>
    <xdr:to>
      <xdr:col>4</xdr:col>
      <xdr:colOff>757238</xdr:colOff>
      <xdr:row>18</xdr:row>
      <xdr:rowOff>533400</xdr:rowOff>
    </xdr:to>
    <xdr:sp macro="" textlink="">
      <xdr:nvSpPr>
        <xdr:cNvPr id="512035" name="Line 23">
          <a:extLst>
            <a:ext uri="{FF2B5EF4-FFF2-40B4-BE49-F238E27FC236}">
              <a16:creationId xmlns:a16="http://schemas.microsoft.com/office/drawing/2014/main" id="{00000000-0008-0000-0400-000023D00700}"/>
            </a:ext>
          </a:extLst>
        </xdr:cNvPr>
        <xdr:cNvSpPr>
          <a:spLocks noChangeShapeType="1"/>
        </xdr:cNvSpPr>
      </xdr:nvSpPr>
      <xdr:spPr bwMode="auto">
        <a:xfrm>
          <a:off x="7605713" y="5138738"/>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757238</xdr:colOff>
      <xdr:row>18</xdr:row>
      <xdr:rowOff>47625</xdr:rowOff>
    </xdr:from>
    <xdr:to>
      <xdr:col>6</xdr:col>
      <xdr:colOff>757238</xdr:colOff>
      <xdr:row>18</xdr:row>
      <xdr:rowOff>533400</xdr:rowOff>
    </xdr:to>
    <xdr:sp macro="" textlink="">
      <xdr:nvSpPr>
        <xdr:cNvPr id="512036" name="Line 25">
          <a:extLst>
            <a:ext uri="{FF2B5EF4-FFF2-40B4-BE49-F238E27FC236}">
              <a16:creationId xmlns:a16="http://schemas.microsoft.com/office/drawing/2014/main" id="{00000000-0008-0000-0400-000024D00700}"/>
            </a:ext>
          </a:extLst>
        </xdr:cNvPr>
        <xdr:cNvSpPr>
          <a:spLocks noChangeShapeType="1"/>
        </xdr:cNvSpPr>
      </xdr:nvSpPr>
      <xdr:spPr bwMode="auto">
        <a:xfrm>
          <a:off x="9972675" y="5138738"/>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814388</xdr:colOff>
      <xdr:row>26</xdr:row>
      <xdr:rowOff>66675</xdr:rowOff>
    </xdr:from>
    <xdr:to>
      <xdr:col>5</xdr:col>
      <xdr:colOff>257175</xdr:colOff>
      <xdr:row>27</xdr:row>
      <xdr:rowOff>152400</xdr:rowOff>
    </xdr:to>
    <xdr:sp macro="" textlink="">
      <xdr:nvSpPr>
        <xdr:cNvPr id="512037" name="Line 26">
          <a:extLst>
            <a:ext uri="{FF2B5EF4-FFF2-40B4-BE49-F238E27FC236}">
              <a16:creationId xmlns:a16="http://schemas.microsoft.com/office/drawing/2014/main" id="{00000000-0008-0000-0400-000025D00700}"/>
            </a:ext>
          </a:extLst>
        </xdr:cNvPr>
        <xdr:cNvSpPr>
          <a:spLocks noChangeShapeType="1"/>
        </xdr:cNvSpPr>
      </xdr:nvSpPr>
      <xdr:spPr bwMode="auto">
        <a:xfrm>
          <a:off x="7662863" y="7400925"/>
          <a:ext cx="10953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357188</xdr:colOff>
      <xdr:row>26</xdr:row>
      <xdr:rowOff>57150</xdr:rowOff>
    </xdr:from>
    <xdr:to>
      <xdr:col>6</xdr:col>
      <xdr:colOff>600075</xdr:colOff>
      <xdr:row>27</xdr:row>
      <xdr:rowOff>152400</xdr:rowOff>
    </xdr:to>
    <xdr:sp macro="" textlink="">
      <xdr:nvSpPr>
        <xdr:cNvPr id="512038" name="Line 67">
          <a:extLst>
            <a:ext uri="{FF2B5EF4-FFF2-40B4-BE49-F238E27FC236}">
              <a16:creationId xmlns:a16="http://schemas.microsoft.com/office/drawing/2014/main" id="{00000000-0008-0000-0400-000026D00700}"/>
            </a:ext>
          </a:extLst>
        </xdr:cNvPr>
        <xdr:cNvSpPr>
          <a:spLocks noChangeShapeType="1"/>
        </xdr:cNvSpPr>
      </xdr:nvSpPr>
      <xdr:spPr bwMode="auto">
        <a:xfrm flipH="1">
          <a:off x="8858250" y="7391400"/>
          <a:ext cx="957263"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357188</xdr:colOff>
      <xdr:row>29</xdr:row>
      <xdr:rowOff>0</xdr:rowOff>
    </xdr:from>
    <xdr:to>
      <xdr:col>5</xdr:col>
      <xdr:colOff>357188</xdr:colOff>
      <xdr:row>30</xdr:row>
      <xdr:rowOff>38100</xdr:rowOff>
    </xdr:to>
    <xdr:sp macro="" textlink="">
      <xdr:nvSpPr>
        <xdr:cNvPr id="512039" name="Line 25">
          <a:extLst>
            <a:ext uri="{FF2B5EF4-FFF2-40B4-BE49-F238E27FC236}">
              <a16:creationId xmlns:a16="http://schemas.microsoft.com/office/drawing/2014/main" id="{00000000-0008-0000-0400-000027D00700}"/>
            </a:ext>
          </a:extLst>
        </xdr:cNvPr>
        <xdr:cNvSpPr>
          <a:spLocks noChangeShapeType="1"/>
        </xdr:cNvSpPr>
      </xdr:nvSpPr>
      <xdr:spPr bwMode="auto">
        <a:xfrm>
          <a:off x="8858250" y="7743825"/>
          <a:ext cx="0" cy="381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338138</xdr:colOff>
      <xdr:row>32</xdr:row>
      <xdr:rowOff>28575</xdr:rowOff>
    </xdr:from>
    <xdr:to>
      <xdr:col>5</xdr:col>
      <xdr:colOff>338138</xdr:colOff>
      <xdr:row>33</xdr:row>
      <xdr:rowOff>114300</xdr:rowOff>
    </xdr:to>
    <xdr:sp macro="" textlink="">
      <xdr:nvSpPr>
        <xdr:cNvPr id="512040" name="Line 25">
          <a:extLst>
            <a:ext uri="{FF2B5EF4-FFF2-40B4-BE49-F238E27FC236}">
              <a16:creationId xmlns:a16="http://schemas.microsoft.com/office/drawing/2014/main" id="{00000000-0008-0000-0400-000028D00700}"/>
            </a:ext>
          </a:extLst>
        </xdr:cNvPr>
        <xdr:cNvSpPr>
          <a:spLocks noChangeShapeType="1"/>
        </xdr:cNvSpPr>
      </xdr:nvSpPr>
      <xdr:spPr bwMode="auto">
        <a:xfrm>
          <a:off x="8839200" y="8658225"/>
          <a:ext cx="0"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71438</xdr:colOff>
      <xdr:row>19</xdr:row>
      <xdr:rowOff>133350</xdr:rowOff>
    </xdr:from>
    <xdr:to>
      <xdr:col>5</xdr:col>
      <xdr:colOff>909638</xdr:colOff>
      <xdr:row>19</xdr:row>
      <xdr:rowOff>133350</xdr:rowOff>
    </xdr:to>
    <xdr:sp macro="" textlink="">
      <xdr:nvSpPr>
        <xdr:cNvPr id="513049" name="Line 21">
          <a:extLst>
            <a:ext uri="{FF2B5EF4-FFF2-40B4-BE49-F238E27FC236}">
              <a16:creationId xmlns:a16="http://schemas.microsoft.com/office/drawing/2014/main" id="{00000000-0008-0000-0500-000019D40700}"/>
            </a:ext>
          </a:extLst>
        </xdr:cNvPr>
        <xdr:cNvSpPr>
          <a:spLocks noChangeShapeType="1"/>
        </xdr:cNvSpPr>
      </xdr:nvSpPr>
      <xdr:spPr bwMode="auto">
        <a:xfrm flipV="1">
          <a:off x="7124700" y="4362450"/>
          <a:ext cx="1143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3743325</xdr:colOff>
      <xdr:row>8</xdr:row>
      <xdr:rowOff>276225</xdr:rowOff>
    </xdr:from>
    <xdr:to>
      <xdr:col>5</xdr:col>
      <xdr:colOff>952500</xdr:colOff>
      <xdr:row>8</xdr:row>
      <xdr:rowOff>276225</xdr:rowOff>
    </xdr:to>
    <xdr:sp macro="" textlink="">
      <xdr:nvSpPr>
        <xdr:cNvPr id="513050" name="Line 13">
          <a:extLst>
            <a:ext uri="{FF2B5EF4-FFF2-40B4-BE49-F238E27FC236}">
              <a16:creationId xmlns:a16="http://schemas.microsoft.com/office/drawing/2014/main" id="{00000000-0008-0000-0500-00001AD40700}"/>
            </a:ext>
          </a:extLst>
        </xdr:cNvPr>
        <xdr:cNvSpPr>
          <a:spLocks noChangeShapeType="1"/>
        </xdr:cNvSpPr>
      </xdr:nvSpPr>
      <xdr:spPr bwMode="auto">
        <a:xfrm>
          <a:off x="4110038" y="1838325"/>
          <a:ext cx="420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13</xdr:row>
      <xdr:rowOff>0</xdr:rowOff>
    </xdr:from>
    <xdr:to>
      <xdr:col>5</xdr:col>
      <xdr:colOff>962025</xdr:colOff>
      <xdr:row>13</xdr:row>
      <xdr:rowOff>0</xdr:rowOff>
    </xdr:to>
    <xdr:sp macro="" textlink="">
      <xdr:nvSpPr>
        <xdr:cNvPr id="513051" name="Line 13">
          <a:extLst>
            <a:ext uri="{FF2B5EF4-FFF2-40B4-BE49-F238E27FC236}">
              <a16:creationId xmlns:a16="http://schemas.microsoft.com/office/drawing/2014/main" id="{00000000-0008-0000-0500-00001BD40700}"/>
            </a:ext>
          </a:extLst>
        </xdr:cNvPr>
        <xdr:cNvSpPr>
          <a:spLocks noChangeShapeType="1"/>
        </xdr:cNvSpPr>
      </xdr:nvSpPr>
      <xdr:spPr bwMode="auto">
        <a:xfrm>
          <a:off x="5767388" y="2981325"/>
          <a:ext cx="2552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71438</xdr:colOff>
      <xdr:row>21</xdr:row>
      <xdr:rowOff>209550</xdr:rowOff>
    </xdr:from>
    <xdr:to>
      <xdr:col>5</xdr:col>
      <xdr:colOff>890588</xdr:colOff>
      <xdr:row>21</xdr:row>
      <xdr:rowOff>209550</xdr:rowOff>
    </xdr:to>
    <xdr:sp macro="" textlink="">
      <xdr:nvSpPr>
        <xdr:cNvPr id="513052" name="Line 21">
          <a:extLst>
            <a:ext uri="{FF2B5EF4-FFF2-40B4-BE49-F238E27FC236}">
              <a16:creationId xmlns:a16="http://schemas.microsoft.com/office/drawing/2014/main" id="{00000000-0008-0000-0500-00001CD40700}"/>
            </a:ext>
          </a:extLst>
        </xdr:cNvPr>
        <xdr:cNvSpPr>
          <a:spLocks noChangeShapeType="1"/>
        </xdr:cNvSpPr>
      </xdr:nvSpPr>
      <xdr:spPr bwMode="auto">
        <a:xfrm flipV="1">
          <a:off x="7124700" y="5048250"/>
          <a:ext cx="1123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0</xdr:colOff>
      <xdr:row>19</xdr:row>
      <xdr:rowOff>0</xdr:rowOff>
    </xdr:from>
    <xdr:to>
      <xdr:col>17</xdr:col>
      <xdr:colOff>438150</xdr:colOff>
      <xdr:row>32</xdr:row>
      <xdr:rowOff>333375</xdr:rowOff>
    </xdr:to>
    <xdr:graphicFrame macro="">
      <xdr:nvGraphicFramePr>
        <xdr:cNvPr id="513053" name="Chart 2" descr="A chart comparing the pupil's actual key stage 4 outcome and their estimated key stage 4 attainment" title="Chart">
          <a:extLst>
            <a:ext uri="{FF2B5EF4-FFF2-40B4-BE49-F238E27FC236}">
              <a16:creationId xmlns:a16="http://schemas.microsoft.com/office/drawing/2014/main" id="{00000000-0008-0000-0500-00001DD4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338138</xdr:colOff>
      <xdr:row>22</xdr:row>
      <xdr:rowOff>228600</xdr:rowOff>
    </xdr:from>
    <xdr:to>
      <xdr:col>16</xdr:col>
      <xdr:colOff>28575</xdr:colOff>
      <xdr:row>24</xdr:row>
      <xdr:rowOff>57150</xdr:rowOff>
    </xdr:to>
    <xdr:pic>
      <xdr:nvPicPr>
        <xdr:cNvPr id="513054" name="Picture 8" descr="A description of the best fit line on the chart as Actual = Estimated" title="Best fit line">
          <a:extLst>
            <a:ext uri="{FF2B5EF4-FFF2-40B4-BE49-F238E27FC236}">
              <a16:creationId xmlns:a16="http://schemas.microsoft.com/office/drawing/2014/main" id="{00000000-0008-0000-0500-00001ED407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2307015">
          <a:off x="15116175" y="5610225"/>
          <a:ext cx="20574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685800</xdr:colOff>
      <xdr:row>10</xdr:row>
      <xdr:rowOff>76200</xdr:rowOff>
    </xdr:from>
    <xdr:to>
      <xdr:col>3</xdr:col>
      <xdr:colOff>685800</xdr:colOff>
      <xdr:row>10</xdr:row>
      <xdr:rowOff>552450</xdr:rowOff>
    </xdr:to>
    <xdr:sp macro="" textlink="">
      <xdr:nvSpPr>
        <xdr:cNvPr id="515132" name="Line 3">
          <a:extLst>
            <a:ext uri="{FF2B5EF4-FFF2-40B4-BE49-F238E27FC236}">
              <a16:creationId xmlns:a16="http://schemas.microsoft.com/office/drawing/2014/main" id="{00000000-0008-0000-0600-00003CDC0700}"/>
            </a:ext>
          </a:extLst>
        </xdr:cNvPr>
        <xdr:cNvSpPr>
          <a:spLocks noChangeShapeType="1"/>
        </xdr:cNvSpPr>
      </xdr:nvSpPr>
      <xdr:spPr bwMode="auto">
        <a:xfrm>
          <a:off x="3881438" y="339566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704850</xdr:colOff>
      <xdr:row>10</xdr:row>
      <xdr:rowOff>85725</xdr:rowOff>
    </xdr:from>
    <xdr:to>
      <xdr:col>5</xdr:col>
      <xdr:colOff>704850</xdr:colOff>
      <xdr:row>10</xdr:row>
      <xdr:rowOff>561975</xdr:rowOff>
    </xdr:to>
    <xdr:sp macro="" textlink="">
      <xdr:nvSpPr>
        <xdr:cNvPr id="515133" name="Line 4">
          <a:extLst>
            <a:ext uri="{FF2B5EF4-FFF2-40B4-BE49-F238E27FC236}">
              <a16:creationId xmlns:a16="http://schemas.microsoft.com/office/drawing/2014/main" id="{00000000-0008-0000-0600-00003DDC0700}"/>
            </a:ext>
          </a:extLst>
        </xdr:cNvPr>
        <xdr:cNvSpPr>
          <a:spLocks noChangeShapeType="1"/>
        </xdr:cNvSpPr>
      </xdr:nvSpPr>
      <xdr:spPr bwMode="auto">
        <a:xfrm>
          <a:off x="5553075" y="3405188"/>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704850</xdr:colOff>
      <xdr:row>10</xdr:row>
      <xdr:rowOff>85725</xdr:rowOff>
    </xdr:from>
    <xdr:to>
      <xdr:col>7</xdr:col>
      <xdr:colOff>704850</xdr:colOff>
      <xdr:row>10</xdr:row>
      <xdr:rowOff>561975</xdr:rowOff>
    </xdr:to>
    <xdr:sp macro="" textlink="">
      <xdr:nvSpPr>
        <xdr:cNvPr id="515134" name="Line 5">
          <a:extLst>
            <a:ext uri="{FF2B5EF4-FFF2-40B4-BE49-F238E27FC236}">
              <a16:creationId xmlns:a16="http://schemas.microsoft.com/office/drawing/2014/main" id="{00000000-0008-0000-0600-00003EDC0700}"/>
            </a:ext>
          </a:extLst>
        </xdr:cNvPr>
        <xdr:cNvSpPr>
          <a:spLocks noChangeShapeType="1"/>
        </xdr:cNvSpPr>
      </xdr:nvSpPr>
      <xdr:spPr bwMode="auto">
        <a:xfrm>
          <a:off x="7205663" y="3405188"/>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695325</xdr:colOff>
      <xdr:row>12</xdr:row>
      <xdr:rowOff>76200</xdr:rowOff>
    </xdr:from>
    <xdr:to>
      <xdr:col>3</xdr:col>
      <xdr:colOff>695325</xdr:colOff>
      <xdr:row>12</xdr:row>
      <xdr:rowOff>552450</xdr:rowOff>
    </xdr:to>
    <xdr:sp macro="" textlink="">
      <xdr:nvSpPr>
        <xdr:cNvPr id="515135" name="Line 9">
          <a:extLst>
            <a:ext uri="{FF2B5EF4-FFF2-40B4-BE49-F238E27FC236}">
              <a16:creationId xmlns:a16="http://schemas.microsoft.com/office/drawing/2014/main" id="{00000000-0008-0000-0600-00003FDC0700}"/>
            </a:ext>
          </a:extLst>
        </xdr:cNvPr>
        <xdr:cNvSpPr>
          <a:spLocks noChangeShapeType="1"/>
        </xdr:cNvSpPr>
      </xdr:nvSpPr>
      <xdr:spPr bwMode="auto">
        <a:xfrm>
          <a:off x="3890963" y="467201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695325</xdr:colOff>
      <xdr:row>12</xdr:row>
      <xdr:rowOff>85725</xdr:rowOff>
    </xdr:from>
    <xdr:to>
      <xdr:col>5</xdr:col>
      <xdr:colOff>695325</xdr:colOff>
      <xdr:row>12</xdr:row>
      <xdr:rowOff>561975</xdr:rowOff>
    </xdr:to>
    <xdr:sp macro="" textlink="">
      <xdr:nvSpPr>
        <xdr:cNvPr id="515136" name="Line 10">
          <a:extLst>
            <a:ext uri="{FF2B5EF4-FFF2-40B4-BE49-F238E27FC236}">
              <a16:creationId xmlns:a16="http://schemas.microsoft.com/office/drawing/2014/main" id="{00000000-0008-0000-0600-000040DC0700}"/>
            </a:ext>
          </a:extLst>
        </xdr:cNvPr>
        <xdr:cNvSpPr>
          <a:spLocks noChangeShapeType="1"/>
        </xdr:cNvSpPr>
      </xdr:nvSpPr>
      <xdr:spPr bwMode="auto">
        <a:xfrm>
          <a:off x="5543550" y="4681538"/>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714375</xdr:colOff>
      <xdr:row>12</xdr:row>
      <xdr:rowOff>85725</xdr:rowOff>
    </xdr:from>
    <xdr:to>
      <xdr:col>7</xdr:col>
      <xdr:colOff>714375</xdr:colOff>
      <xdr:row>12</xdr:row>
      <xdr:rowOff>561975</xdr:rowOff>
    </xdr:to>
    <xdr:sp macro="" textlink="">
      <xdr:nvSpPr>
        <xdr:cNvPr id="515137" name="Line 11">
          <a:extLst>
            <a:ext uri="{FF2B5EF4-FFF2-40B4-BE49-F238E27FC236}">
              <a16:creationId xmlns:a16="http://schemas.microsoft.com/office/drawing/2014/main" id="{00000000-0008-0000-0600-000041DC0700}"/>
            </a:ext>
          </a:extLst>
        </xdr:cNvPr>
        <xdr:cNvSpPr>
          <a:spLocks noChangeShapeType="1"/>
        </xdr:cNvSpPr>
      </xdr:nvSpPr>
      <xdr:spPr bwMode="auto">
        <a:xfrm>
          <a:off x="7215188" y="4681538"/>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704850</xdr:colOff>
      <xdr:row>14</xdr:row>
      <xdr:rowOff>76200</xdr:rowOff>
    </xdr:from>
    <xdr:to>
      <xdr:col>3</xdr:col>
      <xdr:colOff>704850</xdr:colOff>
      <xdr:row>14</xdr:row>
      <xdr:rowOff>552450</xdr:rowOff>
    </xdr:to>
    <xdr:sp macro="" textlink="">
      <xdr:nvSpPr>
        <xdr:cNvPr id="515138" name="Line 15">
          <a:extLst>
            <a:ext uri="{FF2B5EF4-FFF2-40B4-BE49-F238E27FC236}">
              <a16:creationId xmlns:a16="http://schemas.microsoft.com/office/drawing/2014/main" id="{00000000-0008-0000-0600-000042DC0700}"/>
            </a:ext>
          </a:extLst>
        </xdr:cNvPr>
        <xdr:cNvSpPr>
          <a:spLocks noChangeShapeType="1"/>
        </xdr:cNvSpPr>
      </xdr:nvSpPr>
      <xdr:spPr bwMode="auto">
        <a:xfrm>
          <a:off x="3900488" y="594836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714375</xdr:colOff>
      <xdr:row>14</xdr:row>
      <xdr:rowOff>76200</xdr:rowOff>
    </xdr:from>
    <xdr:to>
      <xdr:col>5</xdr:col>
      <xdr:colOff>714375</xdr:colOff>
      <xdr:row>14</xdr:row>
      <xdr:rowOff>552450</xdr:rowOff>
    </xdr:to>
    <xdr:sp macro="" textlink="">
      <xdr:nvSpPr>
        <xdr:cNvPr id="515139" name="Line 16">
          <a:extLst>
            <a:ext uri="{FF2B5EF4-FFF2-40B4-BE49-F238E27FC236}">
              <a16:creationId xmlns:a16="http://schemas.microsoft.com/office/drawing/2014/main" id="{00000000-0008-0000-0600-000043DC0700}"/>
            </a:ext>
          </a:extLst>
        </xdr:cNvPr>
        <xdr:cNvSpPr>
          <a:spLocks noChangeShapeType="1"/>
        </xdr:cNvSpPr>
      </xdr:nvSpPr>
      <xdr:spPr bwMode="auto">
        <a:xfrm>
          <a:off x="5562600" y="594836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714375</xdr:colOff>
      <xdr:row>14</xdr:row>
      <xdr:rowOff>76200</xdr:rowOff>
    </xdr:from>
    <xdr:to>
      <xdr:col>7</xdr:col>
      <xdr:colOff>714375</xdr:colOff>
      <xdr:row>14</xdr:row>
      <xdr:rowOff>552450</xdr:rowOff>
    </xdr:to>
    <xdr:sp macro="" textlink="">
      <xdr:nvSpPr>
        <xdr:cNvPr id="515140" name="Line 17">
          <a:extLst>
            <a:ext uri="{FF2B5EF4-FFF2-40B4-BE49-F238E27FC236}">
              <a16:creationId xmlns:a16="http://schemas.microsoft.com/office/drawing/2014/main" id="{00000000-0008-0000-0600-000044DC0700}"/>
            </a:ext>
          </a:extLst>
        </xdr:cNvPr>
        <xdr:cNvSpPr>
          <a:spLocks noChangeShapeType="1"/>
        </xdr:cNvSpPr>
      </xdr:nvSpPr>
      <xdr:spPr bwMode="auto">
        <a:xfrm>
          <a:off x="7215188" y="594836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695325</xdr:colOff>
      <xdr:row>10</xdr:row>
      <xdr:rowOff>76200</xdr:rowOff>
    </xdr:from>
    <xdr:to>
      <xdr:col>9</xdr:col>
      <xdr:colOff>695325</xdr:colOff>
      <xdr:row>10</xdr:row>
      <xdr:rowOff>552450</xdr:rowOff>
    </xdr:to>
    <xdr:sp macro="" textlink="">
      <xdr:nvSpPr>
        <xdr:cNvPr id="515141" name="Line 5">
          <a:extLst>
            <a:ext uri="{FF2B5EF4-FFF2-40B4-BE49-F238E27FC236}">
              <a16:creationId xmlns:a16="http://schemas.microsoft.com/office/drawing/2014/main" id="{00000000-0008-0000-0600-000045DC0700}"/>
            </a:ext>
          </a:extLst>
        </xdr:cNvPr>
        <xdr:cNvSpPr>
          <a:spLocks noChangeShapeType="1"/>
        </xdr:cNvSpPr>
      </xdr:nvSpPr>
      <xdr:spPr bwMode="auto">
        <a:xfrm>
          <a:off x="8848725" y="339566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695325</xdr:colOff>
      <xdr:row>12</xdr:row>
      <xdr:rowOff>76200</xdr:rowOff>
    </xdr:from>
    <xdr:to>
      <xdr:col>9</xdr:col>
      <xdr:colOff>695325</xdr:colOff>
      <xdr:row>12</xdr:row>
      <xdr:rowOff>552450</xdr:rowOff>
    </xdr:to>
    <xdr:sp macro="" textlink="">
      <xdr:nvSpPr>
        <xdr:cNvPr id="515142" name="Line 11">
          <a:extLst>
            <a:ext uri="{FF2B5EF4-FFF2-40B4-BE49-F238E27FC236}">
              <a16:creationId xmlns:a16="http://schemas.microsoft.com/office/drawing/2014/main" id="{00000000-0008-0000-0600-000046DC0700}"/>
            </a:ext>
          </a:extLst>
        </xdr:cNvPr>
        <xdr:cNvSpPr>
          <a:spLocks noChangeShapeType="1"/>
        </xdr:cNvSpPr>
      </xdr:nvSpPr>
      <xdr:spPr bwMode="auto">
        <a:xfrm>
          <a:off x="8848725" y="467201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704850</xdr:colOff>
      <xdr:row>14</xdr:row>
      <xdr:rowOff>85725</xdr:rowOff>
    </xdr:from>
    <xdr:to>
      <xdr:col>9</xdr:col>
      <xdr:colOff>704850</xdr:colOff>
      <xdr:row>14</xdr:row>
      <xdr:rowOff>561975</xdr:rowOff>
    </xdr:to>
    <xdr:sp macro="" textlink="">
      <xdr:nvSpPr>
        <xdr:cNvPr id="515143" name="Line 17">
          <a:extLst>
            <a:ext uri="{FF2B5EF4-FFF2-40B4-BE49-F238E27FC236}">
              <a16:creationId xmlns:a16="http://schemas.microsoft.com/office/drawing/2014/main" id="{00000000-0008-0000-0600-000047DC0700}"/>
            </a:ext>
          </a:extLst>
        </xdr:cNvPr>
        <xdr:cNvSpPr>
          <a:spLocks noChangeShapeType="1"/>
        </xdr:cNvSpPr>
      </xdr:nvSpPr>
      <xdr:spPr bwMode="auto">
        <a:xfrm>
          <a:off x="8858250" y="5957888"/>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695325</xdr:colOff>
      <xdr:row>10</xdr:row>
      <xdr:rowOff>76200</xdr:rowOff>
    </xdr:from>
    <xdr:to>
      <xdr:col>11</xdr:col>
      <xdr:colOff>695325</xdr:colOff>
      <xdr:row>10</xdr:row>
      <xdr:rowOff>552450</xdr:rowOff>
    </xdr:to>
    <xdr:sp macro="" textlink="">
      <xdr:nvSpPr>
        <xdr:cNvPr id="515144" name="Line 5">
          <a:extLst>
            <a:ext uri="{FF2B5EF4-FFF2-40B4-BE49-F238E27FC236}">
              <a16:creationId xmlns:a16="http://schemas.microsoft.com/office/drawing/2014/main" id="{00000000-0008-0000-0600-000048DC0700}"/>
            </a:ext>
          </a:extLst>
        </xdr:cNvPr>
        <xdr:cNvSpPr>
          <a:spLocks noChangeShapeType="1"/>
        </xdr:cNvSpPr>
      </xdr:nvSpPr>
      <xdr:spPr bwMode="auto">
        <a:xfrm>
          <a:off x="10501313" y="339566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695325</xdr:colOff>
      <xdr:row>12</xdr:row>
      <xdr:rowOff>76200</xdr:rowOff>
    </xdr:from>
    <xdr:to>
      <xdr:col>11</xdr:col>
      <xdr:colOff>695325</xdr:colOff>
      <xdr:row>12</xdr:row>
      <xdr:rowOff>552450</xdr:rowOff>
    </xdr:to>
    <xdr:sp macro="" textlink="">
      <xdr:nvSpPr>
        <xdr:cNvPr id="515145" name="Line 11">
          <a:extLst>
            <a:ext uri="{FF2B5EF4-FFF2-40B4-BE49-F238E27FC236}">
              <a16:creationId xmlns:a16="http://schemas.microsoft.com/office/drawing/2014/main" id="{00000000-0008-0000-0600-000049DC0700}"/>
            </a:ext>
          </a:extLst>
        </xdr:cNvPr>
        <xdr:cNvSpPr>
          <a:spLocks noChangeShapeType="1"/>
        </xdr:cNvSpPr>
      </xdr:nvSpPr>
      <xdr:spPr bwMode="auto">
        <a:xfrm>
          <a:off x="10501313" y="4672013"/>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714375</xdr:colOff>
      <xdr:row>14</xdr:row>
      <xdr:rowOff>66675</xdr:rowOff>
    </xdr:from>
    <xdr:to>
      <xdr:col>11</xdr:col>
      <xdr:colOff>714375</xdr:colOff>
      <xdr:row>14</xdr:row>
      <xdr:rowOff>542925</xdr:rowOff>
    </xdr:to>
    <xdr:sp macro="" textlink="">
      <xdr:nvSpPr>
        <xdr:cNvPr id="515146" name="Line 17">
          <a:extLst>
            <a:ext uri="{FF2B5EF4-FFF2-40B4-BE49-F238E27FC236}">
              <a16:creationId xmlns:a16="http://schemas.microsoft.com/office/drawing/2014/main" id="{00000000-0008-0000-0600-00004ADC0700}"/>
            </a:ext>
          </a:extLst>
        </xdr:cNvPr>
        <xdr:cNvSpPr>
          <a:spLocks noChangeShapeType="1"/>
        </xdr:cNvSpPr>
      </xdr:nvSpPr>
      <xdr:spPr bwMode="auto">
        <a:xfrm>
          <a:off x="10520363" y="5938838"/>
          <a:ext cx="0"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11</xdr:row>
      <xdr:rowOff>14288</xdr:rowOff>
    </xdr:from>
    <xdr:to>
      <xdr:col>4</xdr:col>
      <xdr:colOff>0</xdr:colOff>
      <xdr:row>11</xdr:row>
      <xdr:rowOff>3443288</xdr:rowOff>
    </xdr:to>
    <xdr:graphicFrame macro="">
      <xdr:nvGraphicFramePr>
        <xdr:cNvPr id="5611" name="Chart 2">
          <a:extLst>
            <a:ext uri="{FF2B5EF4-FFF2-40B4-BE49-F238E27FC236}">
              <a16:creationId xmlns:a16="http://schemas.microsoft.com/office/drawing/2014/main" id="{00000000-0008-0000-0A00-0000EB1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1347788</xdr:colOff>
      <xdr:row>11</xdr:row>
      <xdr:rowOff>1419225</xdr:rowOff>
    </xdr:from>
    <xdr:to>
      <xdr:col>3</xdr:col>
      <xdr:colOff>3409950</xdr:colOff>
      <xdr:row>11</xdr:row>
      <xdr:rowOff>1785938</xdr:rowOff>
    </xdr:to>
    <xdr:pic>
      <xdr:nvPicPr>
        <xdr:cNvPr id="5612" name="Picture 8">
          <a:extLst>
            <a:ext uri="{FF2B5EF4-FFF2-40B4-BE49-F238E27FC236}">
              <a16:creationId xmlns:a16="http://schemas.microsoft.com/office/drawing/2014/main" id="{00000000-0008-0000-0A00-0000EC15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2307015">
          <a:off x="6848475" y="3200400"/>
          <a:ext cx="2062163" cy="366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acob_gledhill_education_gov_uk/Documents/Documents/KS4/DRAFT%20EBacc%20Subject%20Pupil%20Ready%20Reckoner%20201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jacob_gledhill_education_gov_uk/Documents/Documents/KS4/KS2-4%20EBacc%20Subject%20Pupil%20Ready%20Reckoner%20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onnetapp01\asddata\Routine%20products\Value%20added\2018\Ready%20reckoners\KS1-KS2%20amended\KS1-2%202018%20Pupil%20Ready%20Reckoner_amended_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Key stage 2 Data Input"/>
      <sheetName val="Single Measure Ready Reckoner"/>
      <sheetName val="All Measures Ready Reckoner"/>
      <sheetName val="Model values"/>
      <sheetName val="Chart Data"/>
      <sheetName val="KS2 Fine grades lookup"/>
    </sheetNames>
    <sheetDataSet>
      <sheetData sheetId="0"/>
      <sheetData sheetId="1"/>
      <sheetData sheetId="2">
        <row r="9">
          <cell r="G9" t="str">
            <v>--Select--</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to Ready Reckoners"/>
      <sheetName val="Guidance"/>
      <sheetName val="Key stage 2 Data Input"/>
      <sheetName val="Single Measure Ready Reckoner"/>
      <sheetName val="All Measures Ready Reckoner"/>
      <sheetName val="Model values"/>
      <sheetName val="Chart Data"/>
      <sheetName val="KS2 Fine grades lookup"/>
    </sheetNames>
    <sheetDataSet>
      <sheetData sheetId="0"/>
      <sheetData sheetId="1"/>
      <sheetData sheetId="2"/>
      <sheetData sheetId="3">
        <row r="9">
          <cell r="G9" t="str">
            <v>--Select--</v>
          </cell>
        </row>
      </sheetData>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KS1 Data Input"/>
      <sheetName val="KS2 Data Input"/>
      <sheetName val="Single Measure Ready Reckoner"/>
      <sheetName val="All Measures Ready Reckoner"/>
      <sheetName val="Prior Attainment Groups (PAGs)"/>
      <sheetName val="PAG Limits "/>
      <sheetName val="PAG Limits (data)"/>
      <sheetName val="KS2 Fine grades lookup"/>
    </sheetNames>
    <sheetDataSet>
      <sheetData sheetId="0"/>
      <sheetData sheetId="1"/>
      <sheetData sheetId="2"/>
      <sheetData sheetId="3">
        <row r="9">
          <cell r="G9" t="str">
            <v>KS1-2 reading progress measure</v>
          </cell>
        </row>
      </sheetData>
      <sheetData sheetId="4"/>
      <sheetData sheetId="5"/>
      <sheetData sheetId="6"/>
      <sheetData sheetId="7"/>
      <sheetData sheetId="8">
        <row r="6">
          <cell r="S6" t="str">
            <v>N</v>
          </cell>
          <cell r="T6">
            <v>0</v>
          </cell>
          <cell r="U6">
            <v>10</v>
          </cell>
          <cell r="V6">
            <v>0</v>
          </cell>
          <cell r="W6">
            <v>15</v>
          </cell>
        </row>
        <row r="7">
          <cell r="S7">
            <v>2</v>
          </cell>
          <cell r="V7">
            <v>16</v>
          </cell>
          <cell r="W7">
            <v>18</v>
          </cell>
        </row>
        <row r="8">
          <cell r="S8">
            <v>3</v>
          </cell>
          <cell r="T8">
            <v>11</v>
          </cell>
          <cell r="U8">
            <v>17</v>
          </cell>
          <cell r="V8">
            <v>19</v>
          </cell>
          <cell r="W8">
            <v>45</v>
          </cell>
        </row>
        <row r="9">
          <cell r="S9">
            <v>4</v>
          </cell>
          <cell r="T9">
            <v>18</v>
          </cell>
          <cell r="U9">
            <v>32</v>
          </cell>
          <cell r="V9">
            <v>46</v>
          </cell>
          <cell r="W9">
            <v>78</v>
          </cell>
        </row>
        <row r="10">
          <cell r="S10">
            <v>5</v>
          </cell>
          <cell r="T10">
            <v>33</v>
          </cell>
          <cell r="U10">
            <v>50</v>
          </cell>
          <cell r="V10">
            <v>79</v>
          </cell>
          <cell r="W10">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ableschecking.education.gov.uk/" TargetMode="External"/><Relationship Id="rId1" Type="http://schemas.openxmlformats.org/officeDocument/2006/relationships/hyperlink" Target="https://tableschecking.education.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gov.uk/government/publications/2018-performance-tables-discount-codes" TargetMode="External"/><Relationship Id="rId1" Type="http://schemas.openxmlformats.org/officeDocument/2006/relationships/hyperlink" Target="https://www.gov.uk/government/publications/english-baccalaureate-eligible-qualifications" TargetMode="Externa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theme="9" tint="0.59999389629810485"/>
  </sheetPr>
  <dimension ref="B1:K23"/>
  <sheetViews>
    <sheetView showGridLines="0" showRowColHeaders="0" tabSelected="1" workbookViewId="0">
      <selection activeCell="J11" sqref="J11"/>
    </sheetView>
  </sheetViews>
  <sheetFormatPr defaultRowHeight="12.75" x14ac:dyDescent="0.35"/>
  <cols>
    <col min="1" max="1" width="2.3984375" customWidth="1"/>
    <col min="4" max="4" width="11.3984375" customWidth="1"/>
    <col min="7" max="7" width="9" customWidth="1"/>
    <col min="9" max="9" width="8.265625" customWidth="1"/>
    <col min="10" max="10" width="11.59765625" customWidth="1"/>
  </cols>
  <sheetData>
    <row r="1" spans="2:11" ht="4.9000000000000004" customHeight="1" x14ac:dyDescent="0.35"/>
    <row r="2" spans="2:11" ht="17.649999999999999" x14ac:dyDescent="0.5">
      <c r="B2" s="207" t="s">
        <v>303</v>
      </c>
    </row>
    <row r="4" spans="2:11" x14ac:dyDescent="0.35">
      <c r="B4" s="208" t="s">
        <v>125</v>
      </c>
    </row>
    <row r="6" spans="2:11" ht="13.15" x14ac:dyDescent="0.4">
      <c r="B6" s="208" t="s">
        <v>129</v>
      </c>
    </row>
    <row r="7" spans="2:11" x14ac:dyDescent="0.35">
      <c r="B7" t="s">
        <v>128</v>
      </c>
    </row>
    <row r="9" spans="2:11" ht="13.15" x14ac:dyDescent="0.4">
      <c r="B9" s="208" t="s">
        <v>130</v>
      </c>
    </row>
    <row r="10" spans="2:11" x14ac:dyDescent="0.35">
      <c r="B10" s="208" t="s">
        <v>131</v>
      </c>
      <c r="K10" s="208"/>
    </row>
    <row r="11" spans="2:11" x14ac:dyDescent="0.35">
      <c r="B11" s="208" t="s">
        <v>126</v>
      </c>
      <c r="J11" s="209" t="s">
        <v>250</v>
      </c>
    </row>
    <row r="12" spans="2:11" x14ac:dyDescent="0.35">
      <c r="B12" s="208"/>
    </row>
    <row r="13" spans="2:11" ht="13.15" x14ac:dyDescent="0.4">
      <c r="B13" s="208" t="s">
        <v>135</v>
      </c>
    </row>
    <row r="14" spans="2:11" x14ac:dyDescent="0.35">
      <c r="B14" s="208" t="s">
        <v>132</v>
      </c>
    </row>
    <row r="16" spans="2:11" ht="13.15" x14ac:dyDescent="0.4">
      <c r="B16" s="208" t="s">
        <v>133</v>
      </c>
    </row>
    <row r="17" spans="2:11" x14ac:dyDescent="0.35">
      <c r="B17" s="208" t="s">
        <v>134</v>
      </c>
      <c r="K17" s="208"/>
    </row>
    <row r="18" spans="2:11" x14ac:dyDescent="0.35">
      <c r="B18" s="208" t="s">
        <v>126</v>
      </c>
      <c r="J18" s="209" t="s">
        <v>250</v>
      </c>
    </row>
    <row r="19" spans="2:11" x14ac:dyDescent="0.35">
      <c r="B19" s="208"/>
    </row>
    <row r="20" spans="2:11" ht="13.15" thickBot="1" x14ac:dyDescent="0.4"/>
    <row r="21" spans="2:11" x14ac:dyDescent="0.35">
      <c r="C21" s="329" t="s">
        <v>127</v>
      </c>
      <c r="D21" s="330"/>
    </row>
    <row r="22" spans="2:11" x14ac:dyDescent="0.35">
      <c r="C22" s="331"/>
      <c r="D22" s="332"/>
    </row>
    <row r="23" spans="2:11" ht="18.399999999999999" customHeight="1" thickBot="1" x14ac:dyDescent="0.4">
      <c r="C23" s="333"/>
      <c r="D23" s="334"/>
    </row>
  </sheetData>
  <sheetProtection algorithmName="SHA-512" hashValue="tWQIpJrXYvhJZOGQFgGsGaceeedO/j1nVtebfdRy9r7CzNC+JRPLxPnpl41OCsL4cXnXZZaeK1x++PKJf3a0uA==" saltValue="0yIs9Th57VgkGCgk5787tA==" spinCount="100000" sheet="1" objects="1" scenarios="1" selectLockedCells="1"/>
  <mergeCells count="1">
    <mergeCell ref="C21:D23"/>
  </mergeCells>
  <hyperlinks>
    <hyperlink ref="J18" r:id="rId1" xr:uid="{00000000-0004-0000-0000-000000000000}"/>
    <hyperlink ref="J11" r:id="rId2" xr:uid="{00000000-0004-0000-0000-000001000000}"/>
    <hyperlink ref="C21:D23" location="Guidance!A1" display="To Guidance  ---&gt;" xr:uid="{00000000-0004-0000-0000-000002000000}"/>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rgb="FF002060"/>
  </sheetPr>
  <dimension ref="C1:AH34"/>
  <sheetViews>
    <sheetView showGridLines="0" showRowColHeaders="0" workbookViewId="0">
      <selection activeCell="H18" sqref="H18:H20"/>
    </sheetView>
  </sheetViews>
  <sheetFormatPr defaultRowHeight="12.75" x14ac:dyDescent="0.35"/>
  <cols>
    <col min="1" max="1" width="2.73046875" customWidth="1"/>
    <col min="2" max="2" width="3.1328125" customWidth="1"/>
    <col min="3" max="5" width="28" customWidth="1"/>
    <col min="6" max="6" width="27.265625" customWidth="1"/>
    <col min="8" max="8" width="19.59765625" customWidth="1"/>
    <col min="10" max="11" width="9" customWidth="1"/>
    <col min="12" max="21" width="9.1328125" customWidth="1"/>
    <col min="22" max="22" width="9" style="208" customWidth="1"/>
    <col min="23" max="23" width="20.86328125" style="208" customWidth="1"/>
    <col min="24" max="24" width="8" style="208" customWidth="1"/>
    <col min="25" max="25" width="7.59765625" style="208" customWidth="1"/>
    <col min="26" max="26" width="12.265625" style="208" customWidth="1"/>
    <col min="27" max="27" width="18.3984375" style="208" customWidth="1"/>
    <col min="28" max="28" width="17" style="208" customWidth="1"/>
    <col min="29" max="29" width="20.73046875" style="208" customWidth="1"/>
    <col min="30" max="30" width="16" style="208" customWidth="1"/>
    <col min="31" max="31" width="17.59765625" style="208" customWidth="1"/>
    <col min="32" max="32" width="9" style="208" customWidth="1"/>
  </cols>
  <sheetData>
    <row r="1" spans="3:34" x14ac:dyDescent="0.35">
      <c r="L1" s="279"/>
      <c r="M1" s="279"/>
      <c r="N1" s="279"/>
      <c r="O1" s="279"/>
      <c r="P1" s="279"/>
      <c r="Q1" s="279"/>
      <c r="R1" s="279"/>
      <c r="S1" s="279"/>
      <c r="T1" s="279"/>
      <c r="U1" s="279"/>
      <c r="V1" s="280"/>
      <c r="W1" s="280"/>
      <c r="X1" s="280"/>
      <c r="Y1" s="280"/>
      <c r="Z1" s="248"/>
      <c r="AA1" s="248"/>
      <c r="AD1" s="248"/>
      <c r="AE1" s="248"/>
      <c r="AF1" s="248"/>
      <c r="AG1" s="248"/>
      <c r="AH1" s="208"/>
    </row>
    <row r="2" spans="3:34" ht="17.649999999999999" x14ac:dyDescent="0.5">
      <c r="C2" s="207" t="s">
        <v>265</v>
      </c>
      <c r="L2" s="279"/>
      <c r="M2" s="279"/>
      <c r="N2" s="279"/>
      <c r="O2" s="279"/>
      <c r="P2" s="279"/>
      <c r="Q2" s="279"/>
      <c r="R2" s="279"/>
      <c r="S2" s="279"/>
      <c r="T2" s="279"/>
      <c r="U2" s="279"/>
      <c r="V2" s="280"/>
      <c r="W2" s="266"/>
      <c r="X2" s="281"/>
      <c r="Y2" s="281"/>
      <c r="Z2" s="254"/>
      <c r="AA2" s="258"/>
      <c r="AB2" s="260"/>
      <c r="AC2" s="260"/>
      <c r="AD2" s="253"/>
      <c r="AE2" s="254"/>
      <c r="AF2" s="254"/>
      <c r="AG2" s="254"/>
      <c r="AH2" s="255"/>
    </row>
    <row r="3" spans="3:34" x14ac:dyDescent="0.35">
      <c r="L3" s="279"/>
      <c r="M3" s="279"/>
      <c r="N3" s="279"/>
      <c r="O3" s="279"/>
      <c r="P3" s="279"/>
      <c r="Q3" s="279"/>
      <c r="R3" s="279"/>
      <c r="S3" s="279"/>
      <c r="T3" s="279"/>
      <c r="U3" s="279"/>
      <c r="V3" s="280"/>
      <c r="W3" s="266"/>
      <c r="X3" s="279"/>
      <c r="Y3" s="279"/>
      <c r="Z3" s="252"/>
      <c r="AA3" s="252"/>
      <c r="AB3" s="249"/>
      <c r="AC3" s="250"/>
      <c r="AD3" s="250"/>
      <c r="AE3" s="250"/>
    </row>
    <row r="4" spans="3:34" ht="15" x14ac:dyDescent="0.4">
      <c r="C4" s="148" t="s">
        <v>269</v>
      </c>
      <c r="L4" s="279"/>
      <c r="M4" s="279"/>
      <c r="N4" s="279"/>
      <c r="O4" s="279"/>
      <c r="P4" s="279"/>
      <c r="Q4" s="279"/>
      <c r="R4" s="279"/>
      <c r="S4" s="279"/>
      <c r="T4" s="279"/>
      <c r="U4" s="279"/>
      <c r="V4" s="280"/>
      <c r="W4" s="266"/>
      <c r="X4" s="279"/>
      <c r="Y4" s="279"/>
      <c r="Z4" s="252"/>
      <c r="AA4" s="259"/>
      <c r="AB4" s="256"/>
      <c r="AC4" s="250"/>
      <c r="AD4" s="250"/>
      <c r="AE4" s="250"/>
    </row>
    <row r="5" spans="3:34" ht="15" x14ac:dyDescent="0.4">
      <c r="C5" s="148" t="s">
        <v>350</v>
      </c>
      <c r="L5" s="279"/>
      <c r="M5" s="279"/>
      <c r="N5" s="279"/>
      <c r="O5" s="279"/>
      <c r="P5" s="279"/>
      <c r="Q5" s="279"/>
      <c r="R5" s="279"/>
      <c r="S5" s="279"/>
      <c r="T5" s="279"/>
      <c r="U5" s="279"/>
      <c r="V5" s="280"/>
      <c r="W5" s="266"/>
      <c r="X5" s="279"/>
      <c r="Y5" s="279"/>
      <c r="Z5" s="252"/>
      <c r="AA5" s="259"/>
      <c r="AB5" s="256"/>
      <c r="AC5" s="250"/>
      <c r="AD5" s="250"/>
      <c r="AE5" s="250"/>
    </row>
    <row r="6" spans="3:34" ht="15" x14ac:dyDescent="0.4">
      <c r="C6" s="148" t="s">
        <v>270</v>
      </c>
      <c r="L6" s="279"/>
      <c r="M6" s="279"/>
      <c r="N6" s="279"/>
      <c r="O6" s="279"/>
      <c r="P6" s="279"/>
      <c r="Q6" s="279"/>
      <c r="R6" s="279"/>
      <c r="S6" s="279"/>
      <c r="T6" s="279"/>
      <c r="U6" s="279"/>
      <c r="V6" s="280"/>
      <c r="W6" s="266"/>
      <c r="X6" s="279"/>
      <c r="Y6" s="279"/>
      <c r="Z6" s="252"/>
      <c r="AA6" s="259"/>
      <c r="AB6" s="256"/>
      <c r="AC6" s="250"/>
      <c r="AD6" s="250"/>
      <c r="AE6" s="250"/>
    </row>
    <row r="7" spans="3:34" ht="15" x14ac:dyDescent="0.4">
      <c r="C7" s="235" t="s">
        <v>271</v>
      </c>
      <c r="L7" s="279"/>
      <c r="M7" s="279"/>
      <c r="N7" s="279"/>
      <c r="O7" s="279"/>
      <c r="P7" s="279"/>
      <c r="Q7" s="279"/>
      <c r="R7" s="279"/>
      <c r="S7" s="279"/>
      <c r="T7" s="279"/>
      <c r="U7" s="279"/>
      <c r="V7" s="280"/>
      <c r="W7" s="266"/>
      <c r="X7" s="279"/>
      <c r="Y7" s="279"/>
      <c r="Z7" s="252"/>
      <c r="AA7" s="259"/>
      <c r="AB7" s="256"/>
      <c r="AC7" s="250"/>
      <c r="AD7" s="250"/>
      <c r="AE7" s="250"/>
    </row>
    <row r="8" spans="3:34" x14ac:dyDescent="0.35">
      <c r="L8" s="279"/>
      <c r="M8" s="279"/>
      <c r="N8" s="279"/>
      <c r="O8" s="279"/>
      <c r="P8" s="279"/>
      <c r="Q8" s="279"/>
      <c r="R8" s="279"/>
      <c r="S8" s="279"/>
      <c r="T8" s="279"/>
      <c r="U8" s="279"/>
      <c r="V8" s="280"/>
      <c r="W8" s="266"/>
      <c r="X8" s="279"/>
      <c r="Y8" s="279"/>
      <c r="Z8" s="252"/>
      <c r="AA8" s="259"/>
      <c r="AB8" s="256"/>
      <c r="AC8" s="250"/>
      <c r="AD8" s="250"/>
      <c r="AE8" s="250"/>
    </row>
    <row r="9" spans="3:34" ht="45.75" customHeight="1" x14ac:dyDescent="0.35">
      <c r="C9" s="230" t="s">
        <v>266</v>
      </c>
      <c r="D9" s="230" t="s">
        <v>273</v>
      </c>
      <c r="E9" s="230" t="s">
        <v>352</v>
      </c>
      <c r="F9" s="230" t="s">
        <v>274</v>
      </c>
      <c r="L9" s="279"/>
      <c r="M9" s="279"/>
      <c r="N9" s="279"/>
      <c r="O9" s="279"/>
      <c r="P9" s="279"/>
      <c r="Q9" s="279"/>
      <c r="R9" s="279"/>
      <c r="S9" s="279"/>
      <c r="T9" s="279"/>
      <c r="U9" s="279"/>
      <c r="V9" s="279"/>
      <c r="W9" s="266"/>
      <c r="X9" s="279"/>
      <c r="Y9" s="279"/>
      <c r="Z9" s="252"/>
      <c r="AA9" s="259"/>
      <c r="AB9" s="256"/>
      <c r="AC9" s="250"/>
      <c r="AD9" s="250"/>
      <c r="AE9" s="250"/>
    </row>
    <row r="10" spans="3:34" ht="14.25" customHeight="1" x14ac:dyDescent="0.35">
      <c r="C10" s="238" t="s">
        <v>272</v>
      </c>
      <c r="D10" s="264" t="s">
        <v>301</v>
      </c>
      <c r="E10" s="239"/>
      <c r="F10" s="240" t="s">
        <v>267</v>
      </c>
      <c r="L10" s="279"/>
      <c r="M10" s="279"/>
      <c r="N10" s="279"/>
      <c r="O10" s="279"/>
      <c r="P10" s="279"/>
      <c r="Q10" s="279"/>
      <c r="R10" s="279"/>
      <c r="S10" s="279"/>
      <c r="T10" s="279"/>
      <c r="U10" s="279"/>
      <c r="V10" s="279"/>
      <c r="W10" s="266"/>
      <c r="X10" s="279"/>
      <c r="Y10" s="279"/>
      <c r="Z10" s="252"/>
      <c r="AA10" s="259"/>
      <c r="AB10" s="256"/>
      <c r="AC10" s="250"/>
      <c r="AD10" s="249"/>
      <c r="AE10" s="249"/>
    </row>
    <row r="11" spans="3:34" ht="15" x14ac:dyDescent="0.35">
      <c r="C11" s="236">
        <v>19</v>
      </c>
      <c r="D11" s="237" t="s">
        <v>275</v>
      </c>
      <c r="E11" s="257">
        <f>'Model values'!C27</f>
        <v>34.200000000000003</v>
      </c>
      <c r="F11" s="257">
        <v>-3.5273278227724298</v>
      </c>
      <c r="G11" s="231"/>
      <c r="L11" s="279"/>
      <c r="M11" s="279"/>
      <c r="N11" s="279"/>
      <c r="O11" s="279"/>
      <c r="P11" s="279"/>
      <c r="Q11" s="279"/>
      <c r="R11" s="279"/>
      <c r="S11" s="279"/>
      <c r="T11" s="279"/>
      <c r="U11" s="279"/>
      <c r="V11" s="279"/>
      <c r="W11" s="266"/>
      <c r="X11" s="279"/>
      <c r="Y11" s="279"/>
      <c r="Z11" s="252"/>
      <c r="AA11" s="259"/>
      <c r="AB11" s="256"/>
      <c r="AC11" s="250"/>
      <c r="AD11" s="249"/>
      <c r="AE11" s="249"/>
    </row>
    <row r="12" spans="3:34" ht="15" x14ac:dyDescent="0.35">
      <c r="C12" s="236">
        <v>20</v>
      </c>
      <c r="D12" s="237" t="s">
        <v>276</v>
      </c>
      <c r="E12" s="257">
        <f>'Model values'!C28</f>
        <v>36.020000000000003</v>
      </c>
      <c r="F12" s="257">
        <v>-3.5903245543201199</v>
      </c>
      <c r="G12" s="231"/>
      <c r="L12" s="279"/>
      <c r="M12" s="279"/>
      <c r="N12" s="279"/>
      <c r="O12" s="279"/>
      <c r="P12" s="279"/>
      <c r="Q12" s="279"/>
      <c r="R12" s="279"/>
      <c r="S12" s="279"/>
      <c r="T12" s="279"/>
      <c r="U12" s="279"/>
      <c r="V12" s="279"/>
      <c r="W12" s="266"/>
      <c r="X12" s="279"/>
      <c r="Y12" s="279"/>
      <c r="Z12" s="252"/>
      <c r="AA12" s="259"/>
      <c r="AB12" s="256"/>
      <c r="AC12" s="250"/>
      <c r="AD12" s="249"/>
      <c r="AE12" s="249"/>
    </row>
    <row r="13" spans="3:34" ht="15" x14ac:dyDescent="0.35">
      <c r="C13" s="236">
        <v>21</v>
      </c>
      <c r="D13" s="237" t="s">
        <v>277</v>
      </c>
      <c r="E13" s="257">
        <f>'Model values'!C29</f>
        <v>37.68</v>
      </c>
      <c r="F13" s="257">
        <v>-3.61057400003665</v>
      </c>
      <c r="G13" s="232"/>
      <c r="L13" s="279"/>
      <c r="M13" s="279"/>
      <c r="N13" s="279"/>
      <c r="O13" s="279"/>
      <c r="P13" s="279"/>
      <c r="Q13" s="279"/>
      <c r="R13" s="279"/>
      <c r="S13" s="279"/>
      <c r="T13" s="279"/>
      <c r="U13" s="279"/>
      <c r="V13" s="279"/>
      <c r="W13" s="266"/>
      <c r="X13" s="279"/>
      <c r="Y13" s="279"/>
      <c r="Z13" s="252"/>
      <c r="AA13" s="259"/>
      <c r="AB13" s="256"/>
      <c r="AC13" s="250"/>
      <c r="AD13" s="249"/>
      <c r="AE13" s="249"/>
    </row>
    <row r="14" spans="3:34" ht="15" x14ac:dyDescent="0.35">
      <c r="C14" s="236">
        <v>22</v>
      </c>
      <c r="D14" s="237" t="s">
        <v>278</v>
      </c>
      <c r="E14" s="257">
        <f>'Model values'!C30</f>
        <v>39.76</v>
      </c>
      <c r="F14" s="257">
        <v>-3.64594521821319</v>
      </c>
      <c r="G14" s="232"/>
      <c r="L14" s="279"/>
      <c r="M14" s="279"/>
      <c r="N14" s="279"/>
      <c r="O14" s="279"/>
      <c r="P14" s="279"/>
      <c r="Q14" s="279"/>
      <c r="R14" s="279"/>
      <c r="S14" s="279"/>
      <c r="T14" s="279"/>
      <c r="U14" s="279"/>
      <c r="V14" s="279"/>
      <c r="W14" s="266"/>
      <c r="X14" s="279"/>
      <c r="Y14" s="279"/>
      <c r="Z14" s="252"/>
      <c r="AA14" s="259"/>
      <c r="AB14" s="256"/>
      <c r="AC14" s="250"/>
      <c r="AD14" s="249"/>
      <c r="AE14" s="249"/>
    </row>
    <row r="15" spans="3:34" ht="15" x14ac:dyDescent="0.35">
      <c r="C15" s="236">
        <v>23</v>
      </c>
      <c r="D15" s="237" t="s">
        <v>279</v>
      </c>
      <c r="E15" s="257">
        <f>'Model values'!C31</f>
        <v>41.93</v>
      </c>
      <c r="F15" s="257">
        <v>-3.6805993959018202</v>
      </c>
      <c r="G15" s="231"/>
      <c r="L15" s="279"/>
      <c r="M15" s="279"/>
      <c r="N15" s="279"/>
      <c r="O15" s="279"/>
      <c r="P15" s="279"/>
      <c r="Q15" s="279"/>
      <c r="R15" s="279"/>
      <c r="S15" s="279"/>
      <c r="T15" s="279"/>
      <c r="U15" s="279"/>
      <c r="V15" s="279"/>
      <c r="W15" s="266"/>
      <c r="X15" s="279"/>
      <c r="Y15" s="279"/>
      <c r="Z15" s="252"/>
      <c r="AA15" s="259"/>
      <c r="AB15" s="256"/>
      <c r="AC15" s="250"/>
      <c r="AD15" s="249"/>
      <c r="AE15" s="249"/>
    </row>
    <row r="16" spans="3:34" ht="15" x14ac:dyDescent="0.35">
      <c r="C16" s="236">
        <v>24</v>
      </c>
      <c r="D16" s="237" t="s">
        <v>280</v>
      </c>
      <c r="E16" s="257">
        <f>'Model values'!C32</f>
        <v>44.25</v>
      </c>
      <c r="F16" s="257">
        <v>-3.6854713803021899</v>
      </c>
      <c r="G16" s="231"/>
      <c r="L16" s="279"/>
      <c r="M16" s="279"/>
      <c r="N16" s="279"/>
      <c r="O16" s="279"/>
      <c r="P16" s="279"/>
      <c r="Q16" s="279"/>
      <c r="R16" s="279"/>
      <c r="S16" s="279"/>
      <c r="T16" s="279"/>
      <c r="U16" s="279"/>
      <c r="V16" s="279"/>
      <c r="W16" s="266"/>
      <c r="X16" s="279"/>
      <c r="Y16" s="279"/>
      <c r="Z16" s="252"/>
      <c r="AA16" s="259"/>
      <c r="AB16" s="256"/>
      <c r="AC16" s="250"/>
      <c r="AD16" s="249"/>
      <c r="AE16" s="249"/>
    </row>
    <row r="17" spans="3:31" ht="15.4" thickBot="1" x14ac:dyDescent="0.4">
      <c r="C17" s="236">
        <v>25</v>
      </c>
      <c r="D17" s="237" t="s">
        <v>281</v>
      </c>
      <c r="E17" s="257">
        <f>'Model values'!C33</f>
        <v>46.51</v>
      </c>
      <c r="F17" s="257">
        <v>-3.7281102762921701</v>
      </c>
      <c r="K17" s="233"/>
      <c r="L17" s="279"/>
      <c r="M17" s="279"/>
      <c r="N17" s="279"/>
      <c r="O17" s="279"/>
      <c r="P17" s="279"/>
      <c r="Q17" s="279"/>
      <c r="R17" s="279"/>
      <c r="S17" s="279"/>
      <c r="T17" s="279"/>
      <c r="U17" s="279"/>
      <c r="V17" s="279"/>
      <c r="W17" s="266"/>
      <c r="X17" s="279"/>
      <c r="Y17" s="279"/>
      <c r="Z17" s="252"/>
      <c r="AA17" s="259"/>
      <c r="AB17" s="256"/>
      <c r="AC17" s="250"/>
      <c r="AD17" s="249"/>
      <c r="AE17" s="249"/>
    </row>
    <row r="18" spans="3:31" ht="15" x14ac:dyDescent="0.35">
      <c r="C18" s="236">
        <v>26</v>
      </c>
      <c r="D18" s="237" t="s">
        <v>282</v>
      </c>
      <c r="E18" s="257">
        <f>'Model values'!C34</f>
        <v>49.19</v>
      </c>
      <c r="F18" s="257">
        <v>-3.73598660475231</v>
      </c>
      <c r="H18" s="434" t="s">
        <v>268</v>
      </c>
      <c r="K18" s="233"/>
      <c r="L18" s="279"/>
      <c r="M18" s="279"/>
      <c r="N18" s="279"/>
      <c r="O18" s="279"/>
      <c r="P18" s="279"/>
      <c r="Q18" s="279"/>
      <c r="R18" s="279"/>
      <c r="S18" s="279"/>
      <c r="T18" s="279"/>
      <c r="U18" s="279"/>
      <c r="V18" s="279"/>
      <c r="W18" s="266"/>
      <c r="X18" s="279"/>
      <c r="Y18" s="279"/>
      <c r="Z18" s="252"/>
      <c r="AA18" s="259"/>
      <c r="AB18" s="256"/>
      <c r="AC18" s="250"/>
      <c r="AD18" s="249"/>
      <c r="AE18" s="249"/>
    </row>
    <row r="19" spans="3:31" ht="15" x14ac:dyDescent="0.35">
      <c r="C19" s="236">
        <v>27</v>
      </c>
      <c r="D19" s="237" t="s">
        <v>283</v>
      </c>
      <c r="E19" s="257">
        <f>'Model values'!C35</f>
        <v>52.05</v>
      </c>
      <c r="F19" s="257">
        <v>-3.70201055837782</v>
      </c>
      <c r="H19" s="435"/>
      <c r="K19" s="233"/>
      <c r="L19" s="279"/>
      <c r="M19" s="279"/>
      <c r="N19" s="279"/>
      <c r="O19" s="279"/>
      <c r="P19" s="279"/>
      <c r="Q19" s="279"/>
      <c r="R19" s="279"/>
      <c r="S19" s="279"/>
      <c r="T19" s="279"/>
      <c r="U19" s="279"/>
      <c r="V19" s="279"/>
      <c r="W19" s="266"/>
      <c r="X19" s="279"/>
      <c r="Y19" s="279"/>
      <c r="Z19" s="252"/>
      <c r="AA19" s="259"/>
      <c r="AB19" s="256"/>
      <c r="AC19" s="250"/>
      <c r="AD19" s="249"/>
      <c r="AE19" s="249"/>
    </row>
    <row r="20" spans="3:31" ht="15.4" thickBot="1" x14ac:dyDescent="0.4">
      <c r="C20" s="236">
        <v>28</v>
      </c>
      <c r="D20" s="237" t="s">
        <v>284</v>
      </c>
      <c r="E20" s="257">
        <f>'Model values'!C36</f>
        <v>54.85</v>
      </c>
      <c r="F20" s="257">
        <v>-3.75866231537558</v>
      </c>
      <c r="H20" s="436"/>
      <c r="K20" s="233"/>
      <c r="L20" s="279"/>
      <c r="M20" s="279"/>
      <c r="N20" s="279"/>
      <c r="O20" s="279"/>
      <c r="P20" s="279"/>
      <c r="Q20" s="279"/>
      <c r="R20" s="279"/>
      <c r="S20" s="279"/>
      <c r="T20" s="279"/>
      <c r="U20" s="279"/>
      <c r="V20" s="279"/>
      <c r="W20" s="279"/>
      <c r="X20" s="279"/>
      <c r="Y20" s="279"/>
      <c r="AB20" s="250"/>
      <c r="AC20" s="249"/>
      <c r="AD20" s="249"/>
      <c r="AE20" s="249"/>
    </row>
    <row r="21" spans="3:31" ht="15.4" thickBot="1" x14ac:dyDescent="0.4">
      <c r="C21" s="236">
        <v>29</v>
      </c>
      <c r="D21" s="237" t="s">
        <v>285</v>
      </c>
      <c r="E21" s="257">
        <f>'Model values'!C37</f>
        <v>58.09</v>
      </c>
      <c r="F21" s="257">
        <v>-3.6835981815082102</v>
      </c>
      <c r="K21" s="233"/>
      <c r="L21" s="279"/>
      <c r="M21" s="279"/>
      <c r="N21" s="279"/>
      <c r="O21" s="279"/>
      <c r="P21" s="279"/>
      <c r="Q21" s="279"/>
      <c r="R21" s="279"/>
      <c r="S21" s="279"/>
      <c r="T21" s="279"/>
      <c r="U21" s="279"/>
      <c r="V21" s="279"/>
      <c r="W21" s="279"/>
      <c r="X21" s="279"/>
      <c r="Y21" s="279"/>
      <c r="AB21" s="250"/>
      <c r="AC21" s="249"/>
      <c r="AD21" s="249"/>
      <c r="AE21" s="249"/>
    </row>
    <row r="22" spans="3:31" ht="15" x14ac:dyDescent="0.35">
      <c r="C22" s="236">
        <v>30</v>
      </c>
      <c r="D22" s="237" t="s">
        <v>286</v>
      </c>
      <c r="E22" s="257">
        <f>'Model values'!C38</f>
        <v>61.6</v>
      </c>
      <c r="F22" s="257">
        <v>-3.6273966592354099</v>
      </c>
      <c r="H22" s="437" t="s">
        <v>116</v>
      </c>
      <c r="K22" s="233"/>
      <c r="L22" s="279"/>
      <c r="M22" s="279"/>
      <c r="N22" s="279"/>
      <c r="O22" s="279"/>
      <c r="P22" s="279"/>
      <c r="Q22" s="279"/>
      <c r="R22" s="279"/>
      <c r="S22" s="279"/>
      <c r="T22" s="279"/>
      <c r="U22" s="279"/>
      <c r="V22" s="279"/>
      <c r="W22" s="279"/>
      <c r="X22" s="279"/>
      <c r="Y22" s="279"/>
      <c r="AB22" s="250"/>
      <c r="AC22" s="249"/>
      <c r="AD22" s="249"/>
      <c r="AE22" s="249"/>
    </row>
    <row r="23" spans="3:31" ht="15" x14ac:dyDescent="0.35">
      <c r="C23" s="236">
        <v>31</v>
      </c>
      <c r="D23" s="237" t="s">
        <v>287</v>
      </c>
      <c r="E23" s="257">
        <f>'Model values'!C39</f>
        <v>65.28</v>
      </c>
      <c r="F23" s="257">
        <v>-3.53348658913364</v>
      </c>
      <c r="H23" s="438"/>
      <c r="K23" s="233"/>
      <c r="L23" s="279"/>
      <c r="M23" s="279"/>
      <c r="N23" s="279"/>
      <c r="O23" s="279"/>
      <c r="P23" s="279"/>
      <c r="Q23" s="279"/>
      <c r="R23" s="279"/>
      <c r="S23" s="279"/>
      <c r="T23" s="279"/>
      <c r="U23" s="279"/>
      <c r="V23" s="279"/>
      <c r="W23" s="279"/>
      <c r="X23" s="279"/>
      <c r="Y23" s="279"/>
      <c r="AB23" s="250"/>
      <c r="AC23" s="249"/>
      <c r="AD23" s="249"/>
      <c r="AE23" s="249"/>
    </row>
    <row r="24" spans="3:31" ht="15.4" thickBot="1" x14ac:dyDescent="0.4">
      <c r="C24" s="236">
        <v>32</v>
      </c>
      <c r="D24" s="237" t="s">
        <v>288</v>
      </c>
      <c r="E24" s="257">
        <f>'Model values'!C40</f>
        <v>69.67</v>
      </c>
      <c r="F24" s="257">
        <v>-3.3787448050813702</v>
      </c>
      <c r="H24" s="439"/>
      <c r="K24" s="233"/>
      <c r="L24" s="279"/>
      <c r="M24" s="279"/>
      <c r="N24" s="279"/>
      <c r="O24" s="279"/>
      <c r="P24" s="279"/>
      <c r="Q24" s="279"/>
      <c r="R24" s="279"/>
      <c r="S24" s="279"/>
      <c r="T24" s="279"/>
      <c r="U24" s="279"/>
      <c r="V24" s="279"/>
      <c r="W24" s="279"/>
      <c r="X24" s="279"/>
      <c r="Y24" s="279"/>
      <c r="AB24" s="250"/>
      <c r="AC24" s="249"/>
      <c r="AD24" s="249"/>
      <c r="AE24" s="249"/>
    </row>
    <row r="25" spans="3:31" ht="15.4" thickBot="1" x14ac:dyDescent="0.4">
      <c r="C25" s="236">
        <v>33</v>
      </c>
      <c r="D25" s="237" t="s">
        <v>289</v>
      </c>
      <c r="E25" s="257">
        <f>'Model values'!C41</f>
        <v>74.31</v>
      </c>
      <c r="F25" s="257">
        <v>-3.07259908824029</v>
      </c>
      <c r="K25" s="233"/>
      <c r="L25" s="279"/>
      <c r="M25" s="279"/>
      <c r="N25" s="279"/>
      <c r="O25" s="279"/>
      <c r="P25" s="279"/>
      <c r="Q25" s="279"/>
      <c r="R25" s="279"/>
      <c r="S25" s="279"/>
      <c r="T25" s="279"/>
      <c r="U25" s="279"/>
      <c r="V25" s="279"/>
      <c r="W25" s="279"/>
      <c r="X25" s="279"/>
      <c r="Y25" s="279"/>
      <c r="AB25" s="250"/>
      <c r="AC25" s="249"/>
      <c r="AD25" s="249"/>
      <c r="AE25" s="249"/>
    </row>
    <row r="26" spans="3:31" ht="15" x14ac:dyDescent="0.35">
      <c r="C26" s="236">
        <v>34</v>
      </c>
      <c r="D26" s="237" t="s">
        <v>290</v>
      </c>
      <c r="E26" s="257">
        <f>'Model values'!C42</f>
        <v>79.19</v>
      </c>
      <c r="F26" s="257">
        <v>-2.68503314607511</v>
      </c>
      <c r="H26" s="437" t="s">
        <v>117</v>
      </c>
      <c r="K26" s="233"/>
      <c r="L26" s="279"/>
      <c r="M26" s="279"/>
      <c r="N26" s="279"/>
      <c r="O26" s="279"/>
      <c r="P26" s="279"/>
      <c r="Q26" s="279"/>
      <c r="R26" s="279"/>
      <c r="S26" s="279"/>
      <c r="T26" s="279"/>
      <c r="U26" s="279"/>
      <c r="V26" s="279"/>
      <c r="W26" s="279"/>
      <c r="X26" s="279"/>
      <c r="Y26" s="279"/>
      <c r="AB26" s="250"/>
      <c r="AC26" s="249"/>
      <c r="AD26" s="250"/>
      <c r="AE26" s="249"/>
    </row>
    <row r="27" spans="3:31" ht="15" x14ac:dyDescent="0.35">
      <c r="C27" s="241"/>
      <c r="D27" s="242"/>
      <c r="E27" s="242"/>
      <c r="F27" s="243"/>
      <c r="H27" s="438"/>
      <c r="J27" s="233"/>
      <c r="K27" s="233"/>
      <c r="L27" s="279"/>
      <c r="M27" s="279"/>
      <c r="N27" s="279"/>
      <c r="O27" s="279"/>
      <c r="P27" s="279"/>
      <c r="Q27" s="279"/>
      <c r="R27" s="279"/>
      <c r="S27" s="279"/>
      <c r="T27" s="279"/>
      <c r="U27" s="279"/>
      <c r="V27" s="279"/>
      <c r="W27" s="279"/>
      <c r="X27" s="279"/>
      <c r="Y27" s="279"/>
      <c r="AB27" s="251"/>
    </row>
    <row r="28" spans="3:31" ht="15.4" thickBot="1" x14ac:dyDescent="0.4">
      <c r="C28" s="244"/>
      <c r="D28" s="245"/>
      <c r="E28" s="245"/>
      <c r="F28" s="246"/>
      <c r="H28" s="439"/>
      <c r="J28" s="233"/>
      <c r="K28" s="233"/>
      <c r="L28" s="279"/>
      <c r="M28" s="279"/>
      <c r="N28" s="279"/>
      <c r="O28" s="279"/>
      <c r="P28" s="279"/>
      <c r="Q28" s="279"/>
      <c r="R28" s="279"/>
      <c r="S28" s="279"/>
      <c r="T28" s="279"/>
      <c r="U28" s="279"/>
      <c r="V28" s="279"/>
      <c r="W28" s="279"/>
      <c r="X28" s="279"/>
      <c r="Y28" s="279"/>
      <c r="AB28" s="251"/>
      <c r="AC28" s="251"/>
    </row>
    <row r="29" spans="3:31" ht="15" x14ac:dyDescent="0.35">
      <c r="C29" s="244"/>
      <c r="D29" s="245"/>
      <c r="E29" s="245"/>
      <c r="F29" s="246"/>
      <c r="J29" s="233"/>
      <c r="K29" s="233"/>
      <c r="L29" s="279"/>
      <c r="M29" s="279"/>
      <c r="N29" s="279"/>
      <c r="O29" s="279"/>
      <c r="P29" s="279"/>
      <c r="Q29" s="279"/>
      <c r="R29" s="279"/>
      <c r="S29" s="279"/>
      <c r="T29" s="279"/>
      <c r="U29" s="279"/>
      <c r="V29" s="279"/>
      <c r="W29" s="279"/>
      <c r="X29" s="279"/>
      <c r="Y29" s="279"/>
    </row>
    <row r="30" spans="3:31" ht="15" x14ac:dyDescent="0.35">
      <c r="C30" s="244"/>
      <c r="D30" s="245"/>
      <c r="E30" s="245"/>
      <c r="F30" s="246"/>
      <c r="J30" s="233"/>
      <c r="K30" s="233"/>
      <c r="L30" s="279"/>
      <c r="M30" s="279"/>
      <c r="N30" s="279"/>
      <c r="O30" s="279"/>
      <c r="P30" s="279"/>
      <c r="Q30" s="279"/>
      <c r="R30" s="279"/>
      <c r="S30" s="279"/>
      <c r="T30" s="279"/>
      <c r="U30" s="279"/>
      <c r="V30" s="279"/>
      <c r="W30" s="279"/>
      <c r="X30" s="279"/>
      <c r="Y30" s="279"/>
    </row>
    <row r="31" spans="3:31" ht="15" x14ac:dyDescent="0.35">
      <c r="C31" s="244"/>
      <c r="D31" s="245"/>
      <c r="E31" s="245"/>
      <c r="F31" s="246"/>
      <c r="J31" s="233"/>
      <c r="K31" s="233"/>
      <c r="L31" s="279"/>
      <c r="M31" s="279"/>
      <c r="N31" s="279"/>
      <c r="O31" s="279"/>
      <c r="P31" s="279"/>
      <c r="Q31" s="279"/>
      <c r="R31" s="279"/>
      <c r="S31" s="279"/>
      <c r="T31" s="279"/>
      <c r="U31" s="279"/>
      <c r="V31" s="279"/>
      <c r="W31" s="279"/>
      <c r="X31" s="279"/>
      <c r="Y31" s="279"/>
    </row>
    <row r="32" spans="3:31" ht="15" x14ac:dyDescent="0.35">
      <c r="C32" s="244"/>
      <c r="D32" s="245"/>
      <c r="E32" s="245"/>
      <c r="F32" s="246"/>
      <c r="J32" s="233"/>
      <c r="K32" s="233"/>
      <c r="L32" s="279"/>
      <c r="M32" s="279"/>
      <c r="N32" s="279"/>
      <c r="O32" s="279"/>
      <c r="P32" s="279"/>
      <c r="Q32" s="279"/>
      <c r="R32" s="279"/>
      <c r="S32" s="279"/>
      <c r="T32" s="279"/>
      <c r="U32" s="279"/>
      <c r="V32" s="279"/>
      <c r="W32" s="279"/>
      <c r="X32" s="279"/>
      <c r="Y32" s="279"/>
    </row>
    <row r="33" spans="3:25" ht="15" x14ac:dyDescent="0.35">
      <c r="C33" s="244"/>
      <c r="D33" s="245"/>
      <c r="E33" s="245"/>
      <c r="F33" s="246"/>
      <c r="G33" s="234"/>
      <c r="H33" s="234"/>
      <c r="J33" s="233"/>
      <c r="K33" s="233"/>
      <c r="L33" s="279"/>
      <c r="M33" s="279"/>
      <c r="N33" s="279"/>
      <c r="O33" s="279"/>
      <c r="P33" s="279"/>
      <c r="Q33" s="279"/>
      <c r="R33" s="279"/>
      <c r="S33" s="279"/>
      <c r="T33" s="279"/>
      <c r="U33" s="279"/>
      <c r="V33" s="279"/>
      <c r="W33" s="279"/>
      <c r="X33" s="279"/>
      <c r="Y33" s="279"/>
    </row>
    <row r="34" spans="3:25" x14ac:dyDescent="0.35">
      <c r="L34" s="279"/>
      <c r="M34" s="279"/>
      <c r="N34" s="279"/>
      <c r="O34" s="279"/>
      <c r="P34" s="279"/>
      <c r="Q34" s="279"/>
      <c r="R34" s="279"/>
      <c r="S34" s="279"/>
      <c r="T34" s="279"/>
      <c r="U34" s="279"/>
      <c r="V34" s="279"/>
      <c r="W34" s="279"/>
      <c r="X34" s="279"/>
      <c r="Y34" s="279"/>
    </row>
  </sheetData>
  <sheetProtection algorithmName="SHA-512" hashValue="u0mD0AIPHblG/r+UfxMlX/4fqGMv6TKLQvbV6F5CO3sbxpl6NZNHE//p6bDWfvZy2331VaJdcFdjy349mSW4Ig==" saltValue="VWhqdFPN97xWbSlH11xHwA==" spinCount="100000" sheet="1" objects="1" scenarios="1" selectLockedCells="1"/>
  <mergeCells count="3">
    <mergeCell ref="H18:H20"/>
    <mergeCell ref="H22:H24"/>
    <mergeCell ref="H26:H28"/>
  </mergeCells>
  <hyperlinks>
    <hyperlink ref="H18:H19" location="'1 Measure Ready Reckoner'!A1" display="Back to Single Measure Ready Reckoner &lt;---" xr:uid="{00000000-0004-0000-0900-000000000000}"/>
    <hyperlink ref="H22:H23" location="'All Measures Ready Reckoner'!A1" display="Back to All Measures Ready Reckoner &lt;---" xr:uid="{00000000-0004-0000-0900-000001000000}"/>
    <hyperlink ref="H26:H27" location="Guidance!A1" display="Back to Ready Reckoner Guidance &lt;---" xr:uid="{00000000-0004-0000-0900-000002000000}"/>
    <hyperlink ref="H18:H20" location="'Single Measure Ready Reckoner'!A1" display="Back to Single Measure Ready Reckoner &lt;---" xr:uid="{00000000-0004-0000-0900-000003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D7:D24"/>
  <sheetViews>
    <sheetView workbookViewId="0">
      <selection activeCell="D6" sqref="D6"/>
    </sheetView>
  </sheetViews>
  <sheetFormatPr defaultRowHeight="12.75" x14ac:dyDescent="0.35"/>
  <cols>
    <col min="3" max="4" width="58.86328125" customWidth="1"/>
  </cols>
  <sheetData>
    <row r="7" spans="4:4" x14ac:dyDescent="0.35">
      <c r="D7">
        <v>0</v>
      </c>
    </row>
    <row r="8" spans="4:4" x14ac:dyDescent="0.35">
      <c r="D8">
        <v>600</v>
      </c>
    </row>
    <row r="9" spans="4:4" x14ac:dyDescent="0.35">
      <c r="D9">
        <v>0</v>
      </c>
    </row>
    <row r="10" spans="4:4" x14ac:dyDescent="0.35">
      <c r="D10">
        <v>99</v>
      </c>
    </row>
    <row r="12" spans="4:4" ht="272.25" customHeight="1" x14ac:dyDescent="0.35"/>
    <row r="23" spans="4:4" x14ac:dyDescent="0.35">
      <c r="D23" s="28"/>
    </row>
    <row r="24" spans="4:4" ht="12.75" customHeight="1" x14ac:dyDescent="0.35"/>
  </sheetData>
  <phoneticPr fontId="4"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59999389629810485"/>
    <pageSetUpPr fitToPage="1"/>
  </sheetPr>
  <dimension ref="B2:U67"/>
  <sheetViews>
    <sheetView showGridLines="0" showRowColHeaders="0" zoomScale="70" zoomScaleNormal="70" workbookViewId="0"/>
  </sheetViews>
  <sheetFormatPr defaultColWidth="9.1328125" defaultRowHeight="12.75" x14ac:dyDescent="0.35"/>
  <cols>
    <col min="1" max="1" width="2.1328125" style="60" customWidth="1"/>
    <col min="2" max="2" width="10.265625" style="60" customWidth="1"/>
    <col min="3" max="16" width="9.1328125" style="60"/>
    <col min="17" max="17" width="17.86328125" style="60" customWidth="1"/>
    <col min="18" max="19" width="13.73046875" style="60" customWidth="1"/>
    <col min="20" max="20" width="11.265625" style="60" customWidth="1"/>
    <col min="21" max="16384" width="9.1328125" style="60"/>
  </cols>
  <sheetData>
    <row r="2" spans="2:17" ht="17.649999999999999" x14ac:dyDescent="0.5">
      <c r="B2" s="100" t="s">
        <v>304</v>
      </c>
      <c r="C2" s="101"/>
      <c r="D2" s="101"/>
      <c r="E2" s="101"/>
      <c r="F2" s="101"/>
      <c r="G2" s="101"/>
      <c r="H2" s="101"/>
      <c r="I2" s="101"/>
      <c r="J2" s="101"/>
      <c r="K2" s="101"/>
      <c r="L2" s="101"/>
      <c r="M2" s="101"/>
      <c r="N2" s="101"/>
      <c r="O2" s="101"/>
      <c r="P2" s="101"/>
      <c r="Q2" s="101"/>
    </row>
    <row r="3" spans="2:17" ht="17.649999999999999" x14ac:dyDescent="0.5">
      <c r="B3" s="100"/>
      <c r="C3" s="101"/>
      <c r="D3" s="101"/>
      <c r="E3" s="101"/>
      <c r="F3" s="101"/>
      <c r="G3" s="101"/>
      <c r="H3" s="101"/>
      <c r="I3" s="101"/>
      <c r="J3" s="101"/>
      <c r="K3" s="101"/>
      <c r="L3" s="101"/>
      <c r="M3" s="101"/>
      <c r="N3" s="101"/>
      <c r="O3" s="101"/>
      <c r="P3" s="101"/>
      <c r="Q3" s="101"/>
    </row>
    <row r="4" spans="2:17" ht="15" x14ac:dyDescent="0.4">
      <c r="B4" s="102" t="s">
        <v>136</v>
      </c>
      <c r="C4" s="101"/>
      <c r="D4" s="101"/>
      <c r="E4" s="101"/>
      <c r="F4" s="101"/>
      <c r="G4" s="101"/>
      <c r="H4" s="101"/>
      <c r="I4" s="101"/>
      <c r="J4" s="101"/>
      <c r="K4" s="101"/>
      <c r="L4" s="101"/>
      <c r="M4" s="101"/>
      <c r="N4" s="101"/>
      <c r="O4" s="101"/>
      <c r="P4" s="101"/>
      <c r="Q4" s="101"/>
    </row>
    <row r="5" spans="2:17" ht="15" x14ac:dyDescent="0.4">
      <c r="B5" s="102"/>
      <c r="C5" s="101"/>
      <c r="D5" s="101"/>
      <c r="E5" s="101"/>
      <c r="F5" s="101"/>
      <c r="G5" s="101"/>
      <c r="H5" s="101"/>
      <c r="I5" s="101"/>
      <c r="J5" s="101"/>
      <c r="K5" s="101"/>
      <c r="L5" s="101"/>
      <c r="M5" s="101"/>
      <c r="N5" s="101"/>
      <c r="O5" s="101"/>
      <c r="P5" s="101"/>
      <c r="Q5" s="101"/>
    </row>
    <row r="6" spans="2:17" ht="15" x14ac:dyDescent="0.4">
      <c r="B6" s="105" t="s">
        <v>66</v>
      </c>
      <c r="C6" s="105"/>
      <c r="D6" s="105"/>
      <c r="E6" s="105"/>
      <c r="F6" s="101"/>
      <c r="G6" s="101"/>
      <c r="H6" s="101"/>
      <c r="I6" s="101"/>
      <c r="J6" s="101"/>
      <c r="K6" s="101"/>
      <c r="L6" s="101"/>
      <c r="M6" s="101"/>
      <c r="N6" s="101"/>
      <c r="O6" s="101"/>
      <c r="P6" s="101"/>
      <c r="Q6" s="101"/>
    </row>
    <row r="7" spans="2:17" ht="15" x14ac:dyDescent="0.4">
      <c r="B7" s="105" t="s">
        <v>97</v>
      </c>
      <c r="C7" s="105"/>
      <c r="D7" s="105"/>
      <c r="E7" s="105"/>
      <c r="F7" s="101"/>
      <c r="G7" s="101"/>
      <c r="H7" s="101"/>
      <c r="I7" s="101"/>
      <c r="J7" s="101"/>
      <c r="K7" s="101"/>
      <c r="L7" s="101"/>
      <c r="M7" s="101"/>
      <c r="N7" s="101"/>
      <c r="O7" s="101"/>
      <c r="P7" s="101"/>
      <c r="Q7" s="101"/>
    </row>
    <row r="8" spans="2:17" ht="15" x14ac:dyDescent="0.4">
      <c r="B8" s="105" t="s">
        <v>98</v>
      </c>
      <c r="C8" s="105"/>
      <c r="D8" s="105"/>
      <c r="E8" s="105"/>
      <c r="F8" s="101"/>
      <c r="G8" s="101"/>
      <c r="H8" s="101"/>
      <c r="I8" s="101"/>
      <c r="J8" s="101"/>
      <c r="K8" s="101"/>
      <c r="L8" s="101"/>
      <c r="M8" s="101"/>
      <c r="N8" s="101"/>
      <c r="O8" s="101"/>
      <c r="P8" s="101"/>
      <c r="Q8" s="101"/>
    </row>
    <row r="9" spans="2:17" ht="15" x14ac:dyDescent="0.4">
      <c r="B9" s="105" t="s">
        <v>99</v>
      </c>
      <c r="C9" s="105"/>
      <c r="D9" s="105"/>
      <c r="E9" s="105"/>
      <c r="F9" s="101"/>
      <c r="G9" s="101"/>
      <c r="H9" s="101"/>
      <c r="I9" s="101"/>
      <c r="J9" s="101"/>
      <c r="K9" s="101"/>
      <c r="L9" s="101"/>
      <c r="M9" s="101"/>
      <c r="N9" s="101"/>
      <c r="O9" s="101"/>
      <c r="P9" s="101"/>
      <c r="Q9" s="101"/>
    </row>
    <row r="10" spans="2:17" ht="15" x14ac:dyDescent="0.4">
      <c r="B10" s="105" t="s">
        <v>103</v>
      </c>
      <c r="C10" s="105"/>
      <c r="D10" s="105"/>
      <c r="E10" s="105"/>
      <c r="F10" s="101"/>
      <c r="G10" s="101"/>
      <c r="H10" s="101"/>
      <c r="I10" s="101"/>
      <c r="J10" s="101"/>
      <c r="K10" s="101"/>
      <c r="L10" s="101"/>
      <c r="M10" s="101"/>
      <c r="N10" s="101"/>
      <c r="O10" s="101"/>
      <c r="P10" s="101"/>
      <c r="Q10" s="101"/>
    </row>
    <row r="11" spans="2:17" ht="9.75" customHeight="1" x14ac:dyDescent="0.4">
      <c r="B11" s="102"/>
      <c r="C11" s="101"/>
      <c r="D11" s="101"/>
      <c r="E11" s="101"/>
      <c r="F11" s="101"/>
      <c r="G11" s="101"/>
      <c r="H11" s="101"/>
      <c r="I11" s="101"/>
      <c r="J11" s="101"/>
      <c r="K11" s="101"/>
      <c r="L11" s="101"/>
      <c r="M11" s="101"/>
      <c r="N11" s="101"/>
      <c r="O11" s="101"/>
      <c r="P11" s="101"/>
      <c r="Q11" s="101"/>
    </row>
    <row r="12" spans="2:17" ht="15" customHeight="1" x14ac:dyDescent="0.4">
      <c r="B12" s="102" t="s">
        <v>305</v>
      </c>
      <c r="C12" s="101"/>
      <c r="D12" s="101"/>
      <c r="E12" s="101"/>
      <c r="F12" s="101"/>
      <c r="G12" s="101"/>
      <c r="H12" s="101"/>
      <c r="I12" s="101"/>
      <c r="J12" s="101"/>
      <c r="K12" s="101"/>
      <c r="L12" s="101"/>
      <c r="M12" s="101"/>
      <c r="N12" s="101"/>
      <c r="O12" s="101"/>
      <c r="P12" s="101"/>
      <c r="Q12" s="101"/>
    </row>
    <row r="13" spans="2:17" ht="15" customHeight="1" x14ac:dyDescent="0.4">
      <c r="B13" s="102" t="s">
        <v>249</v>
      </c>
      <c r="C13" s="210"/>
      <c r="D13" s="210"/>
      <c r="E13" s="210"/>
      <c r="F13" s="210"/>
      <c r="G13" s="210"/>
      <c r="H13" s="210"/>
      <c r="I13" s="210"/>
      <c r="J13" s="101"/>
      <c r="K13" s="101"/>
      <c r="L13" s="101"/>
      <c r="M13" s="101"/>
      <c r="N13" s="101"/>
      <c r="O13" s="101"/>
      <c r="P13" s="101"/>
      <c r="Q13" s="101"/>
    </row>
    <row r="14" spans="2:17" ht="8.25" customHeight="1" x14ac:dyDescent="0.35">
      <c r="B14" s="101"/>
      <c r="C14" s="101"/>
      <c r="D14" s="101"/>
      <c r="E14" s="101"/>
      <c r="F14" s="101"/>
      <c r="G14" s="101"/>
      <c r="H14" s="101"/>
      <c r="I14" s="101"/>
      <c r="J14" s="101"/>
      <c r="K14" s="101"/>
      <c r="L14" s="101"/>
      <c r="M14" s="101"/>
      <c r="N14" s="101"/>
      <c r="O14" s="101"/>
      <c r="P14" s="101"/>
      <c r="Q14" s="101"/>
    </row>
    <row r="15" spans="2:17" ht="16.899999999999999" x14ac:dyDescent="0.5">
      <c r="B15" s="103" t="s">
        <v>22</v>
      </c>
      <c r="C15" s="101"/>
      <c r="D15" s="101"/>
      <c r="E15" s="101"/>
      <c r="F15" s="101"/>
      <c r="G15" s="101"/>
      <c r="H15" s="101"/>
      <c r="I15" s="101"/>
      <c r="J15" s="101"/>
      <c r="K15" s="101"/>
      <c r="L15" s="101"/>
      <c r="M15" s="101"/>
      <c r="N15" s="101"/>
      <c r="O15" s="101"/>
      <c r="P15" s="101"/>
      <c r="Q15" s="101"/>
    </row>
    <row r="16" spans="2:17" ht="3.75" customHeight="1" x14ac:dyDescent="0.35">
      <c r="B16" s="101"/>
      <c r="C16" s="101"/>
      <c r="D16" s="101"/>
      <c r="E16" s="101"/>
      <c r="F16" s="101"/>
      <c r="G16" s="101"/>
      <c r="H16" s="101"/>
      <c r="I16" s="101"/>
      <c r="J16" s="101"/>
      <c r="K16" s="101"/>
      <c r="L16" s="101"/>
      <c r="M16" s="101"/>
      <c r="N16" s="101"/>
      <c r="O16" s="101"/>
      <c r="P16" s="101"/>
      <c r="Q16" s="101"/>
    </row>
    <row r="17" spans="2:19" ht="15" x14ac:dyDescent="0.4">
      <c r="B17" s="127" t="s">
        <v>50</v>
      </c>
      <c r="C17" s="101"/>
      <c r="D17" s="101"/>
      <c r="E17" s="101"/>
      <c r="F17" s="101"/>
      <c r="G17" s="101"/>
      <c r="H17" s="101"/>
      <c r="I17" s="101"/>
      <c r="J17" s="101"/>
      <c r="K17" s="101"/>
      <c r="L17" s="101"/>
      <c r="M17" s="101"/>
      <c r="N17" s="101"/>
      <c r="O17" s="101"/>
      <c r="P17" s="101"/>
      <c r="Q17" s="101"/>
    </row>
    <row r="18" spans="2:19" ht="9" customHeight="1" x14ac:dyDescent="0.35">
      <c r="B18" s="101"/>
      <c r="C18" s="101"/>
      <c r="D18" s="101"/>
      <c r="E18" s="101"/>
      <c r="F18" s="101"/>
      <c r="G18" s="101"/>
      <c r="H18" s="101"/>
      <c r="I18" s="101"/>
      <c r="J18" s="101"/>
      <c r="K18" s="101"/>
      <c r="L18" s="101"/>
      <c r="M18" s="101"/>
      <c r="N18" s="101"/>
      <c r="O18" s="101"/>
      <c r="P18" s="101"/>
      <c r="Q18" s="101"/>
    </row>
    <row r="19" spans="2:19" ht="15" x14ac:dyDescent="0.4">
      <c r="B19" s="105" t="s">
        <v>23</v>
      </c>
      <c r="C19" s="105" t="s">
        <v>137</v>
      </c>
      <c r="D19" s="101"/>
      <c r="E19" s="101"/>
      <c r="F19" s="101"/>
      <c r="G19" s="101"/>
      <c r="H19" s="101"/>
      <c r="I19" s="101"/>
      <c r="J19" s="101"/>
      <c r="K19" s="101"/>
      <c r="L19" s="101"/>
      <c r="M19" s="101"/>
      <c r="N19" s="101"/>
      <c r="O19" s="101"/>
      <c r="P19" s="101"/>
      <c r="Q19" s="101"/>
    </row>
    <row r="20" spans="2:19" ht="15" x14ac:dyDescent="0.4">
      <c r="B20" s="106"/>
      <c r="C20" s="105" t="s">
        <v>44</v>
      </c>
      <c r="D20" s="101"/>
      <c r="E20" s="101"/>
      <c r="F20" s="101"/>
      <c r="G20" s="101"/>
      <c r="H20" s="101"/>
      <c r="I20" s="101"/>
      <c r="J20" s="101"/>
      <c r="K20" s="101"/>
      <c r="L20" s="101"/>
      <c r="M20" s="101"/>
      <c r="N20" s="101"/>
      <c r="O20" s="101"/>
      <c r="P20" s="101"/>
      <c r="Q20" s="101"/>
    </row>
    <row r="21" spans="2:19" ht="15" x14ac:dyDescent="0.4">
      <c r="B21" s="106"/>
      <c r="C21" s="105"/>
      <c r="D21" s="101"/>
      <c r="E21" s="101"/>
      <c r="F21" s="101"/>
      <c r="G21" s="101"/>
      <c r="H21" s="101"/>
      <c r="I21" s="101"/>
      <c r="J21" s="101"/>
      <c r="K21" s="101"/>
      <c r="L21" s="101"/>
      <c r="M21" s="101"/>
      <c r="N21" s="101"/>
      <c r="O21" s="101"/>
      <c r="P21" s="101"/>
      <c r="Q21" s="101"/>
    </row>
    <row r="22" spans="2:19" ht="15" x14ac:dyDescent="0.4">
      <c r="B22" s="106"/>
      <c r="C22" s="150" t="s">
        <v>251</v>
      </c>
      <c r="D22" s="151"/>
      <c r="E22" s="151"/>
      <c r="F22" s="151"/>
      <c r="G22" s="151"/>
      <c r="H22" s="151"/>
      <c r="I22" s="151"/>
      <c r="J22" s="151"/>
      <c r="K22" s="151"/>
      <c r="L22" s="151"/>
      <c r="M22" s="151"/>
      <c r="N22" s="151"/>
      <c r="O22" s="151"/>
      <c r="P22" s="151"/>
      <c r="Q22" s="151"/>
      <c r="R22" s="151"/>
      <c r="S22" s="151"/>
    </row>
    <row r="23" spans="2:19" ht="15" x14ac:dyDescent="0.4">
      <c r="B23" s="106"/>
      <c r="C23" s="150" t="s">
        <v>252</v>
      </c>
      <c r="D23" s="151"/>
      <c r="E23" s="151"/>
      <c r="F23" s="151"/>
      <c r="G23" s="151"/>
      <c r="H23" s="151"/>
      <c r="I23" s="151"/>
      <c r="J23" s="151"/>
      <c r="K23" s="151"/>
      <c r="L23" s="151"/>
      <c r="M23" s="151"/>
      <c r="N23" s="151"/>
      <c r="O23" s="151"/>
      <c r="P23" s="151"/>
      <c r="Q23" s="151"/>
      <c r="R23" s="151"/>
      <c r="S23" s="151"/>
    </row>
    <row r="24" spans="2:19" ht="15" x14ac:dyDescent="0.4">
      <c r="B24" s="106"/>
      <c r="C24" s="150"/>
      <c r="D24" s="151"/>
      <c r="E24" s="151"/>
      <c r="F24" s="151"/>
      <c r="G24" s="151"/>
      <c r="H24" s="151"/>
      <c r="I24" s="151"/>
      <c r="J24" s="151"/>
      <c r="K24" s="151"/>
      <c r="L24" s="151"/>
      <c r="M24" s="151"/>
      <c r="N24" s="151"/>
      <c r="O24" s="151"/>
      <c r="P24" s="151"/>
      <c r="Q24" s="151"/>
      <c r="R24" s="151"/>
      <c r="S24" s="151"/>
    </row>
    <row r="25" spans="2:19" ht="15" x14ac:dyDescent="0.4">
      <c r="B25" s="152" t="s">
        <v>24</v>
      </c>
      <c r="C25" s="152" t="s">
        <v>67</v>
      </c>
      <c r="D25" s="151"/>
      <c r="E25" s="151"/>
      <c r="F25" s="151"/>
      <c r="G25" s="151"/>
      <c r="H25" s="151"/>
      <c r="I25" s="151"/>
      <c r="J25" s="151"/>
      <c r="K25" s="151"/>
      <c r="L25" s="151"/>
      <c r="M25" s="151"/>
      <c r="N25" s="151"/>
      <c r="O25" s="151"/>
      <c r="P25" s="151"/>
      <c r="Q25" s="151"/>
      <c r="R25" s="151"/>
      <c r="S25" s="151"/>
    </row>
    <row r="26" spans="2:19" ht="15" x14ac:dyDescent="0.4">
      <c r="B26" s="152"/>
      <c r="C26" s="152"/>
      <c r="D26" s="151"/>
      <c r="E26" s="151"/>
      <c r="F26" s="151"/>
      <c r="G26" s="151"/>
      <c r="H26" s="151"/>
      <c r="I26" s="151"/>
      <c r="J26" s="151"/>
      <c r="K26" s="151"/>
      <c r="L26" s="151"/>
      <c r="M26" s="151"/>
      <c r="N26" s="151"/>
      <c r="O26" s="151"/>
      <c r="P26" s="151"/>
      <c r="Q26" s="151"/>
      <c r="R26" s="151"/>
      <c r="S26" s="151"/>
    </row>
    <row r="27" spans="2:19" ht="15" x14ac:dyDescent="0.4">
      <c r="B27" s="152" t="s">
        <v>25</v>
      </c>
      <c r="C27" s="152" t="s">
        <v>68</v>
      </c>
      <c r="D27" s="151"/>
      <c r="E27" s="151"/>
      <c r="F27" s="151"/>
      <c r="G27" s="151"/>
      <c r="H27" s="151"/>
      <c r="I27" s="151"/>
      <c r="J27" s="151"/>
      <c r="K27" s="151"/>
      <c r="L27" s="151"/>
      <c r="M27" s="151"/>
      <c r="N27" s="151"/>
      <c r="O27" s="151"/>
      <c r="P27" s="151"/>
      <c r="Q27" s="151"/>
      <c r="R27" s="151"/>
      <c r="S27" s="151"/>
    </row>
    <row r="28" spans="2:19" ht="15" x14ac:dyDescent="0.4">
      <c r="B28" s="152"/>
      <c r="C28" s="152"/>
      <c r="D28" s="151"/>
      <c r="E28" s="151"/>
      <c r="F28" s="151"/>
      <c r="G28" s="151"/>
      <c r="H28" s="151"/>
      <c r="I28" s="151"/>
      <c r="J28" s="151"/>
      <c r="K28" s="151"/>
      <c r="L28" s="151"/>
      <c r="M28" s="151"/>
      <c r="N28" s="151"/>
      <c r="O28" s="151"/>
      <c r="P28" s="151"/>
      <c r="Q28" s="151"/>
      <c r="R28" s="151"/>
      <c r="S28" s="151"/>
    </row>
    <row r="29" spans="2:19" ht="15" x14ac:dyDescent="0.4">
      <c r="B29" s="152"/>
      <c r="C29" s="152"/>
      <c r="D29" s="151"/>
      <c r="E29" s="151"/>
      <c r="F29" s="151"/>
      <c r="G29" s="151"/>
      <c r="H29" s="151"/>
      <c r="I29" s="151"/>
      <c r="J29" s="151"/>
      <c r="K29" s="151"/>
      <c r="L29" s="151"/>
      <c r="M29" s="151"/>
      <c r="N29" s="151"/>
      <c r="O29" s="151"/>
      <c r="P29" s="151"/>
      <c r="Q29" s="151"/>
      <c r="R29" s="151"/>
      <c r="S29" s="151"/>
    </row>
    <row r="30" spans="2:19" ht="15" x14ac:dyDescent="0.4">
      <c r="B30" s="152"/>
      <c r="C30" s="152"/>
      <c r="D30" s="151"/>
      <c r="E30" s="151"/>
      <c r="F30" s="151"/>
      <c r="G30" s="151"/>
      <c r="H30" s="151"/>
      <c r="I30" s="151"/>
      <c r="J30" s="151"/>
      <c r="K30" s="151"/>
      <c r="L30" s="151"/>
      <c r="M30" s="151"/>
      <c r="N30" s="151"/>
      <c r="O30" s="151"/>
      <c r="P30" s="151"/>
      <c r="Q30" s="151"/>
      <c r="R30" s="151"/>
      <c r="S30" s="151"/>
    </row>
    <row r="31" spans="2:19" ht="15" x14ac:dyDescent="0.4">
      <c r="B31" s="152"/>
      <c r="C31" s="152"/>
      <c r="D31" s="151"/>
      <c r="E31" s="151"/>
      <c r="F31" s="151"/>
      <c r="G31" s="151"/>
      <c r="H31" s="151"/>
      <c r="I31" s="151"/>
      <c r="J31" s="151"/>
      <c r="K31" s="151"/>
      <c r="L31" s="151"/>
      <c r="M31" s="151"/>
      <c r="N31" s="151"/>
      <c r="O31" s="151"/>
      <c r="P31" s="151"/>
      <c r="Q31" s="151"/>
      <c r="R31" s="151"/>
      <c r="S31" s="151"/>
    </row>
    <row r="32" spans="2:19" ht="15" x14ac:dyDescent="0.4">
      <c r="B32" s="152"/>
      <c r="C32" s="152"/>
      <c r="D32" s="151"/>
      <c r="E32" s="151"/>
      <c r="F32" s="151"/>
      <c r="G32" s="151"/>
      <c r="H32" s="151"/>
      <c r="I32" s="151"/>
      <c r="J32" s="151"/>
      <c r="K32" s="151"/>
      <c r="L32" s="151"/>
      <c r="M32" s="151"/>
      <c r="N32" s="151"/>
      <c r="O32" s="151"/>
      <c r="P32" s="151"/>
      <c r="Q32" s="151"/>
      <c r="R32" s="151"/>
      <c r="S32" s="151"/>
    </row>
    <row r="33" spans="2:21" ht="15" x14ac:dyDescent="0.4">
      <c r="B33" s="152"/>
      <c r="C33" s="152"/>
      <c r="D33" s="151"/>
      <c r="E33" s="151"/>
      <c r="F33" s="151"/>
      <c r="G33" s="151"/>
      <c r="H33" s="151"/>
      <c r="I33" s="151"/>
      <c r="J33" s="151"/>
      <c r="K33" s="151"/>
      <c r="L33" s="151"/>
      <c r="M33" s="151"/>
      <c r="N33" s="151"/>
      <c r="O33" s="151"/>
      <c r="P33" s="151"/>
      <c r="Q33" s="151"/>
      <c r="R33" s="151"/>
      <c r="S33" s="151"/>
    </row>
    <row r="34" spans="2:21" ht="15" x14ac:dyDescent="0.4">
      <c r="B34" s="152"/>
      <c r="C34" s="152"/>
      <c r="D34" s="151"/>
      <c r="E34" s="151"/>
      <c r="F34" s="151"/>
      <c r="G34" s="151"/>
      <c r="H34" s="151"/>
      <c r="I34" s="151"/>
      <c r="J34" s="151"/>
      <c r="K34" s="151"/>
      <c r="L34" s="151"/>
      <c r="M34" s="151"/>
      <c r="N34" s="151"/>
      <c r="O34" s="151"/>
      <c r="P34" s="151"/>
      <c r="Q34" s="151"/>
      <c r="R34" s="151"/>
      <c r="S34" s="151"/>
    </row>
    <row r="35" spans="2:21" ht="15" x14ac:dyDescent="0.4">
      <c r="B35" s="152"/>
      <c r="C35" s="152"/>
      <c r="D35" s="151"/>
      <c r="E35" s="151"/>
      <c r="F35" s="151"/>
      <c r="G35" s="151"/>
      <c r="H35" s="151"/>
      <c r="I35" s="151"/>
      <c r="J35" s="151"/>
      <c r="K35" s="151"/>
      <c r="L35" s="151"/>
      <c r="M35" s="151"/>
      <c r="N35" s="151"/>
      <c r="O35" s="151"/>
      <c r="P35" s="151"/>
      <c r="Q35" s="151"/>
      <c r="R35" s="151"/>
      <c r="S35" s="151"/>
    </row>
    <row r="36" spans="2:21" ht="15" x14ac:dyDescent="0.4">
      <c r="B36" s="152" t="s">
        <v>69</v>
      </c>
      <c r="C36" s="152" t="s">
        <v>70</v>
      </c>
      <c r="D36" s="151"/>
      <c r="E36" s="151"/>
      <c r="F36" s="151"/>
      <c r="G36" s="151"/>
      <c r="H36" s="151"/>
      <c r="I36" s="151"/>
      <c r="J36" s="151"/>
      <c r="K36" s="151"/>
      <c r="L36" s="151"/>
      <c r="M36" s="151"/>
      <c r="N36" s="151"/>
      <c r="O36" s="151"/>
      <c r="P36" s="151"/>
      <c r="Q36" s="151"/>
      <c r="R36" s="151"/>
      <c r="S36" s="151"/>
      <c r="T36" s="151"/>
      <c r="U36" s="151"/>
    </row>
    <row r="37" spans="2:21" ht="23.25" customHeight="1" x14ac:dyDescent="0.35">
      <c r="B37" s="153"/>
      <c r="C37" s="154" t="s">
        <v>71</v>
      </c>
      <c r="D37" s="155"/>
      <c r="E37" s="155"/>
      <c r="F37" s="155"/>
      <c r="G37" s="155"/>
      <c r="H37" s="155"/>
      <c r="I37" s="155"/>
      <c r="J37" s="151"/>
      <c r="K37" s="151"/>
      <c r="L37" s="151"/>
      <c r="M37" s="151"/>
      <c r="N37" s="151"/>
      <c r="O37" s="151"/>
      <c r="P37" s="151"/>
      <c r="Q37" s="151"/>
      <c r="R37" s="151"/>
      <c r="S37" s="151"/>
      <c r="T37" s="151"/>
      <c r="U37" s="151"/>
    </row>
    <row r="38" spans="2:21" ht="15" x14ac:dyDescent="0.4">
      <c r="B38" s="153"/>
      <c r="C38" s="150" t="s">
        <v>253</v>
      </c>
      <c r="D38" s="151"/>
      <c r="E38" s="151"/>
      <c r="F38" s="151"/>
      <c r="G38" s="151"/>
      <c r="H38" s="151"/>
      <c r="I38" s="151"/>
      <c r="J38" s="151"/>
      <c r="K38" s="151"/>
      <c r="L38" s="151"/>
      <c r="M38" s="151"/>
      <c r="N38" s="151"/>
      <c r="O38" s="151"/>
      <c r="P38" s="151"/>
      <c r="Q38" s="151"/>
      <c r="R38" s="151"/>
      <c r="S38" s="151"/>
      <c r="T38" s="151"/>
      <c r="U38" s="151"/>
    </row>
    <row r="39" spans="2:21" x14ac:dyDescent="0.35">
      <c r="B39" s="153"/>
      <c r="C39" s="153"/>
      <c r="D39" s="151"/>
      <c r="E39" s="151"/>
      <c r="F39" s="151"/>
      <c r="G39" s="151"/>
      <c r="H39" s="151"/>
      <c r="I39" s="151"/>
      <c r="J39" s="151"/>
      <c r="K39" s="151"/>
      <c r="L39" s="151"/>
      <c r="M39" s="151"/>
      <c r="N39" s="151"/>
      <c r="O39" s="151"/>
      <c r="P39" s="151"/>
      <c r="Q39" s="151"/>
      <c r="R39" s="151"/>
      <c r="S39" s="151"/>
      <c r="T39" s="151"/>
      <c r="U39" s="151"/>
    </row>
    <row r="40" spans="2:21" x14ac:dyDescent="0.35">
      <c r="B40" s="106"/>
      <c r="C40" s="106"/>
      <c r="D40" s="101"/>
      <c r="E40" s="101"/>
      <c r="F40" s="101"/>
      <c r="G40" s="101"/>
      <c r="H40" s="101"/>
      <c r="I40" s="101"/>
      <c r="J40" s="101"/>
      <c r="K40" s="101"/>
      <c r="L40" s="101"/>
      <c r="M40" s="101"/>
      <c r="N40" s="101"/>
      <c r="O40" s="101"/>
      <c r="P40" s="101"/>
      <c r="Q40" s="101"/>
    </row>
    <row r="41" spans="2:21" ht="12.75" customHeight="1" x14ac:dyDescent="0.35">
      <c r="B41" s="106"/>
      <c r="C41" s="106"/>
      <c r="D41" s="106"/>
      <c r="E41" s="101"/>
      <c r="F41" s="101"/>
      <c r="G41" s="101"/>
      <c r="H41" s="101"/>
      <c r="I41" s="101"/>
      <c r="J41" s="101"/>
      <c r="K41" s="101"/>
      <c r="L41" s="101"/>
      <c r="M41" s="101"/>
      <c r="N41" s="101"/>
      <c r="O41" s="101"/>
      <c r="P41" s="101"/>
      <c r="Q41" s="101"/>
    </row>
    <row r="42" spans="2:21" ht="12.75" customHeight="1" x14ac:dyDescent="0.35">
      <c r="B42" s="106"/>
      <c r="C42" s="106"/>
      <c r="D42" s="106"/>
      <c r="E42" s="101"/>
      <c r="F42" s="101"/>
      <c r="G42" s="101"/>
      <c r="H42" s="101"/>
      <c r="I42" s="101"/>
      <c r="J42" s="101"/>
      <c r="K42" s="101"/>
      <c r="L42" s="101"/>
      <c r="M42" s="101"/>
      <c r="N42" s="101"/>
      <c r="O42" s="101"/>
      <c r="P42" s="101"/>
      <c r="Q42" s="101"/>
    </row>
    <row r="43" spans="2:21" ht="12.75" customHeight="1" x14ac:dyDescent="0.35">
      <c r="B43" s="106"/>
      <c r="C43" s="106"/>
      <c r="D43" s="106"/>
      <c r="E43" s="101"/>
      <c r="F43" s="101"/>
      <c r="G43" s="101"/>
      <c r="H43" s="101"/>
      <c r="I43" s="101"/>
      <c r="J43" s="101"/>
      <c r="K43" s="101"/>
      <c r="L43" s="101"/>
      <c r="M43" s="101"/>
      <c r="N43" s="101"/>
      <c r="O43" s="101"/>
      <c r="P43" s="101"/>
      <c r="Q43" s="101"/>
    </row>
    <row r="44" spans="2:21" ht="12.75" customHeight="1" x14ac:dyDescent="0.35">
      <c r="B44" s="106"/>
      <c r="C44" s="106"/>
      <c r="D44" s="106"/>
      <c r="E44" s="101"/>
      <c r="F44" s="101"/>
      <c r="G44" s="101"/>
      <c r="H44" s="101"/>
      <c r="I44" s="101"/>
      <c r="J44" s="101"/>
      <c r="K44" s="101"/>
      <c r="L44" s="101"/>
      <c r="M44" s="101"/>
      <c r="N44" s="101"/>
      <c r="O44" s="101"/>
      <c r="P44" s="101"/>
      <c r="Q44" s="101"/>
    </row>
    <row r="45" spans="2:21" ht="12.75" customHeight="1" x14ac:dyDescent="0.35">
      <c r="B45" s="106"/>
      <c r="C45" s="106"/>
      <c r="D45" s="106"/>
      <c r="E45" s="101"/>
      <c r="F45" s="101"/>
      <c r="G45" s="101"/>
      <c r="H45" s="101"/>
      <c r="I45" s="101"/>
      <c r="J45" s="101"/>
      <c r="K45" s="101"/>
      <c r="L45" s="101"/>
      <c r="M45" s="101"/>
      <c r="N45" s="101"/>
      <c r="O45" s="101"/>
      <c r="P45" s="101"/>
      <c r="Q45" s="101"/>
    </row>
    <row r="46" spans="2:21" ht="12.75" customHeight="1" x14ac:dyDescent="0.35">
      <c r="B46" s="106"/>
      <c r="C46" s="106"/>
      <c r="D46" s="106"/>
      <c r="E46" s="101"/>
      <c r="F46" s="101"/>
      <c r="G46" s="101"/>
      <c r="H46" s="101"/>
      <c r="I46" s="101"/>
      <c r="J46" s="101"/>
      <c r="K46" s="101"/>
      <c r="L46" s="101"/>
      <c r="M46" s="101"/>
      <c r="N46" s="101"/>
      <c r="O46" s="101"/>
      <c r="P46" s="101"/>
      <c r="Q46" s="101"/>
    </row>
    <row r="47" spans="2:21" ht="12.75" customHeight="1" x14ac:dyDescent="0.35">
      <c r="B47" s="106"/>
      <c r="C47" s="106"/>
      <c r="D47" s="106"/>
      <c r="E47" s="101"/>
      <c r="F47" s="101"/>
      <c r="G47" s="101"/>
      <c r="H47" s="101"/>
      <c r="I47" s="101"/>
      <c r="J47" s="101"/>
      <c r="K47" s="101"/>
      <c r="L47" s="101"/>
      <c r="M47" s="101"/>
      <c r="N47" s="101"/>
      <c r="O47" s="101"/>
      <c r="P47" s="101"/>
      <c r="Q47" s="101"/>
    </row>
    <row r="48" spans="2:21" ht="15" x14ac:dyDescent="0.4">
      <c r="B48" s="152" t="s">
        <v>72</v>
      </c>
      <c r="C48" s="152" t="s">
        <v>73</v>
      </c>
      <c r="D48" s="151"/>
      <c r="E48" s="151"/>
      <c r="F48" s="151"/>
      <c r="G48" s="151"/>
      <c r="H48" s="151"/>
      <c r="I48" s="151"/>
      <c r="J48" s="151"/>
      <c r="K48" s="151"/>
      <c r="L48" s="151"/>
      <c r="M48" s="151"/>
      <c r="N48" s="151"/>
      <c r="O48" s="151"/>
      <c r="P48" s="151"/>
      <c r="Q48" s="151"/>
      <c r="R48" s="151"/>
      <c r="S48" s="151"/>
      <c r="T48" s="151"/>
    </row>
    <row r="49" spans="2:21" ht="15" x14ac:dyDescent="0.4">
      <c r="B49" s="153"/>
      <c r="C49" s="152" t="s">
        <v>138</v>
      </c>
      <c r="D49" s="151"/>
      <c r="E49" s="151"/>
      <c r="F49" s="151"/>
      <c r="G49" s="151"/>
      <c r="H49" s="151"/>
      <c r="I49" s="151"/>
      <c r="J49" s="151"/>
      <c r="K49" s="151"/>
      <c r="L49" s="151"/>
      <c r="M49" s="151"/>
      <c r="N49" s="151"/>
      <c r="O49" s="151"/>
      <c r="P49" s="151"/>
      <c r="Q49" s="151"/>
      <c r="R49" s="151"/>
      <c r="S49" s="151"/>
      <c r="T49" s="151"/>
    </row>
    <row r="50" spans="2:21" ht="15" x14ac:dyDescent="0.4">
      <c r="B50" s="106"/>
      <c r="C50" s="105"/>
      <c r="D50" s="101"/>
      <c r="E50" s="101"/>
      <c r="F50" s="101"/>
      <c r="G50" s="101"/>
      <c r="H50" s="101"/>
      <c r="I50" s="101"/>
      <c r="J50" s="101"/>
      <c r="K50" s="101"/>
      <c r="L50" s="101"/>
      <c r="M50" s="101"/>
      <c r="N50" s="101"/>
      <c r="O50" s="101"/>
      <c r="P50" s="101"/>
      <c r="Q50" s="101"/>
    </row>
    <row r="51" spans="2:21" ht="13.15" thickBot="1" x14ac:dyDescent="0.4">
      <c r="B51" s="101"/>
      <c r="C51" s="101"/>
      <c r="D51" s="101"/>
      <c r="E51" s="101"/>
      <c r="F51" s="101"/>
      <c r="G51" s="101"/>
      <c r="H51" s="101"/>
      <c r="I51" s="101"/>
      <c r="J51" s="101"/>
      <c r="K51" s="101"/>
      <c r="L51" s="101"/>
      <c r="M51" s="101"/>
      <c r="N51" s="101"/>
      <c r="O51" s="101"/>
      <c r="P51" s="101"/>
      <c r="Q51" s="101"/>
    </row>
    <row r="52" spans="2:21" ht="12.75" customHeight="1" x14ac:dyDescent="0.35">
      <c r="B52" s="101"/>
      <c r="C52" s="101"/>
      <c r="D52" s="101"/>
      <c r="E52" s="101"/>
      <c r="F52" s="101"/>
      <c r="G52" s="101"/>
      <c r="H52" s="101"/>
      <c r="I52" s="101"/>
      <c r="J52" s="101"/>
      <c r="K52" s="101"/>
      <c r="L52" s="101"/>
      <c r="M52" s="101"/>
      <c r="N52" s="101"/>
      <c r="O52" s="101"/>
      <c r="P52" s="101"/>
      <c r="Q52" s="101"/>
      <c r="R52" s="335" t="s">
        <v>76</v>
      </c>
      <c r="S52" s="336"/>
    </row>
    <row r="53" spans="2:21" ht="12.75" customHeight="1" x14ac:dyDescent="0.35">
      <c r="B53" s="101"/>
      <c r="C53" s="101"/>
      <c r="D53" s="101"/>
      <c r="E53" s="101"/>
      <c r="F53" s="101"/>
      <c r="G53" s="101"/>
      <c r="H53" s="101"/>
      <c r="I53" s="101"/>
      <c r="J53" s="101"/>
      <c r="K53" s="101"/>
      <c r="L53" s="101"/>
      <c r="M53" s="101"/>
      <c r="N53" s="101"/>
      <c r="O53" s="101"/>
      <c r="P53" s="101"/>
      <c r="Q53" s="101"/>
      <c r="R53" s="337"/>
      <c r="S53" s="338"/>
    </row>
    <row r="54" spans="2:21" ht="13.5" customHeight="1" thickBot="1" x14ac:dyDescent="0.4">
      <c r="B54" s="101"/>
      <c r="C54" s="101"/>
      <c r="D54" s="101"/>
      <c r="E54" s="101"/>
      <c r="F54" s="101"/>
      <c r="G54" s="101"/>
      <c r="H54" s="101"/>
      <c r="I54" s="101"/>
      <c r="J54" s="101"/>
      <c r="K54" s="101"/>
      <c r="L54" s="101"/>
      <c r="M54" s="101"/>
      <c r="N54" s="101"/>
      <c r="O54" s="101"/>
      <c r="P54" s="101"/>
      <c r="Q54" s="101"/>
      <c r="R54" s="339"/>
      <c r="S54" s="340"/>
    </row>
    <row r="55" spans="2:21" ht="21.75" customHeight="1" x14ac:dyDescent="0.35">
      <c r="B55" s="101"/>
      <c r="C55" s="101"/>
      <c r="D55" s="101"/>
      <c r="E55" s="101"/>
      <c r="F55" s="101"/>
      <c r="G55" s="101"/>
      <c r="H55" s="101"/>
      <c r="I55" s="101"/>
      <c r="J55" s="101"/>
      <c r="K55" s="101"/>
      <c r="L55" s="101"/>
      <c r="M55" s="101"/>
      <c r="N55" s="101"/>
      <c r="O55" s="101"/>
      <c r="P55" s="101"/>
      <c r="Q55" s="101"/>
    </row>
    <row r="56" spans="2:21" ht="15" x14ac:dyDescent="0.4">
      <c r="B56" s="105"/>
      <c r="C56" s="105"/>
      <c r="D56" s="101"/>
      <c r="E56" s="101"/>
      <c r="F56" s="101"/>
      <c r="G56" s="101"/>
      <c r="H56" s="101"/>
      <c r="I56" s="101"/>
      <c r="J56" s="101"/>
      <c r="K56" s="101"/>
      <c r="L56" s="101"/>
      <c r="M56" s="101"/>
      <c r="N56" s="101"/>
      <c r="O56" s="101"/>
      <c r="P56" s="101"/>
      <c r="Q56" s="101"/>
      <c r="T56" s="144"/>
      <c r="U56" s="144"/>
    </row>
    <row r="57" spans="2:21" ht="3" customHeight="1" x14ac:dyDescent="0.35">
      <c r="B57" s="101"/>
      <c r="C57" s="101"/>
      <c r="D57" s="101"/>
      <c r="E57" s="101"/>
      <c r="F57" s="101"/>
      <c r="G57" s="101"/>
      <c r="H57" s="101"/>
      <c r="I57" s="101"/>
      <c r="J57" s="101"/>
      <c r="K57" s="101"/>
      <c r="L57" s="101"/>
      <c r="M57" s="101"/>
      <c r="N57" s="101"/>
      <c r="O57" s="101"/>
      <c r="P57" s="101"/>
      <c r="Q57" s="101"/>
      <c r="T57" s="144"/>
      <c r="U57" s="144"/>
    </row>
    <row r="58" spans="2:21" x14ac:dyDescent="0.35">
      <c r="B58" s="101"/>
      <c r="C58" s="101"/>
      <c r="D58" s="101"/>
      <c r="E58" s="101"/>
      <c r="F58" s="101"/>
      <c r="G58" s="101"/>
      <c r="H58" s="101"/>
      <c r="I58" s="101"/>
      <c r="J58" s="101"/>
      <c r="K58" s="101"/>
      <c r="L58" s="101"/>
      <c r="M58" s="101"/>
      <c r="N58" s="101"/>
      <c r="O58" s="101"/>
      <c r="P58" s="101"/>
      <c r="Q58" s="101"/>
    </row>
    <row r="59" spans="2:21" x14ac:dyDescent="0.35">
      <c r="B59" s="101"/>
      <c r="C59" s="101"/>
      <c r="D59" s="101"/>
      <c r="E59" s="101"/>
      <c r="F59" s="101"/>
      <c r="G59" s="101"/>
      <c r="H59" s="101"/>
      <c r="I59" s="101"/>
      <c r="J59" s="101"/>
      <c r="K59" s="101"/>
      <c r="L59" s="101"/>
      <c r="M59" s="101"/>
      <c r="N59" s="101"/>
      <c r="O59" s="101"/>
      <c r="P59" s="101"/>
      <c r="Q59" s="101"/>
    </row>
    <row r="60" spans="2:21" x14ac:dyDescent="0.35">
      <c r="B60" s="101"/>
      <c r="C60" s="101"/>
      <c r="D60" s="101"/>
      <c r="E60" s="101"/>
      <c r="F60" s="101"/>
      <c r="G60" s="101"/>
      <c r="H60" s="101"/>
      <c r="I60" s="101"/>
      <c r="J60" s="101"/>
      <c r="K60" s="101"/>
      <c r="L60" s="101"/>
      <c r="M60" s="101"/>
      <c r="N60" s="101"/>
      <c r="O60" s="101"/>
      <c r="P60" s="101"/>
      <c r="Q60" s="101"/>
    </row>
    <row r="61" spans="2:21" ht="15" x14ac:dyDescent="0.4">
      <c r="B61" s="152" t="s">
        <v>74</v>
      </c>
      <c r="C61" s="152" t="s">
        <v>75</v>
      </c>
      <c r="D61" s="151"/>
      <c r="E61" s="151"/>
      <c r="F61" s="151"/>
      <c r="G61" s="151"/>
      <c r="H61" s="151"/>
      <c r="I61" s="151"/>
      <c r="J61" s="151"/>
      <c r="K61" s="151"/>
      <c r="L61" s="151"/>
      <c r="M61" s="151"/>
      <c r="N61" s="151"/>
      <c r="O61" s="151"/>
      <c r="P61" s="151"/>
      <c r="Q61" s="151"/>
      <c r="R61" s="151"/>
    </row>
    <row r="64" spans="2:21" ht="15" x14ac:dyDescent="0.4">
      <c r="B64" s="146" t="s">
        <v>56</v>
      </c>
      <c r="C64" s="147" t="s">
        <v>306</v>
      </c>
      <c r="D64" s="148"/>
      <c r="E64"/>
      <c r="F64"/>
      <c r="G64"/>
      <c r="H64"/>
      <c r="I64"/>
      <c r="J64"/>
      <c r="K64"/>
      <c r="L64"/>
      <c r="M64"/>
      <c r="N64"/>
      <c r="O64"/>
      <c r="P64"/>
      <c r="Q64"/>
      <c r="R64"/>
      <c r="S64"/>
      <c r="T64"/>
    </row>
    <row r="65" spans="3:20" ht="15" x14ac:dyDescent="0.4">
      <c r="C65" s="147" t="s">
        <v>57</v>
      </c>
      <c r="D65"/>
      <c r="E65"/>
      <c r="F65"/>
      <c r="G65"/>
      <c r="H65"/>
      <c r="I65"/>
      <c r="J65"/>
      <c r="K65"/>
      <c r="L65"/>
      <c r="M65"/>
      <c r="N65"/>
      <c r="O65"/>
      <c r="P65"/>
      <c r="Q65"/>
      <c r="R65"/>
      <c r="S65"/>
      <c r="T65"/>
    </row>
    <row r="66" spans="3:20" ht="15" x14ac:dyDescent="0.4">
      <c r="C66" s="147" t="s">
        <v>58</v>
      </c>
      <c r="D66"/>
      <c r="E66"/>
      <c r="F66"/>
      <c r="G66"/>
      <c r="H66"/>
      <c r="I66"/>
      <c r="J66"/>
      <c r="K66"/>
      <c r="L66"/>
      <c r="M66"/>
      <c r="N66"/>
      <c r="O66"/>
      <c r="P66"/>
      <c r="Q66"/>
      <c r="R66"/>
      <c r="S66"/>
      <c r="T66"/>
    </row>
    <row r="67" spans="3:20" x14ac:dyDescent="0.35">
      <c r="D67"/>
      <c r="E67"/>
      <c r="F67"/>
      <c r="G67"/>
      <c r="H67"/>
      <c r="I67"/>
      <c r="J67"/>
      <c r="K67"/>
      <c r="L67"/>
      <c r="M67"/>
      <c r="N67"/>
      <c r="O67"/>
      <c r="P67"/>
      <c r="Q67"/>
      <c r="R67"/>
      <c r="S67"/>
      <c r="T67"/>
    </row>
  </sheetData>
  <sheetProtection algorithmName="SHA-512" hashValue="n4Z/JSoxuyYvIRrFSldIqK86AjvnyirtF/k4y3FjM+dp4qx5inWrplIE30bc24HibrABDotDNBFLbWKtoyz+mw==" saltValue="vfjQWsCiARZrt7bBZFbo/Q==" spinCount="100000" sheet="1" objects="1" scenarios="1" selectLockedCells="1"/>
  <mergeCells count="1">
    <mergeCell ref="R52:S54"/>
  </mergeCells>
  <phoneticPr fontId="4" type="noConversion"/>
  <hyperlinks>
    <hyperlink ref="R52:S54" location="'Key stage 2 Data Input'!A1" display="To Key stage 2 Data Input Sheet  ---&gt;" xr:uid="{00000000-0004-0000-0100-000000000000}"/>
  </hyperlinks>
  <pageMargins left="0.75" right="0.75" top="1" bottom="1" header="0.5" footer="0.5"/>
  <pageSetup paperSize="9" scale="7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T95"/>
  <sheetViews>
    <sheetView workbookViewId="0">
      <selection activeCell="A8" sqref="A8"/>
    </sheetView>
  </sheetViews>
  <sheetFormatPr defaultColWidth="9" defaultRowHeight="14.25" x14ac:dyDescent="0.45"/>
  <cols>
    <col min="1" max="1" width="24" style="213" customWidth="1"/>
    <col min="2" max="4" width="9" style="213"/>
    <col min="5" max="5" width="26" style="213" customWidth="1"/>
    <col min="6" max="6" width="9" style="213"/>
    <col min="7" max="7" width="9" style="217"/>
    <col min="8" max="8" width="20.73046875" style="213" bestFit="1" customWidth="1"/>
    <col min="9" max="11" width="9" style="213"/>
    <col min="12" max="12" width="20" style="213" customWidth="1"/>
    <col min="13" max="16384" width="9" style="213"/>
  </cols>
  <sheetData>
    <row r="1" spans="1:20" x14ac:dyDescent="0.45">
      <c r="A1" s="212" t="s">
        <v>240</v>
      </c>
      <c r="H1" s="212" t="s">
        <v>241</v>
      </c>
    </row>
    <row r="2" spans="1:20" ht="14.65" thickBot="1" x14ac:dyDescent="0.5">
      <c r="A2" s="214" t="s">
        <v>242</v>
      </c>
      <c r="B2" s="214" t="s">
        <v>243</v>
      </c>
      <c r="C2" s="214" t="s">
        <v>244</v>
      </c>
      <c r="D2" s="214" t="s">
        <v>245</v>
      </c>
      <c r="E2" s="215" t="s">
        <v>246</v>
      </c>
      <c r="F2" s="214" t="s">
        <v>247</v>
      </c>
      <c r="G2" s="218" t="s">
        <v>243</v>
      </c>
      <c r="H2" s="214" t="s">
        <v>242</v>
      </c>
      <c r="I2" s="214" t="s">
        <v>243</v>
      </c>
      <c r="J2" s="214" t="s">
        <v>244</v>
      </c>
      <c r="K2" s="214" t="s">
        <v>245</v>
      </c>
      <c r="L2" s="215" t="s">
        <v>246</v>
      </c>
      <c r="M2" s="214" t="s">
        <v>247</v>
      </c>
      <c r="N2" s="229" t="s">
        <v>243</v>
      </c>
    </row>
    <row r="3" spans="1:20" ht="15.4" customHeight="1" thickBot="1" x14ac:dyDescent="0.5">
      <c r="A3" s="56" t="s">
        <v>28</v>
      </c>
      <c r="B3" s="34" t="s">
        <v>10</v>
      </c>
      <c r="D3" s="214"/>
      <c r="E3" s="56" t="s">
        <v>28</v>
      </c>
      <c r="F3" s="32" t="s">
        <v>10</v>
      </c>
      <c r="G3" s="32" t="s">
        <v>10</v>
      </c>
      <c r="H3" s="56" t="s">
        <v>28</v>
      </c>
      <c r="I3" s="34" t="s">
        <v>10</v>
      </c>
      <c r="K3" s="214"/>
      <c r="L3" s="56" t="s">
        <v>28</v>
      </c>
      <c r="M3" s="32" t="s">
        <v>10</v>
      </c>
      <c r="N3" s="32" t="s">
        <v>10</v>
      </c>
      <c r="Q3" s="341" t="s">
        <v>145</v>
      </c>
      <c r="R3" s="342"/>
      <c r="S3" s="343" t="s">
        <v>353</v>
      </c>
      <c r="T3" s="344"/>
    </row>
    <row r="4" spans="1:20" ht="30.4" thickBot="1" x14ac:dyDescent="0.5">
      <c r="A4" s="49" t="s">
        <v>29</v>
      </c>
      <c r="B4" s="35" t="s">
        <v>10</v>
      </c>
      <c r="D4" s="214"/>
      <c r="E4" s="49" t="s">
        <v>29</v>
      </c>
      <c r="F4" s="36" t="s">
        <v>10</v>
      </c>
      <c r="G4" s="36" t="s">
        <v>10</v>
      </c>
      <c r="H4" s="49" t="s">
        <v>29</v>
      </c>
      <c r="I4" s="35" t="s">
        <v>10</v>
      </c>
      <c r="K4" s="214"/>
      <c r="L4" s="49" t="s">
        <v>29</v>
      </c>
      <c r="M4" s="36" t="s">
        <v>10</v>
      </c>
      <c r="N4" s="36" t="s">
        <v>10</v>
      </c>
      <c r="Q4" s="273" t="s">
        <v>243</v>
      </c>
      <c r="R4" s="274" t="s">
        <v>354</v>
      </c>
      <c r="S4" s="274" t="s">
        <v>243</v>
      </c>
      <c r="T4" s="274" t="s">
        <v>354</v>
      </c>
    </row>
    <row r="5" spans="1:20" ht="15.4" thickBot="1" x14ac:dyDescent="0.5">
      <c r="A5" s="49" t="s">
        <v>30</v>
      </c>
      <c r="B5" s="35" t="s">
        <v>10</v>
      </c>
      <c r="D5" s="214"/>
      <c r="E5" s="49" t="s">
        <v>30</v>
      </c>
      <c r="F5" s="37" t="s">
        <v>10</v>
      </c>
      <c r="G5" s="37" t="s">
        <v>10</v>
      </c>
      <c r="H5" s="49" t="s">
        <v>30</v>
      </c>
      <c r="I5" s="35" t="s">
        <v>10</v>
      </c>
      <c r="K5" s="214"/>
      <c r="L5" s="49" t="s">
        <v>30</v>
      </c>
      <c r="M5" s="37" t="s">
        <v>10</v>
      </c>
      <c r="N5" s="37" t="s">
        <v>10</v>
      </c>
      <c r="Q5" s="275" t="s">
        <v>0</v>
      </c>
      <c r="R5" s="282" t="s">
        <v>355</v>
      </c>
      <c r="S5" s="276" t="s">
        <v>0</v>
      </c>
      <c r="T5" s="282" t="s">
        <v>356</v>
      </c>
    </row>
    <row r="6" spans="1:20" ht="15.4" thickBot="1" x14ac:dyDescent="0.5">
      <c r="A6" s="20" t="s">
        <v>32</v>
      </c>
      <c r="B6" s="33" t="s">
        <v>10</v>
      </c>
      <c r="D6" s="214"/>
      <c r="E6" s="20" t="s">
        <v>32</v>
      </c>
      <c r="F6" s="32" t="s">
        <v>10</v>
      </c>
      <c r="G6" s="32" t="s">
        <v>10</v>
      </c>
      <c r="H6" s="20" t="s">
        <v>32</v>
      </c>
      <c r="I6" s="33" t="s">
        <v>10</v>
      </c>
      <c r="K6" s="214"/>
      <c r="L6" s="20" t="s">
        <v>32</v>
      </c>
      <c r="M6" s="32" t="s">
        <v>10</v>
      </c>
      <c r="N6" s="32" t="s">
        <v>10</v>
      </c>
      <c r="Q6" s="275" t="s">
        <v>10</v>
      </c>
      <c r="R6" s="276"/>
      <c r="S6" s="283">
        <v>2</v>
      </c>
      <c r="T6" s="283" t="s">
        <v>357</v>
      </c>
    </row>
    <row r="7" spans="1:20" ht="15.4" thickBot="1" x14ac:dyDescent="0.5">
      <c r="A7" s="20" t="s">
        <v>31</v>
      </c>
      <c r="B7" s="33" t="s">
        <v>10</v>
      </c>
      <c r="D7" s="214"/>
      <c r="E7" s="20" t="s">
        <v>31</v>
      </c>
      <c r="F7" s="32" t="s">
        <v>10</v>
      </c>
      <c r="G7" s="32" t="s">
        <v>10</v>
      </c>
      <c r="H7" s="20" t="s">
        <v>31</v>
      </c>
      <c r="I7" s="33" t="s">
        <v>10</v>
      </c>
      <c r="K7" s="214"/>
      <c r="L7" s="20" t="s">
        <v>31</v>
      </c>
      <c r="M7" s="32" t="s">
        <v>10</v>
      </c>
      <c r="N7" s="32" t="s">
        <v>10</v>
      </c>
      <c r="Q7" s="284">
        <v>3</v>
      </c>
      <c r="R7" s="285" t="s">
        <v>363</v>
      </c>
      <c r="S7" s="286">
        <v>3</v>
      </c>
      <c r="T7" s="286" t="s">
        <v>358</v>
      </c>
    </row>
    <row r="8" spans="1:20" ht="15.4" thickBot="1" x14ac:dyDescent="0.5">
      <c r="A8" s="20" t="s">
        <v>33</v>
      </c>
      <c r="B8" s="33" t="s">
        <v>10</v>
      </c>
      <c r="D8" s="214"/>
      <c r="E8" s="20" t="s">
        <v>33</v>
      </c>
      <c r="F8" s="32" t="s">
        <v>10</v>
      </c>
      <c r="G8" s="32" t="s">
        <v>10</v>
      </c>
      <c r="H8" s="20" t="s">
        <v>33</v>
      </c>
      <c r="I8" s="33" t="s">
        <v>10</v>
      </c>
      <c r="K8" s="214"/>
      <c r="L8" s="20" t="s">
        <v>33</v>
      </c>
      <c r="M8" s="32" t="s">
        <v>10</v>
      </c>
      <c r="N8" s="32" t="s">
        <v>10</v>
      </c>
      <c r="Q8" s="287">
        <v>4</v>
      </c>
      <c r="R8" s="288" t="s">
        <v>359</v>
      </c>
      <c r="S8" s="288">
        <v>4</v>
      </c>
      <c r="T8" s="288" t="s">
        <v>360</v>
      </c>
    </row>
    <row r="9" spans="1:20" ht="15.4" thickBot="1" x14ac:dyDescent="0.5">
      <c r="A9" s="50" t="s">
        <v>34</v>
      </c>
      <c r="B9" s="33" t="s">
        <v>10</v>
      </c>
      <c r="D9" s="214"/>
      <c r="E9" s="50" t="s">
        <v>34</v>
      </c>
      <c r="F9" s="32" t="s">
        <v>10</v>
      </c>
      <c r="G9" s="32" t="s">
        <v>10</v>
      </c>
      <c r="H9" s="50" t="s">
        <v>34</v>
      </c>
      <c r="I9" s="33" t="s">
        <v>10</v>
      </c>
      <c r="K9" s="214"/>
      <c r="L9" s="50" t="s">
        <v>34</v>
      </c>
      <c r="M9" s="32" t="s">
        <v>10</v>
      </c>
      <c r="N9" s="32" t="s">
        <v>10</v>
      </c>
      <c r="Q9" s="289">
        <v>5</v>
      </c>
      <c r="R9" s="290" t="s">
        <v>361</v>
      </c>
      <c r="S9" s="290">
        <v>5</v>
      </c>
      <c r="T9" s="290" t="s">
        <v>362</v>
      </c>
    </row>
    <row r="10" spans="1:20" x14ac:dyDescent="0.45">
      <c r="A10" s="295">
        <v>12</v>
      </c>
      <c r="B10" s="295">
        <v>3</v>
      </c>
      <c r="C10" s="295">
        <v>12</v>
      </c>
      <c r="D10" s="295">
        <v>18</v>
      </c>
      <c r="E10" s="295" t="str">
        <f t="shared" ref="E10:E48" si="0">CONCATENATE(A10," - Fine grade = ",ROUND(F10,4))</f>
        <v>12 - Fine grade = 3</v>
      </c>
      <c r="F10" s="295">
        <f t="shared" ref="F10:F48" si="1">B10+((A10-C10)/(D10-C10+1))</f>
        <v>3</v>
      </c>
      <c r="G10" s="296">
        <f t="shared" ref="G10:G48" si="2">B10</f>
        <v>3</v>
      </c>
      <c r="H10" s="297">
        <v>15</v>
      </c>
      <c r="I10" s="297">
        <v>2</v>
      </c>
      <c r="J10" s="297">
        <v>15</v>
      </c>
      <c r="K10" s="297">
        <v>17</v>
      </c>
      <c r="L10" s="297" t="str">
        <f>CONCATENATE(H10," - Fine grade = ",ROUND(M10,4))</f>
        <v>15 - Fine grade = 2.8929</v>
      </c>
      <c r="M10" s="297">
        <f>3-((J13-H10)/(K13-J13+1))</f>
        <v>2.8928571428571428</v>
      </c>
      <c r="N10" s="297">
        <f>I10</f>
        <v>2</v>
      </c>
      <c r="P10" s="216"/>
      <c r="R10" s="216"/>
    </row>
    <row r="11" spans="1:20" x14ac:dyDescent="0.45">
      <c r="A11" s="295">
        <v>13</v>
      </c>
      <c r="B11" s="295">
        <v>3</v>
      </c>
      <c r="C11" s="295">
        <v>12</v>
      </c>
      <c r="D11" s="295">
        <v>18</v>
      </c>
      <c r="E11" s="295" t="str">
        <f t="shared" si="0"/>
        <v>13 - Fine grade = 3.1429</v>
      </c>
      <c r="F11" s="295">
        <f t="shared" si="1"/>
        <v>3.1428571428571428</v>
      </c>
      <c r="G11" s="296">
        <f t="shared" si="2"/>
        <v>3</v>
      </c>
      <c r="H11" s="297">
        <f>H10+1</f>
        <v>16</v>
      </c>
      <c r="I11" s="297">
        <v>2</v>
      </c>
      <c r="J11" s="297">
        <v>15</v>
      </c>
      <c r="K11" s="297">
        <v>17</v>
      </c>
      <c r="L11" s="297" t="str">
        <f t="shared" ref="L11:L74" si="3">CONCATENATE(H11," - Fine grade = ",ROUND(M11,4))</f>
        <v>16 - Fine grade = 2.9286</v>
      </c>
      <c r="M11" s="297">
        <f>3-((J14-H11)/(K14-J14+1))</f>
        <v>2.9285714285714284</v>
      </c>
      <c r="N11" s="297">
        <f t="shared" ref="N11:N74" si="4">I11</f>
        <v>2</v>
      </c>
      <c r="P11" s="216"/>
      <c r="R11" s="216"/>
    </row>
    <row r="12" spans="1:20" x14ac:dyDescent="0.45">
      <c r="A12" s="295">
        <v>14</v>
      </c>
      <c r="B12" s="295">
        <v>3</v>
      </c>
      <c r="C12" s="295">
        <v>12</v>
      </c>
      <c r="D12" s="295">
        <v>18</v>
      </c>
      <c r="E12" s="295" t="str">
        <f t="shared" si="0"/>
        <v>14 - Fine grade = 3.2857</v>
      </c>
      <c r="F12" s="295">
        <f t="shared" si="1"/>
        <v>3.2857142857142856</v>
      </c>
      <c r="G12" s="296">
        <f t="shared" si="2"/>
        <v>3</v>
      </c>
      <c r="H12" s="297">
        <f t="shared" ref="H12:H75" si="5">H11+1</f>
        <v>17</v>
      </c>
      <c r="I12" s="297">
        <v>2</v>
      </c>
      <c r="J12" s="297">
        <v>15</v>
      </c>
      <c r="K12" s="297">
        <v>17</v>
      </c>
      <c r="L12" s="297" t="str">
        <f t="shared" si="3"/>
        <v>17 - Fine grade = 2.9643</v>
      </c>
      <c r="M12" s="297">
        <f>3-((J15-H12)/(K15-J15+1))</f>
        <v>2.9642857142857144</v>
      </c>
      <c r="N12" s="297">
        <f t="shared" si="4"/>
        <v>2</v>
      </c>
      <c r="P12" s="216"/>
      <c r="R12" s="216"/>
    </row>
    <row r="13" spans="1:20" x14ac:dyDescent="0.45">
      <c r="A13" s="295">
        <v>15</v>
      </c>
      <c r="B13" s="295">
        <v>3</v>
      </c>
      <c r="C13" s="295">
        <v>12</v>
      </c>
      <c r="D13" s="295">
        <v>18</v>
      </c>
      <c r="E13" s="295" t="str">
        <f t="shared" si="0"/>
        <v>15 - Fine grade = 3.4286</v>
      </c>
      <c r="F13" s="295">
        <f t="shared" si="1"/>
        <v>3.4285714285714284</v>
      </c>
      <c r="G13" s="296">
        <f t="shared" si="2"/>
        <v>3</v>
      </c>
      <c r="H13" s="295">
        <f t="shared" si="5"/>
        <v>18</v>
      </c>
      <c r="I13" s="295">
        <v>3</v>
      </c>
      <c r="J13" s="295">
        <v>18</v>
      </c>
      <c r="K13" s="295">
        <v>45</v>
      </c>
      <c r="L13" s="295" t="str">
        <f t="shared" si="3"/>
        <v>18 - Fine grade = 3</v>
      </c>
      <c r="M13" s="295">
        <f t="shared" ref="M13:M76" si="6">I13+((H13-J13)/(K13-J13+1))</f>
        <v>3</v>
      </c>
      <c r="N13" s="295">
        <f t="shared" si="4"/>
        <v>3</v>
      </c>
      <c r="P13" s="216"/>
      <c r="R13" s="216"/>
    </row>
    <row r="14" spans="1:20" x14ac:dyDescent="0.45">
      <c r="A14" s="295">
        <v>16</v>
      </c>
      <c r="B14" s="295">
        <v>3</v>
      </c>
      <c r="C14" s="295">
        <v>12</v>
      </c>
      <c r="D14" s="295">
        <v>18</v>
      </c>
      <c r="E14" s="295" t="str">
        <f t="shared" si="0"/>
        <v>16 - Fine grade = 3.5714</v>
      </c>
      <c r="F14" s="295">
        <f t="shared" si="1"/>
        <v>3.5714285714285712</v>
      </c>
      <c r="G14" s="296">
        <f t="shared" si="2"/>
        <v>3</v>
      </c>
      <c r="H14" s="295">
        <f t="shared" si="5"/>
        <v>19</v>
      </c>
      <c r="I14" s="295">
        <v>3</v>
      </c>
      <c r="J14" s="295">
        <v>18</v>
      </c>
      <c r="K14" s="295">
        <v>45</v>
      </c>
      <c r="L14" s="295" t="str">
        <f t="shared" si="3"/>
        <v>19 - Fine grade = 3.0357</v>
      </c>
      <c r="M14" s="295">
        <f t="shared" si="6"/>
        <v>3.0357142857142856</v>
      </c>
      <c r="N14" s="295">
        <f t="shared" si="4"/>
        <v>3</v>
      </c>
      <c r="P14" s="216"/>
      <c r="R14" s="216"/>
    </row>
    <row r="15" spans="1:20" x14ac:dyDescent="0.45">
      <c r="A15" s="295">
        <v>17</v>
      </c>
      <c r="B15" s="295">
        <v>3</v>
      </c>
      <c r="C15" s="295">
        <v>12</v>
      </c>
      <c r="D15" s="295">
        <v>18</v>
      </c>
      <c r="E15" s="295" t="str">
        <f t="shared" si="0"/>
        <v>17 - Fine grade = 3.7143</v>
      </c>
      <c r="F15" s="295">
        <f t="shared" si="1"/>
        <v>3.7142857142857144</v>
      </c>
      <c r="G15" s="296">
        <f t="shared" si="2"/>
        <v>3</v>
      </c>
      <c r="H15" s="295">
        <f t="shared" si="5"/>
        <v>20</v>
      </c>
      <c r="I15" s="295">
        <v>3</v>
      </c>
      <c r="J15" s="295">
        <v>18</v>
      </c>
      <c r="K15" s="295">
        <v>45</v>
      </c>
      <c r="L15" s="295" t="str">
        <f t="shared" si="3"/>
        <v>20 - Fine grade = 3.0714</v>
      </c>
      <c r="M15" s="295">
        <f t="shared" si="6"/>
        <v>3.0714285714285716</v>
      </c>
      <c r="N15" s="295">
        <f t="shared" si="4"/>
        <v>3</v>
      </c>
      <c r="P15" s="216"/>
      <c r="R15" s="216"/>
    </row>
    <row r="16" spans="1:20" x14ac:dyDescent="0.45">
      <c r="A16" s="295">
        <f t="shared" ref="A16:A48" si="7">A15+1</f>
        <v>18</v>
      </c>
      <c r="B16" s="295">
        <v>3</v>
      </c>
      <c r="C16" s="295">
        <v>12</v>
      </c>
      <c r="D16" s="295">
        <v>18</v>
      </c>
      <c r="E16" s="295" t="str">
        <f t="shared" si="0"/>
        <v>18 - Fine grade = 3.8571</v>
      </c>
      <c r="F16" s="295">
        <f t="shared" si="1"/>
        <v>3.8571428571428572</v>
      </c>
      <c r="G16" s="296">
        <f t="shared" si="2"/>
        <v>3</v>
      </c>
      <c r="H16" s="295">
        <f t="shared" si="5"/>
        <v>21</v>
      </c>
      <c r="I16" s="295">
        <v>3</v>
      </c>
      <c r="J16" s="295">
        <v>18</v>
      </c>
      <c r="K16" s="295">
        <v>45</v>
      </c>
      <c r="L16" s="295" t="str">
        <f t="shared" si="3"/>
        <v>21 - Fine grade = 3.1071</v>
      </c>
      <c r="M16" s="295">
        <f t="shared" si="6"/>
        <v>3.1071428571428572</v>
      </c>
      <c r="N16" s="295">
        <f t="shared" si="4"/>
        <v>3</v>
      </c>
      <c r="P16" s="216"/>
      <c r="R16" s="216"/>
    </row>
    <row r="17" spans="1:18" x14ac:dyDescent="0.45">
      <c r="A17" s="293">
        <f t="shared" si="7"/>
        <v>19</v>
      </c>
      <c r="B17" s="293">
        <v>4</v>
      </c>
      <c r="C17" s="293">
        <v>19</v>
      </c>
      <c r="D17" s="293">
        <v>31</v>
      </c>
      <c r="E17" s="293" t="str">
        <f t="shared" si="0"/>
        <v>19 - Fine grade = 4</v>
      </c>
      <c r="F17" s="293">
        <f t="shared" si="1"/>
        <v>4</v>
      </c>
      <c r="G17" s="294">
        <f t="shared" si="2"/>
        <v>4</v>
      </c>
      <c r="H17" s="295">
        <f t="shared" si="5"/>
        <v>22</v>
      </c>
      <c r="I17" s="295">
        <v>3</v>
      </c>
      <c r="J17" s="295">
        <v>18</v>
      </c>
      <c r="K17" s="295">
        <v>45</v>
      </c>
      <c r="L17" s="295" t="str">
        <f t="shared" si="3"/>
        <v>22 - Fine grade = 3.1429</v>
      </c>
      <c r="M17" s="295">
        <f t="shared" si="6"/>
        <v>3.1428571428571428</v>
      </c>
      <c r="N17" s="295">
        <f t="shared" si="4"/>
        <v>3</v>
      </c>
      <c r="P17" s="216"/>
      <c r="R17" s="216"/>
    </row>
    <row r="18" spans="1:18" x14ac:dyDescent="0.45">
      <c r="A18" s="293">
        <f t="shared" si="7"/>
        <v>20</v>
      </c>
      <c r="B18" s="293">
        <v>4</v>
      </c>
      <c r="C18" s="293">
        <v>19</v>
      </c>
      <c r="D18" s="293">
        <v>31</v>
      </c>
      <c r="E18" s="293" t="str">
        <f t="shared" si="0"/>
        <v>20 - Fine grade = 4.0769</v>
      </c>
      <c r="F18" s="293">
        <f t="shared" si="1"/>
        <v>4.0769230769230766</v>
      </c>
      <c r="G18" s="294">
        <f t="shared" si="2"/>
        <v>4</v>
      </c>
      <c r="H18" s="295">
        <f t="shared" si="5"/>
        <v>23</v>
      </c>
      <c r="I18" s="295">
        <v>3</v>
      </c>
      <c r="J18" s="295">
        <v>18</v>
      </c>
      <c r="K18" s="295">
        <v>45</v>
      </c>
      <c r="L18" s="295" t="str">
        <f t="shared" si="3"/>
        <v>23 - Fine grade = 3.1786</v>
      </c>
      <c r="M18" s="295">
        <f t="shared" si="6"/>
        <v>3.1785714285714284</v>
      </c>
      <c r="N18" s="295">
        <f t="shared" si="4"/>
        <v>3</v>
      </c>
      <c r="P18" s="216"/>
      <c r="R18" s="216"/>
    </row>
    <row r="19" spans="1:18" x14ac:dyDescent="0.45">
      <c r="A19" s="293">
        <f t="shared" si="7"/>
        <v>21</v>
      </c>
      <c r="B19" s="293">
        <v>4</v>
      </c>
      <c r="C19" s="293">
        <v>19</v>
      </c>
      <c r="D19" s="293">
        <v>31</v>
      </c>
      <c r="E19" s="293" t="str">
        <f t="shared" si="0"/>
        <v>21 - Fine grade = 4.1538</v>
      </c>
      <c r="F19" s="293">
        <f t="shared" si="1"/>
        <v>4.1538461538461542</v>
      </c>
      <c r="G19" s="294">
        <f t="shared" si="2"/>
        <v>4</v>
      </c>
      <c r="H19" s="295">
        <f t="shared" si="5"/>
        <v>24</v>
      </c>
      <c r="I19" s="295">
        <v>3</v>
      </c>
      <c r="J19" s="295">
        <v>18</v>
      </c>
      <c r="K19" s="295">
        <v>45</v>
      </c>
      <c r="L19" s="295" t="str">
        <f t="shared" si="3"/>
        <v>24 - Fine grade = 3.2143</v>
      </c>
      <c r="M19" s="295">
        <f t="shared" si="6"/>
        <v>3.2142857142857144</v>
      </c>
      <c r="N19" s="295">
        <f t="shared" si="4"/>
        <v>3</v>
      </c>
      <c r="P19" s="216"/>
      <c r="R19" s="216"/>
    </row>
    <row r="20" spans="1:18" x14ac:dyDescent="0.45">
      <c r="A20" s="293">
        <f t="shared" si="7"/>
        <v>22</v>
      </c>
      <c r="B20" s="293">
        <v>4</v>
      </c>
      <c r="C20" s="293">
        <v>19</v>
      </c>
      <c r="D20" s="293">
        <v>31</v>
      </c>
      <c r="E20" s="293" t="str">
        <f t="shared" si="0"/>
        <v>22 - Fine grade = 4.2308</v>
      </c>
      <c r="F20" s="293">
        <f t="shared" si="1"/>
        <v>4.2307692307692308</v>
      </c>
      <c r="G20" s="294">
        <f t="shared" si="2"/>
        <v>4</v>
      </c>
      <c r="H20" s="295">
        <f t="shared" si="5"/>
        <v>25</v>
      </c>
      <c r="I20" s="295">
        <v>3</v>
      </c>
      <c r="J20" s="295">
        <v>18</v>
      </c>
      <c r="K20" s="295">
        <v>45</v>
      </c>
      <c r="L20" s="295" t="str">
        <f t="shared" si="3"/>
        <v>25 - Fine grade = 3.25</v>
      </c>
      <c r="M20" s="295">
        <f t="shared" si="6"/>
        <v>3.25</v>
      </c>
      <c r="N20" s="295">
        <f t="shared" si="4"/>
        <v>3</v>
      </c>
      <c r="P20" s="216"/>
      <c r="R20" s="216"/>
    </row>
    <row r="21" spans="1:18" x14ac:dyDescent="0.45">
      <c r="A21" s="293">
        <f t="shared" si="7"/>
        <v>23</v>
      </c>
      <c r="B21" s="293">
        <v>4</v>
      </c>
      <c r="C21" s="293">
        <v>19</v>
      </c>
      <c r="D21" s="293">
        <v>31</v>
      </c>
      <c r="E21" s="293" t="str">
        <f t="shared" si="0"/>
        <v>23 - Fine grade = 4.3077</v>
      </c>
      <c r="F21" s="293">
        <f t="shared" si="1"/>
        <v>4.3076923076923075</v>
      </c>
      <c r="G21" s="294">
        <f t="shared" si="2"/>
        <v>4</v>
      </c>
      <c r="H21" s="295">
        <f t="shared" si="5"/>
        <v>26</v>
      </c>
      <c r="I21" s="295">
        <v>3</v>
      </c>
      <c r="J21" s="295">
        <v>18</v>
      </c>
      <c r="K21" s="295">
        <v>45</v>
      </c>
      <c r="L21" s="295" t="str">
        <f t="shared" si="3"/>
        <v>26 - Fine grade = 3.2857</v>
      </c>
      <c r="M21" s="295">
        <f t="shared" si="6"/>
        <v>3.2857142857142856</v>
      </c>
      <c r="N21" s="295">
        <f t="shared" si="4"/>
        <v>3</v>
      </c>
      <c r="P21" s="216"/>
      <c r="R21" s="216"/>
    </row>
    <row r="22" spans="1:18" x14ac:dyDescent="0.45">
      <c r="A22" s="293">
        <f t="shared" si="7"/>
        <v>24</v>
      </c>
      <c r="B22" s="293">
        <v>4</v>
      </c>
      <c r="C22" s="293">
        <v>19</v>
      </c>
      <c r="D22" s="293">
        <v>31</v>
      </c>
      <c r="E22" s="293" t="str">
        <f t="shared" si="0"/>
        <v>24 - Fine grade = 4.3846</v>
      </c>
      <c r="F22" s="293">
        <f t="shared" si="1"/>
        <v>4.384615384615385</v>
      </c>
      <c r="G22" s="294">
        <f t="shared" si="2"/>
        <v>4</v>
      </c>
      <c r="H22" s="295">
        <f t="shared" si="5"/>
        <v>27</v>
      </c>
      <c r="I22" s="295">
        <v>3</v>
      </c>
      <c r="J22" s="295">
        <v>18</v>
      </c>
      <c r="K22" s="295">
        <v>45</v>
      </c>
      <c r="L22" s="295" t="str">
        <f t="shared" si="3"/>
        <v>27 - Fine grade = 3.3214</v>
      </c>
      <c r="M22" s="295">
        <f t="shared" si="6"/>
        <v>3.3214285714285716</v>
      </c>
      <c r="N22" s="295">
        <f t="shared" si="4"/>
        <v>3</v>
      </c>
      <c r="P22" s="216"/>
      <c r="R22" s="216"/>
    </row>
    <row r="23" spans="1:18" x14ac:dyDescent="0.45">
      <c r="A23" s="293">
        <f t="shared" si="7"/>
        <v>25</v>
      </c>
      <c r="B23" s="293">
        <v>4</v>
      </c>
      <c r="C23" s="293">
        <v>19</v>
      </c>
      <c r="D23" s="293">
        <v>31</v>
      </c>
      <c r="E23" s="293" t="str">
        <f t="shared" si="0"/>
        <v>25 - Fine grade = 4.4615</v>
      </c>
      <c r="F23" s="293">
        <f t="shared" si="1"/>
        <v>4.4615384615384617</v>
      </c>
      <c r="G23" s="294">
        <f t="shared" si="2"/>
        <v>4</v>
      </c>
      <c r="H23" s="295">
        <f t="shared" si="5"/>
        <v>28</v>
      </c>
      <c r="I23" s="295">
        <v>3</v>
      </c>
      <c r="J23" s="295">
        <v>18</v>
      </c>
      <c r="K23" s="295">
        <v>45</v>
      </c>
      <c r="L23" s="295" t="str">
        <f t="shared" si="3"/>
        <v>28 - Fine grade = 3.3571</v>
      </c>
      <c r="M23" s="295">
        <f t="shared" si="6"/>
        <v>3.3571428571428572</v>
      </c>
      <c r="N23" s="295">
        <f t="shared" si="4"/>
        <v>3</v>
      </c>
      <c r="P23" s="216"/>
      <c r="R23" s="216"/>
    </row>
    <row r="24" spans="1:18" x14ac:dyDescent="0.45">
      <c r="A24" s="293">
        <f t="shared" si="7"/>
        <v>26</v>
      </c>
      <c r="B24" s="293">
        <v>4</v>
      </c>
      <c r="C24" s="293">
        <v>19</v>
      </c>
      <c r="D24" s="293">
        <v>31</v>
      </c>
      <c r="E24" s="293" t="str">
        <f t="shared" si="0"/>
        <v>26 - Fine grade = 4.5385</v>
      </c>
      <c r="F24" s="293">
        <f t="shared" si="1"/>
        <v>4.5384615384615383</v>
      </c>
      <c r="G24" s="294">
        <f t="shared" si="2"/>
        <v>4</v>
      </c>
      <c r="H24" s="295">
        <f t="shared" si="5"/>
        <v>29</v>
      </c>
      <c r="I24" s="295">
        <v>3</v>
      </c>
      <c r="J24" s="295">
        <v>18</v>
      </c>
      <c r="K24" s="295">
        <v>45</v>
      </c>
      <c r="L24" s="295" t="str">
        <f t="shared" si="3"/>
        <v>29 - Fine grade = 3.3929</v>
      </c>
      <c r="M24" s="295">
        <f t="shared" si="6"/>
        <v>3.3928571428571428</v>
      </c>
      <c r="N24" s="295">
        <f t="shared" si="4"/>
        <v>3</v>
      </c>
      <c r="P24" s="216"/>
      <c r="R24" s="216"/>
    </row>
    <row r="25" spans="1:18" x14ac:dyDescent="0.45">
      <c r="A25" s="293">
        <f t="shared" si="7"/>
        <v>27</v>
      </c>
      <c r="B25" s="293">
        <v>4</v>
      </c>
      <c r="C25" s="293">
        <v>19</v>
      </c>
      <c r="D25" s="293">
        <v>31</v>
      </c>
      <c r="E25" s="293" t="str">
        <f t="shared" si="0"/>
        <v>27 - Fine grade = 4.6154</v>
      </c>
      <c r="F25" s="293">
        <f t="shared" si="1"/>
        <v>4.615384615384615</v>
      </c>
      <c r="G25" s="294">
        <f t="shared" si="2"/>
        <v>4</v>
      </c>
      <c r="H25" s="295">
        <f t="shared" si="5"/>
        <v>30</v>
      </c>
      <c r="I25" s="295">
        <v>3</v>
      </c>
      <c r="J25" s="295">
        <v>18</v>
      </c>
      <c r="K25" s="295">
        <v>45</v>
      </c>
      <c r="L25" s="295" t="str">
        <f t="shared" si="3"/>
        <v>30 - Fine grade = 3.4286</v>
      </c>
      <c r="M25" s="295">
        <f t="shared" si="6"/>
        <v>3.4285714285714284</v>
      </c>
      <c r="N25" s="295">
        <f t="shared" si="4"/>
        <v>3</v>
      </c>
      <c r="P25" s="216"/>
      <c r="R25" s="216"/>
    </row>
    <row r="26" spans="1:18" x14ac:dyDescent="0.45">
      <c r="A26" s="293">
        <f t="shared" si="7"/>
        <v>28</v>
      </c>
      <c r="B26" s="293">
        <v>4</v>
      </c>
      <c r="C26" s="293">
        <v>19</v>
      </c>
      <c r="D26" s="293">
        <v>31</v>
      </c>
      <c r="E26" s="293" t="str">
        <f t="shared" si="0"/>
        <v>28 - Fine grade = 4.6923</v>
      </c>
      <c r="F26" s="293">
        <f t="shared" si="1"/>
        <v>4.6923076923076925</v>
      </c>
      <c r="G26" s="294">
        <f t="shared" si="2"/>
        <v>4</v>
      </c>
      <c r="H26" s="295">
        <f t="shared" si="5"/>
        <v>31</v>
      </c>
      <c r="I26" s="295">
        <v>3</v>
      </c>
      <c r="J26" s="295">
        <v>18</v>
      </c>
      <c r="K26" s="295">
        <v>45</v>
      </c>
      <c r="L26" s="295" t="str">
        <f t="shared" si="3"/>
        <v>31 - Fine grade = 3.4643</v>
      </c>
      <c r="M26" s="295">
        <f t="shared" si="6"/>
        <v>3.4642857142857144</v>
      </c>
      <c r="N26" s="295">
        <f t="shared" si="4"/>
        <v>3</v>
      </c>
      <c r="P26" s="216"/>
      <c r="R26" s="216"/>
    </row>
    <row r="27" spans="1:18" x14ac:dyDescent="0.45">
      <c r="A27" s="293">
        <f t="shared" si="7"/>
        <v>29</v>
      </c>
      <c r="B27" s="293">
        <v>4</v>
      </c>
      <c r="C27" s="293">
        <v>19</v>
      </c>
      <c r="D27" s="293">
        <v>31</v>
      </c>
      <c r="E27" s="293" t="str">
        <f t="shared" si="0"/>
        <v>29 - Fine grade = 4.7692</v>
      </c>
      <c r="F27" s="293">
        <f t="shared" si="1"/>
        <v>4.7692307692307692</v>
      </c>
      <c r="G27" s="294">
        <f t="shared" si="2"/>
        <v>4</v>
      </c>
      <c r="H27" s="295">
        <f t="shared" si="5"/>
        <v>32</v>
      </c>
      <c r="I27" s="295">
        <v>3</v>
      </c>
      <c r="J27" s="295">
        <v>18</v>
      </c>
      <c r="K27" s="295">
        <v>45</v>
      </c>
      <c r="L27" s="295" t="str">
        <f t="shared" si="3"/>
        <v>32 - Fine grade = 3.5</v>
      </c>
      <c r="M27" s="295">
        <f t="shared" si="6"/>
        <v>3.5</v>
      </c>
      <c r="N27" s="295">
        <f t="shared" si="4"/>
        <v>3</v>
      </c>
      <c r="P27" s="216"/>
      <c r="R27" s="216"/>
    </row>
    <row r="28" spans="1:18" x14ac:dyDescent="0.45">
      <c r="A28" s="293">
        <f t="shared" si="7"/>
        <v>30</v>
      </c>
      <c r="B28" s="293">
        <v>4</v>
      </c>
      <c r="C28" s="293">
        <v>19</v>
      </c>
      <c r="D28" s="293">
        <v>31</v>
      </c>
      <c r="E28" s="293" t="str">
        <f t="shared" si="0"/>
        <v>30 - Fine grade = 4.8462</v>
      </c>
      <c r="F28" s="293">
        <f t="shared" si="1"/>
        <v>4.8461538461538458</v>
      </c>
      <c r="G28" s="294">
        <f t="shared" si="2"/>
        <v>4</v>
      </c>
      <c r="H28" s="295">
        <f t="shared" si="5"/>
        <v>33</v>
      </c>
      <c r="I28" s="295">
        <v>3</v>
      </c>
      <c r="J28" s="295">
        <v>18</v>
      </c>
      <c r="K28" s="295">
        <v>45</v>
      </c>
      <c r="L28" s="295" t="str">
        <f t="shared" si="3"/>
        <v>33 - Fine grade = 3.5357</v>
      </c>
      <c r="M28" s="295">
        <f t="shared" si="6"/>
        <v>3.5357142857142856</v>
      </c>
      <c r="N28" s="295">
        <f t="shared" si="4"/>
        <v>3</v>
      </c>
      <c r="P28" s="216"/>
      <c r="R28" s="216"/>
    </row>
    <row r="29" spans="1:18" x14ac:dyDescent="0.45">
      <c r="A29" s="293">
        <f t="shared" si="7"/>
        <v>31</v>
      </c>
      <c r="B29" s="293">
        <v>4</v>
      </c>
      <c r="C29" s="293">
        <v>19</v>
      </c>
      <c r="D29" s="293">
        <v>31</v>
      </c>
      <c r="E29" s="293" t="str">
        <f t="shared" si="0"/>
        <v>31 - Fine grade = 4.9231</v>
      </c>
      <c r="F29" s="293">
        <f t="shared" si="1"/>
        <v>4.9230769230769234</v>
      </c>
      <c r="G29" s="294">
        <f t="shared" si="2"/>
        <v>4</v>
      </c>
      <c r="H29" s="295">
        <f t="shared" si="5"/>
        <v>34</v>
      </c>
      <c r="I29" s="295">
        <v>3</v>
      </c>
      <c r="J29" s="295">
        <v>18</v>
      </c>
      <c r="K29" s="295">
        <v>45</v>
      </c>
      <c r="L29" s="295" t="str">
        <f t="shared" si="3"/>
        <v>34 - Fine grade = 3.5714</v>
      </c>
      <c r="M29" s="295">
        <f t="shared" si="6"/>
        <v>3.5714285714285712</v>
      </c>
      <c r="N29" s="295">
        <f t="shared" si="4"/>
        <v>3</v>
      </c>
      <c r="P29" s="216"/>
      <c r="R29" s="216"/>
    </row>
    <row r="30" spans="1:18" x14ac:dyDescent="0.45">
      <c r="A30" s="291">
        <f t="shared" si="7"/>
        <v>32</v>
      </c>
      <c r="B30" s="291">
        <v>5</v>
      </c>
      <c r="C30" s="291">
        <v>32</v>
      </c>
      <c r="D30" s="291">
        <v>50</v>
      </c>
      <c r="E30" s="291" t="str">
        <f t="shared" si="0"/>
        <v>32 - Fine grade = 5</v>
      </c>
      <c r="F30" s="291">
        <f t="shared" si="1"/>
        <v>5</v>
      </c>
      <c r="G30" s="292">
        <f t="shared" si="2"/>
        <v>5</v>
      </c>
      <c r="H30" s="295">
        <f t="shared" si="5"/>
        <v>35</v>
      </c>
      <c r="I30" s="295">
        <v>3</v>
      </c>
      <c r="J30" s="295">
        <v>18</v>
      </c>
      <c r="K30" s="295">
        <v>45</v>
      </c>
      <c r="L30" s="295" t="str">
        <f t="shared" si="3"/>
        <v>35 - Fine grade = 3.6071</v>
      </c>
      <c r="M30" s="295">
        <f t="shared" si="6"/>
        <v>3.6071428571428572</v>
      </c>
      <c r="N30" s="295">
        <f t="shared" si="4"/>
        <v>3</v>
      </c>
      <c r="P30" s="216"/>
      <c r="R30" s="216"/>
    </row>
    <row r="31" spans="1:18" x14ac:dyDescent="0.45">
      <c r="A31" s="291">
        <f t="shared" si="7"/>
        <v>33</v>
      </c>
      <c r="B31" s="291">
        <v>5</v>
      </c>
      <c r="C31" s="291">
        <v>32</v>
      </c>
      <c r="D31" s="291">
        <v>50</v>
      </c>
      <c r="E31" s="291" t="str">
        <f t="shared" si="0"/>
        <v>33 - Fine grade = 5.0526</v>
      </c>
      <c r="F31" s="291">
        <f t="shared" si="1"/>
        <v>5.0526315789473681</v>
      </c>
      <c r="G31" s="292">
        <f t="shared" si="2"/>
        <v>5</v>
      </c>
      <c r="H31" s="295">
        <f t="shared" si="5"/>
        <v>36</v>
      </c>
      <c r="I31" s="295">
        <v>3</v>
      </c>
      <c r="J31" s="295">
        <v>18</v>
      </c>
      <c r="K31" s="295">
        <v>45</v>
      </c>
      <c r="L31" s="295" t="str">
        <f t="shared" si="3"/>
        <v>36 - Fine grade = 3.6429</v>
      </c>
      <c r="M31" s="295">
        <f t="shared" si="6"/>
        <v>3.6428571428571428</v>
      </c>
      <c r="N31" s="295">
        <f t="shared" si="4"/>
        <v>3</v>
      </c>
      <c r="P31" s="216"/>
      <c r="R31" s="216"/>
    </row>
    <row r="32" spans="1:18" x14ac:dyDescent="0.45">
      <c r="A32" s="291">
        <f t="shared" si="7"/>
        <v>34</v>
      </c>
      <c r="B32" s="291">
        <v>5</v>
      </c>
      <c r="C32" s="291">
        <v>32</v>
      </c>
      <c r="D32" s="291">
        <v>50</v>
      </c>
      <c r="E32" s="291" t="str">
        <f t="shared" si="0"/>
        <v>34 - Fine grade = 5.1053</v>
      </c>
      <c r="F32" s="291">
        <f t="shared" si="1"/>
        <v>5.1052631578947372</v>
      </c>
      <c r="G32" s="292">
        <f t="shared" si="2"/>
        <v>5</v>
      </c>
      <c r="H32" s="295">
        <f t="shared" si="5"/>
        <v>37</v>
      </c>
      <c r="I32" s="295">
        <v>3</v>
      </c>
      <c r="J32" s="295">
        <v>18</v>
      </c>
      <c r="K32" s="295">
        <v>45</v>
      </c>
      <c r="L32" s="295" t="str">
        <f t="shared" si="3"/>
        <v>37 - Fine grade = 3.6786</v>
      </c>
      <c r="M32" s="295">
        <f t="shared" si="6"/>
        <v>3.6785714285714288</v>
      </c>
      <c r="N32" s="295">
        <f t="shared" si="4"/>
        <v>3</v>
      </c>
      <c r="P32" s="216"/>
      <c r="R32" s="216"/>
    </row>
    <row r="33" spans="1:18" x14ac:dyDescent="0.45">
      <c r="A33" s="291">
        <f t="shared" si="7"/>
        <v>35</v>
      </c>
      <c r="B33" s="291">
        <v>5</v>
      </c>
      <c r="C33" s="291">
        <v>32</v>
      </c>
      <c r="D33" s="291">
        <v>50</v>
      </c>
      <c r="E33" s="291" t="str">
        <f t="shared" si="0"/>
        <v>35 - Fine grade = 5.1579</v>
      </c>
      <c r="F33" s="291">
        <f t="shared" si="1"/>
        <v>5.1578947368421053</v>
      </c>
      <c r="G33" s="292">
        <f t="shared" si="2"/>
        <v>5</v>
      </c>
      <c r="H33" s="295">
        <f t="shared" si="5"/>
        <v>38</v>
      </c>
      <c r="I33" s="295">
        <v>3</v>
      </c>
      <c r="J33" s="295">
        <v>18</v>
      </c>
      <c r="K33" s="295">
        <v>45</v>
      </c>
      <c r="L33" s="295" t="str">
        <f t="shared" si="3"/>
        <v>38 - Fine grade = 3.7143</v>
      </c>
      <c r="M33" s="295">
        <f t="shared" si="6"/>
        <v>3.7142857142857144</v>
      </c>
      <c r="N33" s="295">
        <f t="shared" si="4"/>
        <v>3</v>
      </c>
      <c r="P33" s="216"/>
      <c r="R33" s="216"/>
    </row>
    <row r="34" spans="1:18" x14ac:dyDescent="0.45">
      <c r="A34" s="291">
        <f t="shared" si="7"/>
        <v>36</v>
      </c>
      <c r="B34" s="291">
        <v>5</v>
      </c>
      <c r="C34" s="291">
        <v>32</v>
      </c>
      <c r="D34" s="291">
        <v>50</v>
      </c>
      <c r="E34" s="291" t="str">
        <f t="shared" si="0"/>
        <v>36 - Fine grade = 5.2105</v>
      </c>
      <c r="F34" s="291">
        <f t="shared" si="1"/>
        <v>5.2105263157894735</v>
      </c>
      <c r="G34" s="292">
        <f t="shared" si="2"/>
        <v>5</v>
      </c>
      <c r="H34" s="295">
        <f t="shared" si="5"/>
        <v>39</v>
      </c>
      <c r="I34" s="295">
        <v>3</v>
      </c>
      <c r="J34" s="295">
        <v>18</v>
      </c>
      <c r="K34" s="295">
        <v>45</v>
      </c>
      <c r="L34" s="295" t="str">
        <f t="shared" si="3"/>
        <v>39 - Fine grade = 3.75</v>
      </c>
      <c r="M34" s="295">
        <f t="shared" si="6"/>
        <v>3.75</v>
      </c>
      <c r="N34" s="295">
        <f t="shared" si="4"/>
        <v>3</v>
      </c>
      <c r="P34" s="216"/>
      <c r="R34" s="216"/>
    </row>
    <row r="35" spans="1:18" x14ac:dyDescent="0.45">
      <c r="A35" s="291">
        <f t="shared" si="7"/>
        <v>37</v>
      </c>
      <c r="B35" s="291">
        <v>5</v>
      </c>
      <c r="C35" s="291">
        <v>32</v>
      </c>
      <c r="D35" s="291">
        <v>50</v>
      </c>
      <c r="E35" s="291" t="str">
        <f t="shared" si="0"/>
        <v>37 - Fine grade = 5.2632</v>
      </c>
      <c r="F35" s="291">
        <f t="shared" si="1"/>
        <v>5.2631578947368425</v>
      </c>
      <c r="G35" s="292">
        <f t="shared" si="2"/>
        <v>5</v>
      </c>
      <c r="H35" s="295">
        <f t="shared" si="5"/>
        <v>40</v>
      </c>
      <c r="I35" s="295">
        <v>3</v>
      </c>
      <c r="J35" s="295">
        <v>18</v>
      </c>
      <c r="K35" s="295">
        <v>45</v>
      </c>
      <c r="L35" s="295" t="str">
        <f t="shared" si="3"/>
        <v>40 - Fine grade = 3.7857</v>
      </c>
      <c r="M35" s="295">
        <f t="shared" si="6"/>
        <v>3.7857142857142856</v>
      </c>
      <c r="N35" s="295">
        <f t="shared" si="4"/>
        <v>3</v>
      </c>
      <c r="P35" s="216"/>
      <c r="R35" s="216"/>
    </row>
    <row r="36" spans="1:18" x14ac:dyDescent="0.45">
      <c r="A36" s="291">
        <f t="shared" si="7"/>
        <v>38</v>
      </c>
      <c r="B36" s="291">
        <v>5</v>
      </c>
      <c r="C36" s="291">
        <v>32</v>
      </c>
      <c r="D36" s="291">
        <v>50</v>
      </c>
      <c r="E36" s="291" t="str">
        <f t="shared" si="0"/>
        <v>38 - Fine grade = 5.3158</v>
      </c>
      <c r="F36" s="291">
        <f t="shared" si="1"/>
        <v>5.3157894736842106</v>
      </c>
      <c r="G36" s="292">
        <f t="shared" si="2"/>
        <v>5</v>
      </c>
      <c r="H36" s="295">
        <f t="shared" si="5"/>
        <v>41</v>
      </c>
      <c r="I36" s="295">
        <v>3</v>
      </c>
      <c r="J36" s="295">
        <v>18</v>
      </c>
      <c r="K36" s="295">
        <v>45</v>
      </c>
      <c r="L36" s="295" t="str">
        <f t="shared" si="3"/>
        <v>41 - Fine grade = 3.8214</v>
      </c>
      <c r="M36" s="295">
        <f t="shared" si="6"/>
        <v>3.8214285714285712</v>
      </c>
      <c r="N36" s="295">
        <f t="shared" si="4"/>
        <v>3</v>
      </c>
      <c r="P36" s="216"/>
      <c r="R36" s="216"/>
    </row>
    <row r="37" spans="1:18" x14ac:dyDescent="0.45">
      <c r="A37" s="291">
        <f t="shared" si="7"/>
        <v>39</v>
      </c>
      <c r="B37" s="291">
        <v>5</v>
      </c>
      <c r="C37" s="291">
        <v>32</v>
      </c>
      <c r="D37" s="291">
        <v>50</v>
      </c>
      <c r="E37" s="291" t="str">
        <f t="shared" si="0"/>
        <v>39 - Fine grade = 5.3684</v>
      </c>
      <c r="F37" s="291">
        <f t="shared" si="1"/>
        <v>5.3684210526315788</v>
      </c>
      <c r="G37" s="292">
        <f t="shared" si="2"/>
        <v>5</v>
      </c>
      <c r="H37" s="295">
        <f t="shared" si="5"/>
        <v>42</v>
      </c>
      <c r="I37" s="295">
        <v>3</v>
      </c>
      <c r="J37" s="295">
        <v>18</v>
      </c>
      <c r="K37" s="295">
        <v>45</v>
      </c>
      <c r="L37" s="295" t="str">
        <f t="shared" si="3"/>
        <v>42 - Fine grade = 3.8571</v>
      </c>
      <c r="M37" s="295">
        <f t="shared" si="6"/>
        <v>3.8571428571428572</v>
      </c>
      <c r="N37" s="295">
        <f t="shared" si="4"/>
        <v>3</v>
      </c>
      <c r="P37" s="216"/>
      <c r="R37" s="216"/>
    </row>
    <row r="38" spans="1:18" x14ac:dyDescent="0.45">
      <c r="A38" s="291">
        <f t="shared" si="7"/>
        <v>40</v>
      </c>
      <c r="B38" s="291">
        <v>5</v>
      </c>
      <c r="C38" s="291">
        <v>32</v>
      </c>
      <c r="D38" s="291">
        <v>50</v>
      </c>
      <c r="E38" s="291" t="str">
        <f t="shared" si="0"/>
        <v>40 - Fine grade = 5.4211</v>
      </c>
      <c r="F38" s="291">
        <f t="shared" si="1"/>
        <v>5.4210526315789469</v>
      </c>
      <c r="G38" s="292">
        <f t="shared" si="2"/>
        <v>5</v>
      </c>
      <c r="H38" s="295">
        <f t="shared" si="5"/>
        <v>43</v>
      </c>
      <c r="I38" s="295">
        <v>3</v>
      </c>
      <c r="J38" s="295">
        <v>18</v>
      </c>
      <c r="K38" s="295">
        <v>45</v>
      </c>
      <c r="L38" s="295" t="str">
        <f t="shared" si="3"/>
        <v>43 - Fine grade = 3.8929</v>
      </c>
      <c r="M38" s="295">
        <f t="shared" si="6"/>
        <v>3.8928571428571428</v>
      </c>
      <c r="N38" s="295">
        <f t="shared" si="4"/>
        <v>3</v>
      </c>
      <c r="P38" s="216"/>
      <c r="R38" s="216"/>
    </row>
    <row r="39" spans="1:18" x14ac:dyDescent="0.45">
      <c r="A39" s="291">
        <f t="shared" si="7"/>
        <v>41</v>
      </c>
      <c r="B39" s="291">
        <v>5</v>
      </c>
      <c r="C39" s="291">
        <v>32</v>
      </c>
      <c r="D39" s="291">
        <v>50</v>
      </c>
      <c r="E39" s="291" t="str">
        <f t="shared" si="0"/>
        <v>41 - Fine grade = 5.4737</v>
      </c>
      <c r="F39" s="291">
        <f t="shared" si="1"/>
        <v>5.4736842105263159</v>
      </c>
      <c r="G39" s="292">
        <f t="shared" si="2"/>
        <v>5</v>
      </c>
      <c r="H39" s="295">
        <f t="shared" si="5"/>
        <v>44</v>
      </c>
      <c r="I39" s="295">
        <v>3</v>
      </c>
      <c r="J39" s="295">
        <v>18</v>
      </c>
      <c r="K39" s="295">
        <v>45</v>
      </c>
      <c r="L39" s="295" t="str">
        <f t="shared" si="3"/>
        <v>44 - Fine grade = 3.9286</v>
      </c>
      <c r="M39" s="295">
        <f t="shared" si="6"/>
        <v>3.9285714285714288</v>
      </c>
      <c r="N39" s="295">
        <f t="shared" si="4"/>
        <v>3</v>
      </c>
      <c r="P39" s="216"/>
      <c r="R39" s="216"/>
    </row>
    <row r="40" spans="1:18" x14ac:dyDescent="0.45">
      <c r="A40" s="291">
        <f t="shared" si="7"/>
        <v>42</v>
      </c>
      <c r="B40" s="291">
        <v>5</v>
      </c>
      <c r="C40" s="291">
        <v>32</v>
      </c>
      <c r="D40" s="291">
        <v>50</v>
      </c>
      <c r="E40" s="291" t="str">
        <f t="shared" si="0"/>
        <v>42 - Fine grade = 5.5263</v>
      </c>
      <c r="F40" s="291">
        <f t="shared" si="1"/>
        <v>5.5263157894736841</v>
      </c>
      <c r="G40" s="292">
        <f t="shared" si="2"/>
        <v>5</v>
      </c>
      <c r="H40" s="295">
        <f t="shared" si="5"/>
        <v>45</v>
      </c>
      <c r="I40" s="295">
        <v>3</v>
      </c>
      <c r="J40" s="295">
        <v>18</v>
      </c>
      <c r="K40" s="295">
        <v>45</v>
      </c>
      <c r="L40" s="295" t="str">
        <f t="shared" si="3"/>
        <v>45 - Fine grade = 3.9643</v>
      </c>
      <c r="M40" s="295">
        <f t="shared" si="6"/>
        <v>3.9642857142857144</v>
      </c>
      <c r="N40" s="295">
        <f t="shared" si="4"/>
        <v>3</v>
      </c>
      <c r="P40" s="216"/>
      <c r="R40" s="216"/>
    </row>
    <row r="41" spans="1:18" x14ac:dyDescent="0.45">
      <c r="A41" s="291">
        <f t="shared" si="7"/>
        <v>43</v>
      </c>
      <c r="B41" s="291">
        <v>5</v>
      </c>
      <c r="C41" s="291">
        <v>32</v>
      </c>
      <c r="D41" s="291">
        <v>50</v>
      </c>
      <c r="E41" s="291" t="str">
        <f t="shared" si="0"/>
        <v>43 - Fine grade = 5.5789</v>
      </c>
      <c r="F41" s="291">
        <f t="shared" si="1"/>
        <v>5.5789473684210531</v>
      </c>
      <c r="G41" s="292">
        <f t="shared" si="2"/>
        <v>5</v>
      </c>
      <c r="H41" s="293">
        <f t="shared" si="5"/>
        <v>46</v>
      </c>
      <c r="I41" s="293">
        <v>4</v>
      </c>
      <c r="J41" s="293">
        <v>46</v>
      </c>
      <c r="K41" s="293">
        <v>78</v>
      </c>
      <c r="L41" s="293" t="str">
        <f t="shared" si="3"/>
        <v>46 - Fine grade = 4</v>
      </c>
      <c r="M41" s="293">
        <f t="shared" si="6"/>
        <v>4</v>
      </c>
      <c r="N41" s="293">
        <f t="shared" si="4"/>
        <v>4</v>
      </c>
      <c r="P41" s="216"/>
      <c r="R41" s="216"/>
    </row>
    <row r="42" spans="1:18" x14ac:dyDescent="0.45">
      <c r="A42" s="291">
        <f t="shared" si="7"/>
        <v>44</v>
      </c>
      <c r="B42" s="291">
        <v>5</v>
      </c>
      <c r="C42" s="291">
        <v>32</v>
      </c>
      <c r="D42" s="291">
        <v>50</v>
      </c>
      <c r="E42" s="291" t="str">
        <f t="shared" si="0"/>
        <v>44 - Fine grade = 5.6316</v>
      </c>
      <c r="F42" s="291">
        <f t="shared" si="1"/>
        <v>5.6315789473684212</v>
      </c>
      <c r="G42" s="292">
        <f t="shared" si="2"/>
        <v>5</v>
      </c>
      <c r="H42" s="293">
        <f t="shared" si="5"/>
        <v>47</v>
      </c>
      <c r="I42" s="293">
        <v>4</v>
      </c>
      <c r="J42" s="293">
        <v>46</v>
      </c>
      <c r="K42" s="293">
        <v>78</v>
      </c>
      <c r="L42" s="293" t="str">
        <f t="shared" si="3"/>
        <v>47 - Fine grade = 4.0303</v>
      </c>
      <c r="M42" s="293">
        <f t="shared" si="6"/>
        <v>4.0303030303030303</v>
      </c>
      <c r="N42" s="293">
        <f t="shared" si="4"/>
        <v>4</v>
      </c>
      <c r="P42" s="216"/>
      <c r="R42" s="216"/>
    </row>
    <row r="43" spans="1:18" x14ac:dyDescent="0.45">
      <c r="A43" s="291">
        <f t="shared" si="7"/>
        <v>45</v>
      </c>
      <c r="B43" s="291">
        <v>5</v>
      </c>
      <c r="C43" s="291">
        <v>32</v>
      </c>
      <c r="D43" s="291">
        <v>50</v>
      </c>
      <c r="E43" s="291" t="str">
        <f t="shared" si="0"/>
        <v>45 - Fine grade = 5.6842</v>
      </c>
      <c r="F43" s="291">
        <f t="shared" si="1"/>
        <v>5.6842105263157894</v>
      </c>
      <c r="G43" s="292">
        <f t="shared" si="2"/>
        <v>5</v>
      </c>
      <c r="H43" s="293">
        <f t="shared" si="5"/>
        <v>48</v>
      </c>
      <c r="I43" s="293">
        <v>4</v>
      </c>
      <c r="J43" s="293">
        <v>46</v>
      </c>
      <c r="K43" s="293">
        <v>78</v>
      </c>
      <c r="L43" s="293" t="str">
        <f t="shared" si="3"/>
        <v>48 - Fine grade = 4.0606</v>
      </c>
      <c r="M43" s="293">
        <f t="shared" si="6"/>
        <v>4.0606060606060606</v>
      </c>
      <c r="N43" s="293">
        <f t="shared" si="4"/>
        <v>4</v>
      </c>
      <c r="P43" s="216"/>
      <c r="R43" s="216"/>
    </row>
    <row r="44" spans="1:18" x14ac:dyDescent="0.45">
      <c r="A44" s="291">
        <f t="shared" si="7"/>
        <v>46</v>
      </c>
      <c r="B44" s="291">
        <v>5</v>
      </c>
      <c r="C44" s="291">
        <v>32</v>
      </c>
      <c r="D44" s="291">
        <v>50</v>
      </c>
      <c r="E44" s="291" t="str">
        <f t="shared" si="0"/>
        <v>46 - Fine grade = 5.7368</v>
      </c>
      <c r="F44" s="291">
        <f t="shared" si="1"/>
        <v>5.7368421052631575</v>
      </c>
      <c r="G44" s="292">
        <f t="shared" si="2"/>
        <v>5</v>
      </c>
      <c r="H44" s="293">
        <f t="shared" si="5"/>
        <v>49</v>
      </c>
      <c r="I44" s="293">
        <v>4</v>
      </c>
      <c r="J44" s="293">
        <v>46</v>
      </c>
      <c r="K44" s="293">
        <v>78</v>
      </c>
      <c r="L44" s="293" t="str">
        <f t="shared" si="3"/>
        <v>49 - Fine grade = 4.0909</v>
      </c>
      <c r="M44" s="293">
        <f t="shared" si="6"/>
        <v>4.0909090909090908</v>
      </c>
      <c r="N44" s="293">
        <f t="shared" si="4"/>
        <v>4</v>
      </c>
      <c r="P44" s="216"/>
      <c r="R44" s="216"/>
    </row>
    <row r="45" spans="1:18" x14ac:dyDescent="0.45">
      <c r="A45" s="291">
        <f t="shared" si="7"/>
        <v>47</v>
      </c>
      <c r="B45" s="291">
        <v>5</v>
      </c>
      <c r="C45" s="291">
        <v>32</v>
      </c>
      <c r="D45" s="291">
        <v>50</v>
      </c>
      <c r="E45" s="291" t="str">
        <f t="shared" si="0"/>
        <v>47 - Fine grade = 5.7895</v>
      </c>
      <c r="F45" s="291">
        <f t="shared" si="1"/>
        <v>5.7894736842105265</v>
      </c>
      <c r="G45" s="292">
        <f t="shared" si="2"/>
        <v>5</v>
      </c>
      <c r="H45" s="293">
        <f t="shared" si="5"/>
        <v>50</v>
      </c>
      <c r="I45" s="293">
        <v>4</v>
      </c>
      <c r="J45" s="293">
        <v>46</v>
      </c>
      <c r="K45" s="293">
        <v>78</v>
      </c>
      <c r="L45" s="293" t="str">
        <f t="shared" si="3"/>
        <v>50 - Fine grade = 4.1212</v>
      </c>
      <c r="M45" s="293">
        <f t="shared" si="6"/>
        <v>4.1212121212121211</v>
      </c>
      <c r="N45" s="293">
        <f t="shared" si="4"/>
        <v>4</v>
      </c>
      <c r="P45" s="216"/>
      <c r="R45" s="216"/>
    </row>
    <row r="46" spans="1:18" x14ac:dyDescent="0.45">
      <c r="A46" s="291">
        <f t="shared" si="7"/>
        <v>48</v>
      </c>
      <c r="B46" s="291">
        <v>5</v>
      </c>
      <c r="C46" s="291">
        <v>32</v>
      </c>
      <c r="D46" s="291">
        <v>50</v>
      </c>
      <c r="E46" s="291" t="str">
        <f t="shared" si="0"/>
        <v>48 - Fine grade = 5.8421</v>
      </c>
      <c r="F46" s="291">
        <f t="shared" si="1"/>
        <v>5.8421052631578947</v>
      </c>
      <c r="G46" s="292">
        <f t="shared" si="2"/>
        <v>5</v>
      </c>
      <c r="H46" s="293">
        <f t="shared" si="5"/>
        <v>51</v>
      </c>
      <c r="I46" s="293">
        <v>4</v>
      </c>
      <c r="J46" s="293">
        <v>46</v>
      </c>
      <c r="K46" s="293">
        <v>78</v>
      </c>
      <c r="L46" s="293" t="str">
        <f t="shared" si="3"/>
        <v>51 - Fine grade = 4.1515</v>
      </c>
      <c r="M46" s="293">
        <f t="shared" si="6"/>
        <v>4.1515151515151514</v>
      </c>
      <c r="N46" s="293">
        <f t="shared" si="4"/>
        <v>4</v>
      </c>
      <c r="P46" s="216"/>
      <c r="R46" s="216"/>
    </row>
    <row r="47" spans="1:18" x14ac:dyDescent="0.45">
      <c r="A47" s="291">
        <f t="shared" si="7"/>
        <v>49</v>
      </c>
      <c r="B47" s="291">
        <v>5</v>
      </c>
      <c r="C47" s="291">
        <v>32</v>
      </c>
      <c r="D47" s="291">
        <v>50</v>
      </c>
      <c r="E47" s="291" t="str">
        <f t="shared" si="0"/>
        <v>49 - Fine grade = 5.8947</v>
      </c>
      <c r="F47" s="291">
        <f t="shared" si="1"/>
        <v>5.8947368421052628</v>
      </c>
      <c r="G47" s="292">
        <f t="shared" si="2"/>
        <v>5</v>
      </c>
      <c r="H47" s="293">
        <f t="shared" si="5"/>
        <v>52</v>
      </c>
      <c r="I47" s="293">
        <v>4</v>
      </c>
      <c r="J47" s="293">
        <v>46</v>
      </c>
      <c r="K47" s="293">
        <v>78</v>
      </c>
      <c r="L47" s="293" t="str">
        <f t="shared" si="3"/>
        <v>52 - Fine grade = 4.1818</v>
      </c>
      <c r="M47" s="293">
        <f t="shared" si="6"/>
        <v>4.1818181818181817</v>
      </c>
      <c r="N47" s="293">
        <f t="shared" si="4"/>
        <v>4</v>
      </c>
      <c r="P47" s="216"/>
      <c r="R47" s="216"/>
    </row>
    <row r="48" spans="1:18" x14ac:dyDescent="0.45">
      <c r="A48" s="291">
        <f t="shared" si="7"/>
        <v>50</v>
      </c>
      <c r="B48" s="291">
        <v>5</v>
      </c>
      <c r="C48" s="291">
        <v>32</v>
      </c>
      <c r="D48" s="291">
        <v>50</v>
      </c>
      <c r="E48" s="291" t="str">
        <f t="shared" si="0"/>
        <v>50 - Fine grade = 5.9474</v>
      </c>
      <c r="F48" s="291">
        <f t="shared" si="1"/>
        <v>5.9473684210526319</v>
      </c>
      <c r="G48" s="292">
        <f t="shared" si="2"/>
        <v>5</v>
      </c>
      <c r="H48" s="293">
        <f t="shared" si="5"/>
        <v>53</v>
      </c>
      <c r="I48" s="293">
        <v>4</v>
      </c>
      <c r="J48" s="293">
        <v>46</v>
      </c>
      <c r="K48" s="293">
        <v>78</v>
      </c>
      <c r="L48" s="293" t="str">
        <f t="shared" si="3"/>
        <v>53 - Fine grade = 4.2121</v>
      </c>
      <c r="M48" s="293">
        <f t="shared" si="6"/>
        <v>4.2121212121212119</v>
      </c>
      <c r="N48" s="293">
        <f t="shared" si="4"/>
        <v>4</v>
      </c>
      <c r="P48" s="216"/>
      <c r="R48" s="216"/>
    </row>
    <row r="49" spans="8:18" x14ac:dyDescent="0.45">
      <c r="H49" s="293">
        <f t="shared" si="5"/>
        <v>54</v>
      </c>
      <c r="I49" s="293">
        <v>4</v>
      </c>
      <c r="J49" s="293">
        <v>46</v>
      </c>
      <c r="K49" s="293">
        <v>78</v>
      </c>
      <c r="L49" s="293" t="str">
        <f t="shared" si="3"/>
        <v>54 - Fine grade = 4.2424</v>
      </c>
      <c r="M49" s="293">
        <f t="shared" si="6"/>
        <v>4.2424242424242422</v>
      </c>
      <c r="N49" s="293">
        <f t="shared" si="4"/>
        <v>4</v>
      </c>
      <c r="P49" s="216"/>
      <c r="R49" s="216"/>
    </row>
    <row r="50" spans="8:18" x14ac:dyDescent="0.45">
      <c r="H50" s="293">
        <f t="shared" si="5"/>
        <v>55</v>
      </c>
      <c r="I50" s="293">
        <v>4</v>
      </c>
      <c r="J50" s="293">
        <v>46</v>
      </c>
      <c r="K50" s="293">
        <v>78</v>
      </c>
      <c r="L50" s="293" t="str">
        <f t="shared" si="3"/>
        <v>55 - Fine grade = 4.2727</v>
      </c>
      <c r="M50" s="293">
        <f t="shared" si="6"/>
        <v>4.2727272727272725</v>
      </c>
      <c r="N50" s="293">
        <f t="shared" si="4"/>
        <v>4</v>
      </c>
      <c r="R50" s="216"/>
    </row>
    <row r="51" spans="8:18" x14ac:dyDescent="0.45">
      <c r="H51" s="293">
        <f t="shared" si="5"/>
        <v>56</v>
      </c>
      <c r="I51" s="293">
        <v>4</v>
      </c>
      <c r="J51" s="293">
        <v>46</v>
      </c>
      <c r="K51" s="293">
        <v>78</v>
      </c>
      <c r="L51" s="293" t="str">
        <f t="shared" si="3"/>
        <v>56 - Fine grade = 4.303</v>
      </c>
      <c r="M51" s="293">
        <f t="shared" si="6"/>
        <v>4.3030303030303028</v>
      </c>
      <c r="N51" s="293">
        <f t="shared" si="4"/>
        <v>4</v>
      </c>
      <c r="R51" s="216"/>
    </row>
    <row r="52" spans="8:18" x14ac:dyDescent="0.45">
      <c r="H52" s="293">
        <f t="shared" si="5"/>
        <v>57</v>
      </c>
      <c r="I52" s="293">
        <v>4</v>
      </c>
      <c r="J52" s="293">
        <v>46</v>
      </c>
      <c r="K52" s="293">
        <v>78</v>
      </c>
      <c r="L52" s="293" t="str">
        <f t="shared" si="3"/>
        <v>57 - Fine grade = 4.3333</v>
      </c>
      <c r="M52" s="293">
        <f t="shared" si="6"/>
        <v>4.333333333333333</v>
      </c>
      <c r="N52" s="293">
        <f t="shared" si="4"/>
        <v>4</v>
      </c>
      <c r="R52" s="216"/>
    </row>
    <row r="53" spans="8:18" x14ac:dyDescent="0.45">
      <c r="H53" s="293">
        <f t="shared" si="5"/>
        <v>58</v>
      </c>
      <c r="I53" s="293">
        <v>4</v>
      </c>
      <c r="J53" s="293">
        <v>46</v>
      </c>
      <c r="K53" s="293">
        <v>78</v>
      </c>
      <c r="L53" s="293" t="str">
        <f t="shared" si="3"/>
        <v>58 - Fine grade = 4.3636</v>
      </c>
      <c r="M53" s="293">
        <f t="shared" si="6"/>
        <v>4.3636363636363633</v>
      </c>
      <c r="N53" s="293">
        <f t="shared" si="4"/>
        <v>4</v>
      </c>
      <c r="R53" s="216"/>
    </row>
    <row r="54" spans="8:18" x14ac:dyDescent="0.45">
      <c r="H54" s="293">
        <f t="shared" si="5"/>
        <v>59</v>
      </c>
      <c r="I54" s="293">
        <v>4</v>
      </c>
      <c r="J54" s="293">
        <v>46</v>
      </c>
      <c r="K54" s="293">
        <v>78</v>
      </c>
      <c r="L54" s="293" t="str">
        <f t="shared" si="3"/>
        <v>59 - Fine grade = 4.3939</v>
      </c>
      <c r="M54" s="293">
        <f t="shared" si="6"/>
        <v>4.3939393939393936</v>
      </c>
      <c r="N54" s="293">
        <f t="shared" si="4"/>
        <v>4</v>
      </c>
      <c r="R54" s="216"/>
    </row>
    <row r="55" spans="8:18" x14ac:dyDescent="0.45">
      <c r="H55" s="293">
        <f t="shared" si="5"/>
        <v>60</v>
      </c>
      <c r="I55" s="293">
        <v>4</v>
      </c>
      <c r="J55" s="293">
        <v>46</v>
      </c>
      <c r="K55" s="293">
        <v>78</v>
      </c>
      <c r="L55" s="293" t="str">
        <f t="shared" si="3"/>
        <v>60 - Fine grade = 4.4242</v>
      </c>
      <c r="M55" s="293">
        <f t="shared" si="6"/>
        <v>4.4242424242424239</v>
      </c>
      <c r="N55" s="293">
        <f t="shared" si="4"/>
        <v>4</v>
      </c>
      <c r="R55" s="216"/>
    </row>
    <row r="56" spans="8:18" x14ac:dyDescent="0.45">
      <c r="H56" s="293">
        <f t="shared" si="5"/>
        <v>61</v>
      </c>
      <c r="I56" s="293">
        <v>4</v>
      </c>
      <c r="J56" s="293">
        <v>46</v>
      </c>
      <c r="K56" s="293">
        <v>78</v>
      </c>
      <c r="L56" s="293" t="str">
        <f t="shared" si="3"/>
        <v>61 - Fine grade = 4.4545</v>
      </c>
      <c r="M56" s="293">
        <f t="shared" si="6"/>
        <v>4.4545454545454541</v>
      </c>
      <c r="N56" s="293">
        <f t="shared" si="4"/>
        <v>4</v>
      </c>
      <c r="R56" s="216"/>
    </row>
    <row r="57" spans="8:18" x14ac:dyDescent="0.45">
      <c r="H57" s="293">
        <f t="shared" si="5"/>
        <v>62</v>
      </c>
      <c r="I57" s="293">
        <v>4</v>
      </c>
      <c r="J57" s="293">
        <v>46</v>
      </c>
      <c r="K57" s="293">
        <v>78</v>
      </c>
      <c r="L57" s="293" t="str">
        <f t="shared" si="3"/>
        <v>62 - Fine grade = 4.4848</v>
      </c>
      <c r="M57" s="293">
        <f t="shared" si="6"/>
        <v>4.4848484848484844</v>
      </c>
      <c r="N57" s="293">
        <f t="shared" si="4"/>
        <v>4</v>
      </c>
      <c r="R57" s="216"/>
    </row>
    <row r="58" spans="8:18" x14ac:dyDescent="0.45">
      <c r="H58" s="293">
        <f t="shared" si="5"/>
        <v>63</v>
      </c>
      <c r="I58" s="293">
        <v>4</v>
      </c>
      <c r="J58" s="293">
        <v>46</v>
      </c>
      <c r="K58" s="293">
        <v>78</v>
      </c>
      <c r="L58" s="293" t="str">
        <f t="shared" si="3"/>
        <v>63 - Fine grade = 4.5152</v>
      </c>
      <c r="M58" s="293">
        <f t="shared" si="6"/>
        <v>4.5151515151515156</v>
      </c>
      <c r="N58" s="293">
        <f t="shared" si="4"/>
        <v>4</v>
      </c>
      <c r="R58" s="216"/>
    </row>
    <row r="59" spans="8:18" x14ac:dyDescent="0.45">
      <c r="H59" s="293">
        <f t="shared" si="5"/>
        <v>64</v>
      </c>
      <c r="I59" s="293">
        <v>4</v>
      </c>
      <c r="J59" s="293">
        <v>46</v>
      </c>
      <c r="K59" s="293">
        <v>78</v>
      </c>
      <c r="L59" s="293" t="str">
        <f t="shared" si="3"/>
        <v>64 - Fine grade = 4.5455</v>
      </c>
      <c r="M59" s="293">
        <f t="shared" si="6"/>
        <v>4.545454545454545</v>
      </c>
      <c r="N59" s="293">
        <f t="shared" si="4"/>
        <v>4</v>
      </c>
      <c r="R59" s="216"/>
    </row>
    <row r="60" spans="8:18" x14ac:dyDescent="0.45">
      <c r="H60" s="293">
        <f t="shared" si="5"/>
        <v>65</v>
      </c>
      <c r="I60" s="293">
        <v>4</v>
      </c>
      <c r="J60" s="293">
        <v>46</v>
      </c>
      <c r="K60" s="293">
        <v>78</v>
      </c>
      <c r="L60" s="293" t="str">
        <f t="shared" si="3"/>
        <v>65 - Fine grade = 4.5758</v>
      </c>
      <c r="M60" s="293">
        <f t="shared" si="6"/>
        <v>4.5757575757575761</v>
      </c>
      <c r="N60" s="293">
        <f t="shared" si="4"/>
        <v>4</v>
      </c>
      <c r="R60" s="216"/>
    </row>
    <row r="61" spans="8:18" x14ac:dyDescent="0.45">
      <c r="H61" s="293">
        <f t="shared" si="5"/>
        <v>66</v>
      </c>
      <c r="I61" s="293">
        <v>4</v>
      </c>
      <c r="J61" s="293">
        <v>46</v>
      </c>
      <c r="K61" s="293">
        <v>78</v>
      </c>
      <c r="L61" s="293" t="str">
        <f t="shared" si="3"/>
        <v>66 - Fine grade = 4.6061</v>
      </c>
      <c r="M61" s="293">
        <f t="shared" si="6"/>
        <v>4.6060606060606064</v>
      </c>
      <c r="N61" s="293">
        <f t="shared" si="4"/>
        <v>4</v>
      </c>
      <c r="R61" s="216"/>
    </row>
    <row r="62" spans="8:18" x14ac:dyDescent="0.45">
      <c r="H62" s="293">
        <f t="shared" si="5"/>
        <v>67</v>
      </c>
      <c r="I62" s="293">
        <v>4</v>
      </c>
      <c r="J62" s="293">
        <v>46</v>
      </c>
      <c r="K62" s="293">
        <v>78</v>
      </c>
      <c r="L62" s="293" t="str">
        <f t="shared" si="3"/>
        <v>67 - Fine grade = 4.6364</v>
      </c>
      <c r="M62" s="293">
        <f t="shared" si="6"/>
        <v>4.6363636363636367</v>
      </c>
      <c r="N62" s="293">
        <f t="shared" si="4"/>
        <v>4</v>
      </c>
      <c r="R62" s="216"/>
    </row>
    <row r="63" spans="8:18" x14ac:dyDescent="0.45">
      <c r="H63" s="293">
        <f t="shared" si="5"/>
        <v>68</v>
      </c>
      <c r="I63" s="293">
        <v>4</v>
      </c>
      <c r="J63" s="293">
        <v>46</v>
      </c>
      <c r="K63" s="293">
        <v>78</v>
      </c>
      <c r="L63" s="293" t="str">
        <f t="shared" si="3"/>
        <v>68 - Fine grade = 4.6667</v>
      </c>
      <c r="M63" s="293">
        <f t="shared" si="6"/>
        <v>4.666666666666667</v>
      </c>
      <c r="N63" s="293">
        <f t="shared" si="4"/>
        <v>4</v>
      </c>
      <c r="R63" s="216"/>
    </row>
    <row r="64" spans="8:18" x14ac:dyDescent="0.45">
      <c r="H64" s="293">
        <f t="shared" si="5"/>
        <v>69</v>
      </c>
      <c r="I64" s="293">
        <v>4</v>
      </c>
      <c r="J64" s="293">
        <v>46</v>
      </c>
      <c r="K64" s="293">
        <v>78</v>
      </c>
      <c r="L64" s="293" t="str">
        <f t="shared" si="3"/>
        <v>69 - Fine grade = 4.697</v>
      </c>
      <c r="M64" s="293">
        <f t="shared" si="6"/>
        <v>4.6969696969696972</v>
      </c>
      <c r="N64" s="293">
        <f t="shared" si="4"/>
        <v>4</v>
      </c>
      <c r="R64" s="216"/>
    </row>
    <row r="65" spans="8:18" x14ac:dyDescent="0.45">
      <c r="H65" s="293">
        <f t="shared" si="5"/>
        <v>70</v>
      </c>
      <c r="I65" s="293">
        <v>4</v>
      </c>
      <c r="J65" s="293">
        <v>46</v>
      </c>
      <c r="K65" s="293">
        <v>78</v>
      </c>
      <c r="L65" s="293" t="str">
        <f t="shared" si="3"/>
        <v>70 - Fine grade = 4.7273</v>
      </c>
      <c r="M65" s="293">
        <f t="shared" si="6"/>
        <v>4.7272727272727275</v>
      </c>
      <c r="N65" s="293">
        <f t="shared" si="4"/>
        <v>4</v>
      </c>
      <c r="R65" s="216"/>
    </row>
    <row r="66" spans="8:18" x14ac:dyDescent="0.45">
      <c r="H66" s="293">
        <f t="shared" si="5"/>
        <v>71</v>
      </c>
      <c r="I66" s="293">
        <v>4</v>
      </c>
      <c r="J66" s="293">
        <v>46</v>
      </c>
      <c r="K66" s="293">
        <v>78</v>
      </c>
      <c r="L66" s="293" t="str">
        <f t="shared" si="3"/>
        <v>71 - Fine grade = 4.7576</v>
      </c>
      <c r="M66" s="293">
        <f t="shared" si="6"/>
        <v>4.7575757575757578</v>
      </c>
      <c r="N66" s="293">
        <f t="shared" si="4"/>
        <v>4</v>
      </c>
      <c r="R66" s="216"/>
    </row>
    <row r="67" spans="8:18" x14ac:dyDescent="0.45">
      <c r="H67" s="293">
        <f t="shared" si="5"/>
        <v>72</v>
      </c>
      <c r="I67" s="293">
        <v>4</v>
      </c>
      <c r="J67" s="293">
        <v>46</v>
      </c>
      <c r="K67" s="293">
        <v>78</v>
      </c>
      <c r="L67" s="293" t="str">
        <f t="shared" si="3"/>
        <v>72 - Fine grade = 4.7879</v>
      </c>
      <c r="M67" s="293">
        <f t="shared" si="6"/>
        <v>4.7878787878787881</v>
      </c>
      <c r="N67" s="293">
        <f t="shared" si="4"/>
        <v>4</v>
      </c>
      <c r="R67" s="216"/>
    </row>
    <row r="68" spans="8:18" x14ac:dyDescent="0.45">
      <c r="H68" s="293">
        <f t="shared" si="5"/>
        <v>73</v>
      </c>
      <c r="I68" s="293">
        <v>4</v>
      </c>
      <c r="J68" s="293">
        <v>46</v>
      </c>
      <c r="K68" s="293">
        <v>78</v>
      </c>
      <c r="L68" s="293" t="str">
        <f t="shared" si="3"/>
        <v>73 - Fine grade = 4.8182</v>
      </c>
      <c r="M68" s="293">
        <f t="shared" si="6"/>
        <v>4.8181818181818183</v>
      </c>
      <c r="N68" s="293">
        <f t="shared" si="4"/>
        <v>4</v>
      </c>
      <c r="R68" s="216"/>
    </row>
    <row r="69" spans="8:18" x14ac:dyDescent="0.45">
      <c r="H69" s="293">
        <f t="shared" si="5"/>
        <v>74</v>
      </c>
      <c r="I69" s="293">
        <v>4</v>
      </c>
      <c r="J69" s="293">
        <v>46</v>
      </c>
      <c r="K69" s="293">
        <v>78</v>
      </c>
      <c r="L69" s="293" t="str">
        <f t="shared" si="3"/>
        <v>74 - Fine grade = 4.8485</v>
      </c>
      <c r="M69" s="293">
        <f t="shared" si="6"/>
        <v>4.8484848484848486</v>
      </c>
      <c r="N69" s="293">
        <f t="shared" si="4"/>
        <v>4</v>
      </c>
      <c r="R69" s="216"/>
    </row>
    <row r="70" spans="8:18" x14ac:dyDescent="0.45">
      <c r="H70" s="293">
        <f t="shared" si="5"/>
        <v>75</v>
      </c>
      <c r="I70" s="293">
        <v>4</v>
      </c>
      <c r="J70" s="293">
        <v>46</v>
      </c>
      <c r="K70" s="293">
        <v>78</v>
      </c>
      <c r="L70" s="293" t="str">
        <f t="shared" si="3"/>
        <v>75 - Fine grade = 4.8788</v>
      </c>
      <c r="M70" s="293">
        <f t="shared" si="6"/>
        <v>4.8787878787878789</v>
      </c>
      <c r="N70" s="293">
        <f t="shared" si="4"/>
        <v>4</v>
      </c>
      <c r="R70" s="216"/>
    </row>
    <row r="71" spans="8:18" x14ac:dyDescent="0.45">
      <c r="H71" s="293">
        <f t="shared" si="5"/>
        <v>76</v>
      </c>
      <c r="I71" s="293">
        <v>4</v>
      </c>
      <c r="J71" s="293">
        <v>46</v>
      </c>
      <c r="K71" s="293">
        <v>78</v>
      </c>
      <c r="L71" s="293" t="str">
        <f t="shared" si="3"/>
        <v>76 - Fine grade = 4.9091</v>
      </c>
      <c r="M71" s="293">
        <f t="shared" si="6"/>
        <v>4.9090909090909092</v>
      </c>
      <c r="N71" s="293">
        <f t="shared" si="4"/>
        <v>4</v>
      </c>
      <c r="R71" s="216"/>
    </row>
    <row r="72" spans="8:18" x14ac:dyDescent="0.45">
      <c r="H72" s="293">
        <f t="shared" si="5"/>
        <v>77</v>
      </c>
      <c r="I72" s="293">
        <v>4</v>
      </c>
      <c r="J72" s="293">
        <v>46</v>
      </c>
      <c r="K72" s="293">
        <v>78</v>
      </c>
      <c r="L72" s="293" t="str">
        <f t="shared" si="3"/>
        <v>77 - Fine grade = 4.9394</v>
      </c>
      <c r="M72" s="293">
        <f t="shared" si="6"/>
        <v>4.9393939393939394</v>
      </c>
      <c r="N72" s="293">
        <f t="shared" si="4"/>
        <v>4</v>
      </c>
      <c r="R72" s="216"/>
    </row>
    <row r="73" spans="8:18" x14ac:dyDescent="0.45">
      <c r="H73" s="293">
        <f t="shared" si="5"/>
        <v>78</v>
      </c>
      <c r="I73" s="293">
        <v>4</v>
      </c>
      <c r="J73" s="293">
        <v>46</v>
      </c>
      <c r="K73" s="293">
        <v>78</v>
      </c>
      <c r="L73" s="293" t="str">
        <f t="shared" si="3"/>
        <v>78 - Fine grade = 4.9697</v>
      </c>
      <c r="M73" s="293">
        <f t="shared" si="6"/>
        <v>4.9696969696969697</v>
      </c>
      <c r="N73" s="293">
        <f t="shared" si="4"/>
        <v>4</v>
      </c>
      <c r="R73" s="216"/>
    </row>
    <row r="74" spans="8:18" x14ac:dyDescent="0.45">
      <c r="H74" s="291">
        <f t="shared" si="5"/>
        <v>79</v>
      </c>
      <c r="I74" s="291">
        <v>5</v>
      </c>
      <c r="J74" s="291">
        <v>79</v>
      </c>
      <c r="K74" s="291">
        <v>100</v>
      </c>
      <c r="L74" s="291" t="str">
        <f t="shared" si="3"/>
        <v>79 - Fine grade = 5</v>
      </c>
      <c r="M74" s="291">
        <f t="shared" si="6"/>
        <v>5</v>
      </c>
      <c r="N74" s="291">
        <f t="shared" si="4"/>
        <v>5</v>
      </c>
      <c r="R74" s="216"/>
    </row>
    <row r="75" spans="8:18" x14ac:dyDescent="0.45">
      <c r="H75" s="291">
        <f t="shared" si="5"/>
        <v>80</v>
      </c>
      <c r="I75" s="291">
        <v>5</v>
      </c>
      <c r="J75" s="291">
        <v>79</v>
      </c>
      <c r="K75" s="291">
        <v>100</v>
      </c>
      <c r="L75" s="291" t="str">
        <f t="shared" ref="L75:L95" si="8">CONCATENATE(H75," - Fine grade = ",ROUND(M75,4))</f>
        <v>80 - Fine grade = 5.0455</v>
      </c>
      <c r="M75" s="291">
        <f t="shared" si="6"/>
        <v>5.0454545454545459</v>
      </c>
      <c r="N75" s="291">
        <f t="shared" ref="N75:N95" si="9">I75</f>
        <v>5</v>
      </c>
      <c r="R75" s="216"/>
    </row>
    <row r="76" spans="8:18" x14ac:dyDescent="0.45">
      <c r="H76" s="291">
        <f t="shared" ref="H76:H95" si="10">H75+1</f>
        <v>81</v>
      </c>
      <c r="I76" s="291">
        <v>5</v>
      </c>
      <c r="J76" s="291">
        <v>79</v>
      </c>
      <c r="K76" s="291">
        <v>100</v>
      </c>
      <c r="L76" s="291" t="str">
        <f t="shared" si="8"/>
        <v>81 - Fine grade = 5.0909</v>
      </c>
      <c r="M76" s="291">
        <f t="shared" si="6"/>
        <v>5.0909090909090908</v>
      </c>
      <c r="N76" s="291">
        <f t="shared" si="9"/>
        <v>5</v>
      </c>
      <c r="R76" s="216"/>
    </row>
    <row r="77" spans="8:18" x14ac:dyDescent="0.45">
      <c r="H77" s="291">
        <f t="shared" si="10"/>
        <v>82</v>
      </c>
      <c r="I77" s="291">
        <v>5</v>
      </c>
      <c r="J77" s="291">
        <v>79</v>
      </c>
      <c r="K77" s="291">
        <v>100</v>
      </c>
      <c r="L77" s="291" t="str">
        <f t="shared" si="8"/>
        <v>82 - Fine grade = 5.1364</v>
      </c>
      <c r="M77" s="291">
        <f t="shared" ref="M77:M95" si="11">I77+((H77-J77)/(K77-J77+1))</f>
        <v>5.1363636363636367</v>
      </c>
      <c r="N77" s="291">
        <f t="shared" si="9"/>
        <v>5</v>
      </c>
      <c r="R77" s="216"/>
    </row>
    <row r="78" spans="8:18" x14ac:dyDescent="0.45">
      <c r="H78" s="291">
        <f t="shared" si="10"/>
        <v>83</v>
      </c>
      <c r="I78" s="291">
        <v>5</v>
      </c>
      <c r="J78" s="291">
        <v>79</v>
      </c>
      <c r="K78" s="291">
        <v>100</v>
      </c>
      <c r="L78" s="291" t="str">
        <f t="shared" si="8"/>
        <v>83 - Fine grade = 5.1818</v>
      </c>
      <c r="M78" s="291">
        <f t="shared" si="11"/>
        <v>5.1818181818181817</v>
      </c>
      <c r="N78" s="291">
        <f t="shared" si="9"/>
        <v>5</v>
      </c>
      <c r="R78" s="216"/>
    </row>
    <row r="79" spans="8:18" x14ac:dyDescent="0.45">
      <c r="H79" s="291">
        <f t="shared" si="10"/>
        <v>84</v>
      </c>
      <c r="I79" s="291">
        <v>5</v>
      </c>
      <c r="J79" s="291">
        <v>79</v>
      </c>
      <c r="K79" s="291">
        <v>100</v>
      </c>
      <c r="L79" s="291" t="str">
        <f t="shared" si="8"/>
        <v>84 - Fine grade = 5.2273</v>
      </c>
      <c r="M79" s="291">
        <f t="shared" si="11"/>
        <v>5.2272727272727275</v>
      </c>
      <c r="N79" s="291">
        <f t="shared" si="9"/>
        <v>5</v>
      </c>
      <c r="R79" s="216"/>
    </row>
    <row r="80" spans="8:18" x14ac:dyDescent="0.45">
      <c r="H80" s="291">
        <f t="shared" si="10"/>
        <v>85</v>
      </c>
      <c r="I80" s="291">
        <v>5</v>
      </c>
      <c r="J80" s="291">
        <v>79</v>
      </c>
      <c r="K80" s="291">
        <v>100</v>
      </c>
      <c r="L80" s="291" t="str">
        <f t="shared" si="8"/>
        <v>85 - Fine grade = 5.2727</v>
      </c>
      <c r="M80" s="291">
        <f t="shared" si="11"/>
        <v>5.2727272727272725</v>
      </c>
      <c r="N80" s="291">
        <f t="shared" si="9"/>
        <v>5</v>
      </c>
      <c r="R80" s="216"/>
    </row>
    <row r="81" spans="8:18" x14ac:dyDescent="0.45">
      <c r="H81" s="291">
        <f t="shared" si="10"/>
        <v>86</v>
      </c>
      <c r="I81" s="291">
        <v>5</v>
      </c>
      <c r="J81" s="291">
        <v>79</v>
      </c>
      <c r="K81" s="291">
        <v>100</v>
      </c>
      <c r="L81" s="291" t="str">
        <f t="shared" si="8"/>
        <v>86 - Fine grade = 5.3182</v>
      </c>
      <c r="M81" s="291">
        <f t="shared" si="11"/>
        <v>5.3181818181818183</v>
      </c>
      <c r="N81" s="291">
        <f t="shared" si="9"/>
        <v>5</v>
      </c>
      <c r="R81" s="216"/>
    </row>
    <row r="82" spans="8:18" x14ac:dyDescent="0.45">
      <c r="H82" s="291">
        <f t="shared" si="10"/>
        <v>87</v>
      </c>
      <c r="I82" s="291">
        <v>5</v>
      </c>
      <c r="J82" s="291">
        <v>79</v>
      </c>
      <c r="K82" s="291">
        <v>100</v>
      </c>
      <c r="L82" s="291" t="str">
        <f t="shared" si="8"/>
        <v>87 - Fine grade = 5.3636</v>
      </c>
      <c r="M82" s="291">
        <f t="shared" si="11"/>
        <v>5.3636363636363633</v>
      </c>
      <c r="N82" s="291">
        <f t="shared" si="9"/>
        <v>5</v>
      </c>
      <c r="R82" s="216"/>
    </row>
    <row r="83" spans="8:18" x14ac:dyDescent="0.45">
      <c r="H83" s="291">
        <f t="shared" si="10"/>
        <v>88</v>
      </c>
      <c r="I83" s="291">
        <v>5</v>
      </c>
      <c r="J83" s="291">
        <v>79</v>
      </c>
      <c r="K83" s="291">
        <v>100</v>
      </c>
      <c r="L83" s="291" t="str">
        <f t="shared" si="8"/>
        <v>88 - Fine grade = 5.4091</v>
      </c>
      <c r="M83" s="291">
        <f t="shared" si="11"/>
        <v>5.4090909090909092</v>
      </c>
      <c r="N83" s="291">
        <f t="shared" si="9"/>
        <v>5</v>
      </c>
      <c r="R83" s="216"/>
    </row>
    <row r="84" spans="8:18" x14ac:dyDescent="0.45">
      <c r="H84" s="291">
        <f t="shared" si="10"/>
        <v>89</v>
      </c>
      <c r="I84" s="291">
        <v>5</v>
      </c>
      <c r="J84" s="291">
        <v>79</v>
      </c>
      <c r="K84" s="291">
        <v>100</v>
      </c>
      <c r="L84" s="291" t="str">
        <f t="shared" si="8"/>
        <v>89 - Fine grade = 5.4545</v>
      </c>
      <c r="M84" s="291">
        <f t="shared" si="11"/>
        <v>5.4545454545454541</v>
      </c>
      <c r="N84" s="291">
        <f t="shared" si="9"/>
        <v>5</v>
      </c>
      <c r="R84" s="216"/>
    </row>
    <row r="85" spans="8:18" x14ac:dyDescent="0.45">
      <c r="H85" s="291">
        <f t="shared" si="10"/>
        <v>90</v>
      </c>
      <c r="I85" s="291">
        <v>5</v>
      </c>
      <c r="J85" s="291">
        <v>79</v>
      </c>
      <c r="K85" s="291">
        <v>100</v>
      </c>
      <c r="L85" s="291" t="str">
        <f t="shared" si="8"/>
        <v>90 - Fine grade = 5.5</v>
      </c>
      <c r="M85" s="291">
        <f t="shared" si="11"/>
        <v>5.5</v>
      </c>
      <c r="N85" s="291">
        <f t="shared" si="9"/>
        <v>5</v>
      </c>
      <c r="R85" s="216"/>
    </row>
    <row r="86" spans="8:18" x14ac:dyDescent="0.45">
      <c r="H86" s="291">
        <f t="shared" si="10"/>
        <v>91</v>
      </c>
      <c r="I86" s="291">
        <v>5</v>
      </c>
      <c r="J86" s="291">
        <v>79</v>
      </c>
      <c r="K86" s="291">
        <v>100</v>
      </c>
      <c r="L86" s="291" t="str">
        <f t="shared" si="8"/>
        <v>91 - Fine grade = 5.5455</v>
      </c>
      <c r="M86" s="291">
        <f t="shared" si="11"/>
        <v>5.545454545454545</v>
      </c>
      <c r="N86" s="291">
        <f t="shared" si="9"/>
        <v>5</v>
      </c>
      <c r="R86" s="216"/>
    </row>
    <row r="87" spans="8:18" x14ac:dyDescent="0.45">
      <c r="H87" s="291">
        <f t="shared" si="10"/>
        <v>92</v>
      </c>
      <c r="I87" s="291">
        <v>5</v>
      </c>
      <c r="J87" s="291">
        <v>79</v>
      </c>
      <c r="K87" s="291">
        <v>100</v>
      </c>
      <c r="L87" s="291" t="str">
        <f t="shared" si="8"/>
        <v>92 - Fine grade = 5.5909</v>
      </c>
      <c r="M87" s="291">
        <f t="shared" si="11"/>
        <v>5.5909090909090908</v>
      </c>
      <c r="N87" s="291">
        <f t="shared" si="9"/>
        <v>5</v>
      </c>
      <c r="R87" s="216"/>
    </row>
    <row r="88" spans="8:18" x14ac:dyDescent="0.45">
      <c r="H88" s="291">
        <f t="shared" si="10"/>
        <v>93</v>
      </c>
      <c r="I88" s="291">
        <v>5</v>
      </c>
      <c r="J88" s="291">
        <v>79</v>
      </c>
      <c r="K88" s="291">
        <v>100</v>
      </c>
      <c r="L88" s="291" t="str">
        <f t="shared" si="8"/>
        <v>93 - Fine grade = 5.6364</v>
      </c>
      <c r="M88" s="291">
        <f t="shared" si="11"/>
        <v>5.6363636363636367</v>
      </c>
      <c r="N88" s="291">
        <f t="shared" si="9"/>
        <v>5</v>
      </c>
      <c r="R88" s="216"/>
    </row>
    <row r="89" spans="8:18" x14ac:dyDescent="0.45">
      <c r="H89" s="291">
        <f t="shared" si="10"/>
        <v>94</v>
      </c>
      <c r="I89" s="291">
        <v>5</v>
      </c>
      <c r="J89" s="291">
        <v>79</v>
      </c>
      <c r="K89" s="291">
        <v>100</v>
      </c>
      <c r="L89" s="291" t="str">
        <f t="shared" si="8"/>
        <v>94 - Fine grade = 5.6818</v>
      </c>
      <c r="M89" s="291">
        <f t="shared" si="11"/>
        <v>5.6818181818181817</v>
      </c>
      <c r="N89" s="291">
        <f t="shared" si="9"/>
        <v>5</v>
      </c>
      <c r="R89" s="216"/>
    </row>
    <row r="90" spans="8:18" x14ac:dyDescent="0.45">
      <c r="H90" s="291">
        <f t="shared" si="10"/>
        <v>95</v>
      </c>
      <c r="I90" s="291">
        <v>5</v>
      </c>
      <c r="J90" s="291">
        <v>79</v>
      </c>
      <c r="K90" s="291">
        <v>100</v>
      </c>
      <c r="L90" s="291" t="str">
        <f t="shared" si="8"/>
        <v>95 - Fine grade = 5.7273</v>
      </c>
      <c r="M90" s="291">
        <f t="shared" si="11"/>
        <v>5.7272727272727275</v>
      </c>
      <c r="N90" s="291">
        <f t="shared" si="9"/>
        <v>5</v>
      </c>
      <c r="R90" s="216"/>
    </row>
    <row r="91" spans="8:18" x14ac:dyDescent="0.45">
      <c r="H91" s="291">
        <f t="shared" si="10"/>
        <v>96</v>
      </c>
      <c r="I91" s="291">
        <v>5</v>
      </c>
      <c r="J91" s="291">
        <v>79</v>
      </c>
      <c r="K91" s="291">
        <v>100</v>
      </c>
      <c r="L91" s="291" t="str">
        <f t="shared" si="8"/>
        <v>96 - Fine grade = 5.7727</v>
      </c>
      <c r="M91" s="291">
        <f t="shared" si="11"/>
        <v>5.7727272727272725</v>
      </c>
      <c r="N91" s="291">
        <f t="shared" si="9"/>
        <v>5</v>
      </c>
      <c r="R91" s="216"/>
    </row>
    <row r="92" spans="8:18" x14ac:dyDescent="0.45">
      <c r="H92" s="291">
        <f t="shared" si="10"/>
        <v>97</v>
      </c>
      <c r="I92" s="291">
        <v>5</v>
      </c>
      <c r="J92" s="291">
        <v>79</v>
      </c>
      <c r="K92" s="291">
        <v>100</v>
      </c>
      <c r="L92" s="291" t="str">
        <f t="shared" si="8"/>
        <v>97 - Fine grade = 5.8182</v>
      </c>
      <c r="M92" s="291">
        <f t="shared" si="11"/>
        <v>5.8181818181818183</v>
      </c>
      <c r="N92" s="291">
        <f t="shared" si="9"/>
        <v>5</v>
      </c>
      <c r="R92" s="216"/>
    </row>
    <row r="93" spans="8:18" x14ac:dyDescent="0.45">
      <c r="H93" s="291">
        <f t="shared" si="10"/>
        <v>98</v>
      </c>
      <c r="I93" s="291">
        <v>5</v>
      </c>
      <c r="J93" s="291">
        <v>79</v>
      </c>
      <c r="K93" s="291">
        <v>100</v>
      </c>
      <c r="L93" s="291" t="str">
        <f t="shared" si="8"/>
        <v>98 - Fine grade = 5.8636</v>
      </c>
      <c r="M93" s="291">
        <f t="shared" si="11"/>
        <v>5.8636363636363633</v>
      </c>
      <c r="N93" s="291">
        <f t="shared" si="9"/>
        <v>5</v>
      </c>
      <c r="R93" s="216"/>
    </row>
    <row r="94" spans="8:18" x14ac:dyDescent="0.45">
      <c r="H94" s="291">
        <f t="shared" si="10"/>
        <v>99</v>
      </c>
      <c r="I94" s="291">
        <v>5</v>
      </c>
      <c r="J94" s="291">
        <v>79</v>
      </c>
      <c r="K94" s="291">
        <v>100</v>
      </c>
      <c r="L94" s="291" t="str">
        <f t="shared" si="8"/>
        <v>99 - Fine grade = 5.9091</v>
      </c>
      <c r="M94" s="291">
        <f t="shared" si="11"/>
        <v>5.9090909090909092</v>
      </c>
      <c r="N94" s="291">
        <f t="shared" si="9"/>
        <v>5</v>
      </c>
      <c r="R94" s="216"/>
    </row>
    <row r="95" spans="8:18" x14ac:dyDescent="0.45">
      <c r="H95" s="291">
        <f t="shared" si="10"/>
        <v>100</v>
      </c>
      <c r="I95" s="291">
        <v>5</v>
      </c>
      <c r="J95" s="291">
        <v>79</v>
      </c>
      <c r="K95" s="291">
        <v>100</v>
      </c>
      <c r="L95" s="291" t="str">
        <f t="shared" si="8"/>
        <v>100 - Fine grade = 5.9545</v>
      </c>
      <c r="M95" s="291">
        <f t="shared" si="11"/>
        <v>5.954545454545455</v>
      </c>
      <c r="N95" s="291">
        <f t="shared" si="9"/>
        <v>5</v>
      </c>
      <c r="R95" s="216"/>
    </row>
  </sheetData>
  <mergeCells count="2">
    <mergeCell ref="Q3:R3"/>
    <mergeCell ref="S3:T3"/>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dimension ref="A1:R257"/>
  <sheetViews>
    <sheetView workbookViewId="0">
      <selection activeCell="F80" sqref="F80"/>
    </sheetView>
  </sheetViews>
  <sheetFormatPr defaultColWidth="9.1328125" defaultRowHeight="10.15" x14ac:dyDescent="0.3"/>
  <cols>
    <col min="1" max="1" width="21.265625" style="5" customWidth="1"/>
    <col min="2" max="2" width="11" style="5" customWidth="1"/>
    <col min="3" max="3" width="11.73046875" style="13" bestFit="1" customWidth="1"/>
    <col min="4" max="4" width="21.86328125" style="5" customWidth="1"/>
    <col min="5" max="5" width="20.3984375" style="5" customWidth="1"/>
    <col min="6" max="6" width="11" style="5" customWidth="1"/>
    <col min="7" max="7" width="11" style="13" customWidth="1"/>
    <col min="8" max="8" width="21.265625" style="5" customWidth="1"/>
    <col min="9" max="10" width="11" style="5" customWidth="1"/>
    <col min="11" max="11" width="11" style="13" customWidth="1"/>
    <col min="12" max="12" width="11" style="5" customWidth="1"/>
    <col min="13" max="13" width="9.1328125" style="5"/>
    <col min="14" max="14" width="13.1328125" style="5" bestFit="1" customWidth="1"/>
    <col min="15" max="16384" width="9.1328125" style="5"/>
  </cols>
  <sheetData>
    <row r="1" spans="1:18" x14ac:dyDescent="0.3">
      <c r="A1" s="54" t="s">
        <v>145</v>
      </c>
      <c r="E1" s="54" t="s">
        <v>42</v>
      </c>
    </row>
    <row r="2" spans="1:18" x14ac:dyDescent="0.3">
      <c r="A2" s="45" t="s">
        <v>146</v>
      </c>
      <c r="B2" s="45" t="s">
        <v>147</v>
      </c>
      <c r="C2" s="46" t="s">
        <v>148</v>
      </c>
      <c r="D2" s="45" t="s">
        <v>152</v>
      </c>
      <c r="E2" s="45" t="s">
        <v>7</v>
      </c>
      <c r="F2" s="45" t="s">
        <v>8</v>
      </c>
      <c r="G2" s="46" t="s">
        <v>9</v>
      </c>
      <c r="H2" s="45" t="s">
        <v>239</v>
      </c>
      <c r="I2" s="45"/>
      <c r="J2" s="45"/>
      <c r="K2" s="46"/>
      <c r="M2" s="13"/>
      <c r="N2" s="13"/>
      <c r="O2" s="13"/>
      <c r="P2" s="13"/>
      <c r="Q2" s="13"/>
      <c r="R2" s="13"/>
    </row>
    <row r="3" spans="1:18" x14ac:dyDescent="0.3">
      <c r="A3" s="56" t="s">
        <v>28</v>
      </c>
      <c r="B3" s="34" t="s">
        <v>10</v>
      </c>
      <c r="C3" s="32" t="s">
        <v>10</v>
      </c>
      <c r="D3" s="33"/>
      <c r="E3" s="48" t="s">
        <v>28</v>
      </c>
      <c r="F3" s="34" t="s">
        <v>10</v>
      </c>
      <c r="G3" s="32" t="s">
        <v>10</v>
      </c>
      <c r="H3" s="33"/>
      <c r="I3" s="48"/>
      <c r="J3" s="34"/>
      <c r="K3" s="32"/>
      <c r="M3" s="13"/>
      <c r="N3" s="13"/>
      <c r="O3" s="13"/>
      <c r="P3" s="13"/>
      <c r="Q3" s="13"/>
      <c r="R3" s="13"/>
    </row>
    <row r="4" spans="1:18" s="2" customFormat="1" x14ac:dyDescent="0.3">
      <c r="A4" s="49" t="s">
        <v>29</v>
      </c>
      <c r="B4" s="35" t="s">
        <v>10</v>
      </c>
      <c r="C4" s="36" t="s">
        <v>10</v>
      </c>
      <c r="D4" s="36"/>
      <c r="E4" s="49" t="s">
        <v>29</v>
      </c>
      <c r="F4" s="35" t="s">
        <v>10</v>
      </c>
      <c r="G4" s="36" t="s">
        <v>10</v>
      </c>
      <c r="H4" s="36"/>
      <c r="I4" s="49"/>
      <c r="J4" s="35"/>
      <c r="K4" s="36"/>
      <c r="L4" s="1"/>
      <c r="M4" s="51"/>
      <c r="N4" s="51"/>
      <c r="O4" s="51"/>
      <c r="P4" s="51"/>
      <c r="Q4" s="51"/>
      <c r="R4" s="51"/>
    </row>
    <row r="5" spans="1:18" x14ac:dyDescent="0.3">
      <c r="A5" s="49" t="s">
        <v>30</v>
      </c>
      <c r="B5" s="35" t="s">
        <v>10</v>
      </c>
      <c r="C5" s="37" t="s">
        <v>10</v>
      </c>
      <c r="D5" s="35"/>
      <c r="E5" s="49" t="s">
        <v>30</v>
      </c>
      <c r="F5" s="35" t="s">
        <v>10</v>
      </c>
      <c r="G5" s="37" t="s">
        <v>10</v>
      </c>
      <c r="H5" s="35"/>
      <c r="I5" s="49"/>
      <c r="J5" s="35"/>
      <c r="K5" s="37"/>
      <c r="L5" s="4"/>
      <c r="M5" s="13"/>
      <c r="N5" s="13"/>
      <c r="O5" s="13"/>
      <c r="P5" s="13"/>
      <c r="Q5" s="13"/>
      <c r="R5" s="13"/>
    </row>
    <row r="6" spans="1:18" x14ac:dyDescent="0.3">
      <c r="A6" s="20" t="s">
        <v>32</v>
      </c>
      <c r="B6" s="33" t="s">
        <v>10</v>
      </c>
      <c r="C6" s="32" t="s">
        <v>10</v>
      </c>
      <c r="D6" s="33"/>
      <c r="E6" s="20" t="s">
        <v>32</v>
      </c>
      <c r="F6" s="33" t="s">
        <v>10</v>
      </c>
      <c r="G6" s="32" t="s">
        <v>10</v>
      </c>
      <c r="H6" s="33"/>
      <c r="I6" s="20"/>
      <c r="J6" s="33"/>
      <c r="K6" s="32"/>
      <c r="L6" s="4"/>
      <c r="M6" s="13"/>
      <c r="N6" s="13"/>
      <c r="O6" s="13"/>
      <c r="P6" s="13"/>
      <c r="Q6" s="13"/>
      <c r="R6" s="13"/>
    </row>
    <row r="7" spans="1:18" x14ac:dyDescent="0.3">
      <c r="A7" s="20" t="s">
        <v>31</v>
      </c>
      <c r="B7" s="33" t="s">
        <v>10</v>
      </c>
      <c r="C7" s="32" t="s">
        <v>10</v>
      </c>
      <c r="D7" s="33"/>
      <c r="E7" s="20" t="s">
        <v>31</v>
      </c>
      <c r="F7" s="33" t="s">
        <v>10</v>
      </c>
      <c r="G7" s="32" t="s">
        <v>10</v>
      </c>
      <c r="H7" s="33"/>
      <c r="I7" s="20"/>
      <c r="J7" s="33"/>
      <c r="K7" s="32"/>
      <c r="L7" s="4"/>
      <c r="M7" s="13"/>
      <c r="N7" s="13"/>
      <c r="O7" s="13"/>
      <c r="P7" s="13"/>
      <c r="Q7" s="13"/>
      <c r="R7" s="13"/>
    </row>
    <row r="8" spans="1:18" x14ac:dyDescent="0.3">
      <c r="A8" s="20" t="s">
        <v>33</v>
      </c>
      <c r="B8" s="33" t="s">
        <v>10</v>
      </c>
      <c r="C8" s="32" t="s">
        <v>10</v>
      </c>
      <c r="D8" s="33"/>
      <c r="E8" s="50" t="s">
        <v>33</v>
      </c>
      <c r="F8" s="33" t="s">
        <v>10</v>
      </c>
      <c r="G8" s="32" t="s">
        <v>10</v>
      </c>
      <c r="H8" s="33"/>
      <c r="I8" s="50"/>
      <c r="J8" s="33"/>
      <c r="K8" s="32"/>
      <c r="L8" s="4"/>
      <c r="M8" s="13"/>
      <c r="N8" s="13"/>
      <c r="O8" s="13"/>
      <c r="P8" s="13"/>
      <c r="Q8" s="13"/>
      <c r="R8" s="13"/>
    </row>
    <row r="9" spans="1:18" x14ac:dyDescent="0.3">
      <c r="A9" s="50" t="s">
        <v>34</v>
      </c>
      <c r="B9" s="33" t="s">
        <v>10</v>
      </c>
      <c r="C9" s="32" t="s">
        <v>10</v>
      </c>
      <c r="D9" s="33"/>
      <c r="E9" s="50" t="s">
        <v>34</v>
      </c>
      <c r="F9" s="33" t="s">
        <v>10</v>
      </c>
      <c r="G9" s="32" t="s">
        <v>10</v>
      </c>
      <c r="H9" s="38"/>
      <c r="I9" s="50"/>
      <c r="J9" s="33"/>
      <c r="K9" s="32"/>
      <c r="L9" s="4"/>
      <c r="M9" s="13"/>
      <c r="N9" s="13"/>
      <c r="O9" s="13"/>
      <c r="P9" s="13"/>
      <c r="Q9" s="13"/>
      <c r="R9" s="13"/>
    </row>
    <row r="10" spans="1:18" x14ac:dyDescent="0.3">
      <c r="A10" s="301">
        <v>12</v>
      </c>
      <c r="B10" s="301">
        <v>3</v>
      </c>
      <c r="C10" s="302">
        <f t="shared" ref="C10:C48" si="0">B10+((A10-VLOOKUP(B10,$A$103:$E$107,2,FALSE))/(VLOOKUP(B10,$A$103:$E$107,3,FALSE)-VLOOKUP(B10,$A$103:$E$107,2,FALSE)+1))</f>
        <v>3</v>
      </c>
      <c r="D10" s="303" t="s">
        <v>307</v>
      </c>
      <c r="E10" s="310">
        <v>15</v>
      </c>
      <c r="F10" s="310">
        <v>2</v>
      </c>
      <c r="G10" s="311">
        <f>3-((VLOOKUP(3,$A$103:$E$107,4,FALSE)-E10)/(VLOOKUP(3,$A$103:$E$107,5,FALSE)-VLOOKUP(3,$A$103:$E$107,4,FALSE)+1))</f>
        <v>2.8928571428571428</v>
      </c>
      <c r="H10" s="312" t="s">
        <v>153</v>
      </c>
      <c r="I10" s="39"/>
      <c r="J10" s="39"/>
      <c r="K10" s="34"/>
      <c r="L10" s="4"/>
      <c r="M10" s="13"/>
      <c r="N10" s="13"/>
      <c r="O10" s="13"/>
      <c r="P10" s="13"/>
      <c r="Q10" s="13"/>
      <c r="R10" s="13"/>
    </row>
    <row r="11" spans="1:18" x14ac:dyDescent="0.3">
      <c r="A11" s="301">
        <v>13</v>
      </c>
      <c r="B11" s="301">
        <v>3</v>
      </c>
      <c r="C11" s="302">
        <f t="shared" si="0"/>
        <v>3.1428571428571428</v>
      </c>
      <c r="D11" s="303" t="s">
        <v>308</v>
      </c>
      <c r="E11" s="310">
        <f>E10+1</f>
        <v>16</v>
      </c>
      <c r="F11" s="310">
        <v>2</v>
      </c>
      <c r="G11" s="311">
        <f>3-((VLOOKUP(3,$A$103:$E$107,4,FALSE)-E11)/(VLOOKUP(3,$A$103:$E$107,5,FALSE)-VLOOKUP(3,$A$103:$E$107,4,FALSE)+1))</f>
        <v>2.9285714285714284</v>
      </c>
      <c r="H11" s="312" t="s">
        <v>154</v>
      </c>
      <c r="I11" s="39"/>
      <c r="J11" s="39"/>
      <c r="K11" s="34"/>
      <c r="L11" s="4"/>
      <c r="M11" s="13"/>
      <c r="N11" s="13"/>
      <c r="O11" s="13"/>
      <c r="P11" s="13"/>
      <c r="Q11" s="13"/>
      <c r="R11" s="13"/>
    </row>
    <row r="12" spans="1:18" x14ac:dyDescent="0.3">
      <c r="A12" s="301">
        <v>14</v>
      </c>
      <c r="B12" s="301">
        <v>3</v>
      </c>
      <c r="C12" s="302">
        <f t="shared" si="0"/>
        <v>3.2857142857142856</v>
      </c>
      <c r="D12" s="303" t="s">
        <v>309</v>
      </c>
      <c r="E12" s="310">
        <f t="shared" ref="E12:E75" si="1">E11+1</f>
        <v>17</v>
      </c>
      <c r="F12" s="310">
        <v>2</v>
      </c>
      <c r="G12" s="311">
        <f>3-((VLOOKUP(3,$A$103:$E$107,4,FALSE)-E12)/(VLOOKUP(3,$A$103:$E$107,5,FALSE)-VLOOKUP(3,$A$103:$E$107,4,FALSE)+1))</f>
        <v>2.9642857142857144</v>
      </c>
      <c r="H12" s="312" t="s">
        <v>155</v>
      </c>
      <c r="I12" s="39"/>
      <c r="J12" s="39"/>
      <c r="K12" s="34"/>
      <c r="L12" s="4"/>
      <c r="M12" s="13"/>
      <c r="N12" s="13"/>
      <c r="O12" s="13"/>
      <c r="P12" s="13"/>
      <c r="Q12" s="13"/>
      <c r="R12" s="13"/>
    </row>
    <row r="13" spans="1:18" x14ac:dyDescent="0.3">
      <c r="A13" s="301">
        <v>15</v>
      </c>
      <c r="B13" s="301">
        <v>3</v>
      </c>
      <c r="C13" s="302">
        <f t="shared" si="0"/>
        <v>3.4285714285714284</v>
      </c>
      <c r="D13" s="303" t="s">
        <v>310</v>
      </c>
      <c r="E13" s="301">
        <f t="shared" si="1"/>
        <v>18</v>
      </c>
      <c r="F13" s="301">
        <v>3</v>
      </c>
      <c r="G13" s="302">
        <f>F13+((E13-VLOOKUP(F13,$A$103:$E$107,4,FALSE))/(VLOOKUP(F13,$A$103:$E$107,5,FALSE)-VLOOKUP(F13,$A$103:$E$107,4,FALSE)+1))</f>
        <v>3</v>
      </c>
      <c r="H13" s="309" t="s">
        <v>156</v>
      </c>
      <c r="I13" s="39"/>
      <c r="J13" s="39"/>
      <c r="K13" s="34"/>
      <c r="L13" s="4"/>
      <c r="M13" s="13"/>
      <c r="N13" s="13"/>
      <c r="O13" s="13"/>
      <c r="P13" s="13"/>
      <c r="Q13" s="13"/>
      <c r="R13" s="13"/>
    </row>
    <row r="14" spans="1:18" x14ac:dyDescent="0.3">
      <c r="A14" s="301">
        <v>16</v>
      </c>
      <c r="B14" s="301">
        <v>3</v>
      </c>
      <c r="C14" s="302">
        <f t="shared" si="0"/>
        <v>3.5714285714285712</v>
      </c>
      <c r="D14" s="303" t="s">
        <v>311</v>
      </c>
      <c r="E14" s="301">
        <f t="shared" si="1"/>
        <v>19</v>
      </c>
      <c r="F14" s="301">
        <v>3</v>
      </c>
      <c r="G14" s="302">
        <f t="shared" ref="G14:G77" si="2">F14+((E14-VLOOKUP(F14,$A$103:$E$107,4,FALSE))/(VLOOKUP(F14,$A$103:$E$107,5,FALSE)-VLOOKUP(F14,$A$103:$E$107,4,FALSE)+1))</f>
        <v>3.0357142857142856</v>
      </c>
      <c r="H14" s="309" t="s">
        <v>157</v>
      </c>
      <c r="I14" s="39"/>
      <c r="J14" s="39"/>
      <c r="K14" s="34"/>
      <c r="L14" s="4"/>
      <c r="M14" s="13"/>
      <c r="N14" s="13"/>
      <c r="O14" s="13"/>
      <c r="P14" s="13"/>
      <c r="Q14" s="13"/>
      <c r="R14" s="13"/>
    </row>
    <row r="15" spans="1:18" x14ac:dyDescent="0.3">
      <c r="A15" s="301">
        <v>17</v>
      </c>
      <c r="B15" s="301">
        <v>3</v>
      </c>
      <c r="C15" s="302">
        <f t="shared" si="0"/>
        <v>3.7142857142857144</v>
      </c>
      <c r="D15" s="303" t="s">
        <v>312</v>
      </c>
      <c r="E15" s="301">
        <f t="shared" si="1"/>
        <v>20</v>
      </c>
      <c r="F15" s="301">
        <v>3</v>
      </c>
      <c r="G15" s="302">
        <f t="shared" si="2"/>
        <v>3.0714285714285716</v>
      </c>
      <c r="H15" s="309" t="s">
        <v>158</v>
      </c>
      <c r="I15" s="39"/>
      <c r="J15" s="39"/>
      <c r="K15" s="34"/>
      <c r="L15" s="4"/>
      <c r="M15" s="13"/>
      <c r="N15" s="13"/>
      <c r="O15" s="13"/>
      <c r="P15" s="13"/>
      <c r="Q15" s="13"/>
      <c r="R15" s="13"/>
    </row>
    <row r="16" spans="1:18" x14ac:dyDescent="0.3">
      <c r="A16" s="301">
        <f t="shared" ref="A16:A48" si="3">A15+1</f>
        <v>18</v>
      </c>
      <c r="B16" s="301">
        <v>3</v>
      </c>
      <c r="C16" s="302">
        <f t="shared" si="0"/>
        <v>3.8571428571428572</v>
      </c>
      <c r="D16" s="303" t="s">
        <v>313</v>
      </c>
      <c r="E16" s="301">
        <f t="shared" si="1"/>
        <v>21</v>
      </c>
      <c r="F16" s="301">
        <v>3</v>
      </c>
      <c r="G16" s="302">
        <f t="shared" si="2"/>
        <v>3.1071428571428572</v>
      </c>
      <c r="H16" s="309" t="s">
        <v>159</v>
      </c>
      <c r="I16" s="39"/>
      <c r="J16" s="39"/>
      <c r="K16" s="34"/>
      <c r="L16" s="4"/>
      <c r="M16" s="13"/>
      <c r="N16" s="13"/>
      <c r="O16" s="13"/>
      <c r="P16" s="13"/>
      <c r="Q16" s="13"/>
      <c r="R16" s="13"/>
    </row>
    <row r="17" spans="1:18" x14ac:dyDescent="0.3">
      <c r="A17" s="298">
        <f t="shared" si="3"/>
        <v>19</v>
      </c>
      <c r="B17" s="298">
        <v>4</v>
      </c>
      <c r="C17" s="299">
        <f t="shared" si="0"/>
        <v>4</v>
      </c>
      <c r="D17" s="300" t="s">
        <v>314</v>
      </c>
      <c r="E17" s="301">
        <f t="shared" si="1"/>
        <v>22</v>
      </c>
      <c r="F17" s="301">
        <v>3</v>
      </c>
      <c r="G17" s="302">
        <f t="shared" si="2"/>
        <v>3.1428571428571428</v>
      </c>
      <c r="H17" s="309" t="s">
        <v>160</v>
      </c>
      <c r="I17" s="39"/>
      <c r="J17" s="39"/>
      <c r="K17" s="34"/>
      <c r="L17" s="4"/>
      <c r="M17" s="13"/>
      <c r="N17" s="13"/>
      <c r="O17" s="13"/>
      <c r="P17" s="13"/>
      <c r="Q17" s="13"/>
      <c r="R17" s="13"/>
    </row>
    <row r="18" spans="1:18" x14ac:dyDescent="0.3">
      <c r="A18" s="298">
        <f t="shared" si="3"/>
        <v>20</v>
      </c>
      <c r="B18" s="298">
        <v>4</v>
      </c>
      <c r="C18" s="299">
        <f t="shared" si="0"/>
        <v>4.0769230769230766</v>
      </c>
      <c r="D18" s="300" t="s">
        <v>315</v>
      </c>
      <c r="E18" s="301">
        <f t="shared" si="1"/>
        <v>23</v>
      </c>
      <c r="F18" s="301">
        <v>3</v>
      </c>
      <c r="G18" s="302">
        <f t="shared" si="2"/>
        <v>3.1785714285714284</v>
      </c>
      <c r="H18" s="309" t="s">
        <v>161</v>
      </c>
      <c r="I18" s="39"/>
      <c r="J18" s="39"/>
      <c r="K18" s="34"/>
      <c r="L18" s="4"/>
      <c r="M18" s="13"/>
      <c r="N18" s="13"/>
      <c r="O18" s="13"/>
      <c r="P18" s="13"/>
      <c r="Q18" s="13"/>
      <c r="R18" s="13"/>
    </row>
    <row r="19" spans="1:18" x14ac:dyDescent="0.3">
      <c r="A19" s="298">
        <f t="shared" si="3"/>
        <v>21</v>
      </c>
      <c r="B19" s="298">
        <v>4</v>
      </c>
      <c r="C19" s="299">
        <f t="shared" si="0"/>
        <v>4.1538461538461542</v>
      </c>
      <c r="D19" s="300" t="s">
        <v>316</v>
      </c>
      <c r="E19" s="301">
        <f t="shared" si="1"/>
        <v>24</v>
      </c>
      <c r="F19" s="301">
        <v>3</v>
      </c>
      <c r="G19" s="302">
        <f t="shared" si="2"/>
        <v>3.2142857142857144</v>
      </c>
      <c r="H19" s="309" t="s">
        <v>162</v>
      </c>
      <c r="I19" s="39"/>
      <c r="J19" s="39"/>
      <c r="K19" s="34"/>
      <c r="L19" s="4"/>
      <c r="M19" s="13"/>
      <c r="N19" s="13"/>
      <c r="O19" s="13"/>
      <c r="P19" s="13"/>
      <c r="Q19" s="13"/>
      <c r="R19" s="13"/>
    </row>
    <row r="20" spans="1:18" x14ac:dyDescent="0.3">
      <c r="A20" s="298">
        <f t="shared" si="3"/>
        <v>22</v>
      </c>
      <c r="B20" s="298">
        <v>4</v>
      </c>
      <c r="C20" s="299">
        <f t="shared" si="0"/>
        <v>4.2307692307692308</v>
      </c>
      <c r="D20" s="300" t="s">
        <v>317</v>
      </c>
      <c r="E20" s="301">
        <f t="shared" si="1"/>
        <v>25</v>
      </c>
      <c r="F20" s="301">
        <v>3</v>
      </c>
      <c r="G20" s="302">
        <f t="shared" si="2"/>
        <v>3.25</v>
      </c>
      <c r="H20" s="309" t="s">
        <v>163</v>
      </c>
      <c r="I20" s="39"/>
      <c r="J20" s="39"/>
      <c r="K20" s="34"/>
      <c r="L20" s="4"/>
      <c r="M20" s="13"/>
      <c r="N20" s="13"/>
      <c r="O20" s="13"/>
      <c r="P20" s="13"/>
      <c r="Q20" s="13"/>
      <c r="R20" s="13"/>
    </row>
    <row r="21" spans="1:18" x14ac:dyDescent="0.3">
      <c r="A21" s="298">
        <f t="shared" si="3"/>
        <v>23</v>
      </c>
      <c r="B21" s="298">
        <v>4</v>
      </c>
      <c r="C21" s="299">
        <f t="shared" si="0"/>
        <v>4.3076923076923075</v>
      </c>
      <c r="D21" s="300" t="s">
        <v>318</v>
      </c>
      <c r="E21" s="301">
        <f t="shared" si="1"/>
        <v>26</v>
      </c>
      <c r="F21" s="301">
        <v>3</v>
      </c>
      <c r="G21" s="302">
        <f t="shared" si="2"/>
        <v>3.2857142857142856</v>
      </c>
      <c r="H21" s="309" t="s">
        <v>164</v>
      </c>
      <c r="I21" s="39"/>
      <c r="J21" s="39"/>
      <c r="K21" s="34"/>
      <c r="L21" s="4"/>
      <c r="M21" s="13"/>
      <c r="N21" s="13"/>
      <c r="O21" s="13"/>
      <c r="P21" s="13"/>
      <c r="Q21" s="13"/>
      <c r="R21" s="13"/>
    </row>
    <row r="22" spans="1:18" x14ac:dyDescent="0.3">
      <c r="A22" s="298">
        <f t="shared" si="3"/>
        <v>24</v>
      </c>
      <c r="B22" s="298">
        <v>4</v>
      </c>
      <c r="C22" s="299">
        <f t="shared" si="0"/>
        <v>4.384615384615385</v>
      </c>
      <c r="D22" s="300" t="s">
        <v>319</v>
      </c>
      <c r="E22" s="301">
        <f t="shared" si="1"/>
        <v>27</v>
      </c>
      <c r="F22" s="301">
        <v>3</v>
      </c>
      <c r="G22" s="302">
        <f t="shared" si="2"/>
        <v>3.3214285714285716</v>
      </c>
      <c r="H22" s="309" t="s">
        <v>165</v>
      </c>
      <c r="I22" s="39"/>
      <c r="J22" s="39"/>
      <c r="K22" s="34"/>
      <c r="L22" s="4"/>
      <c r="M22" s="13"/>
      <c r="N22" s="13"/>
      <c r="O22" s="13"/>
      <c r="P22" s="13"/>
      <c r="Q22" s="13"/>
      <c r="R22" s="13"/>
    </row>
    <row r="23" spans="1:18" x14ac:dyDescent="0.3">
      <c r="A23" s="298">
        <f t="shared" si="3"/>
        <v>25</v>
      </c>
      <c r="B23" s="298">
        <v>4</v>
      </c>
      <c r="C23" s="299">
        <f t="shared" si="0"/>
        <v>4.4615384615384617</v>
      </c>
      <c r="D23" s="300" t="s">
        <v>320</v>
      </c>
      <c r="E23" s="301">
        <f t="shared" si="1"/>
        <v>28</v>
      </c>
      <c r="F23" s="301">
        <v>3</v>
      </c>
      <c r="G23" s="302">
        <f t="shared" si="2"/>
        <v>3.3571428571428572</v>
      </c>
      <c r="H23" s="309" t="s">
        <v>166</v>
      </c>
      <c r="I23" s="39"/>
      <c r="J23" s="39"/>
      <c r="K23" s="34"/>
      <c r="L23" s="4"/>
      <c r="M23" s="13"/>
      <c r="N23" s="13"/>
      <c r="O23" s="13"/>
      <c r="P23" s="13"/>
      <c r="Q23" s="13"/>
      <c r="R23" s="13"/>
    </row>
    <row r="24" spans="1:18" x14ac:dyDescent="0.3">
      <c r="A24" s="298">
        <f t="shared" si="3"/>
        <v>26</v>
      </c>
      <c r="B24" s="298">
        <v>4</v>
      </c>
      <c r="C24" s="299">
        <f t="shared" si="0"/>
        <v>4.5384615384615383</v>
      </c>
      <c r="D24" s="300" t="s">
        <v>321</v>
      </c>
      <c r="E24" s="301">
        <f t="shared" si="1"/>
        <v>29</v>
      </c>
      <c r="F24" s="301">
        <v>3</v>
      </c>
      <c r="G24" s="302">
        <f t="shared" si="2"/>
        <v>3.3928571428571428</v>
      </c>
      <c r="H24" s="309" t="s">
        <v>167</v>
      </c>
      <c r="I24" s="39"/>
      <c r="J24" s="39"/>
      <c r="K24" s="34"/>
      <c r="L24" s="4"/>
      <c r="M24" s="13"/>
      <c r="N24" s="13"/>
      <c r="O24" s="13"/>
      <c r="P24" s="13"/>
      <c r="Q24" s="13"/>
      <c r="R24" s="13"/>
    </row>
    <row r="25" spans="1:18" x14ac:dyDescent="0.3">
      <c r="A25" s="298">
        <f t="shared" si="3"/>
        <v>27</v>
      </c>
      <c r="B25" s="298">
        <v>4</v>
      </c>
      <c r="C25" s="299">
        <f t="shared" si="0"/>
        <v>4.615384615384615</v>
      </c>
      <c r="D25" s="300" t="s">
        <v>322</v>
      </c>
      <c r="E25" s="301">
        <f t="shared" si="1"/>
        <v>30</v>
      </c>
      <c r="F25" s="301">
        <v>3</v>
      </c>
      <c r="G25" s="302">
        <f t="shared" si="2"/>
        <v>3.4285714285714284</v>
      </c>
      <c r="H25" s="309" t="s">
        <v>168</v>
      </c>
      <c r="I25" s="39"/>
      <c r="J25" s="39"/>
      <c r="K25" s="34"/>
      <c r="L25" s="4"/>
      <c r="M25" s="13"/>
      <c r="N25" s="13"/>
      <c r="O25" s="13"/>
      <c r="P25" s="13"/>
      <c r="Q25" s="13"/>
      <c r="R25" s="13"/>
    </row>
    <row r="26" spans="1:18" x14ac:dyDescent="0.3">
      <c r="A26" s="298">
        <f t="shared" si="3"/>
        <v>28</v>
      </c>
      <c r="B26" s="298">
        <v>4</v>
      </c>
      <c r="C26" s="299">
        <f t="shared" si="0"/>
        <v>4.6923076923076925</v>
      </c>
      <c r="D26" s="300" t="s">
        <v>323</v>
      </c>
      <c r="E26" s="301">
        <f t="shared" si="1"/>
        <v>31</v>
      </c>
      <c r="F26" s="301">
        <v>3</v>
      </c>
      <c r="G26" s="302">
        <f t="shared" si="2"/>
        <v>3.4642857142857144</v>
      </c>
      <c r="H26" s="309" t="s">
        <v>169</v>
      </c>
      <c r="I26" s="39"/>
      <c r="J26" s="39"/>
      <c r="K26" s="34"/>
      <c r="L26" s="4"/>
      <c r="M26" s="13"/>
      <c r="N26" s="13"/>
      <c r="O26" s="13"/>
      <c r="P26" s="13"/>
      <c r="Q26" s="13"/>
      <c r="R26" s="13"/>
    </row>
    <row r="27" spans="1:18" x14ac:dyDescent="0.3">
      <c r="A27" s="298">
        <f t="shared" si="3"/>
        <v>29</v>
      </c>
      <c r="B27" s="298">
        <v>4</v>
      </c>
      <c r="C27" s="299">
        <f t="shared" si="0"/>
        <v>4.7692307692307692</v>
      </c>
      <c r="D27" s="300" t="s">
        <v>324</v>
      </c>
      <c r="E27" s="301">
        <f t="shared" si="1"/>
        <v>32</v>
      </c>
      <c r="F27" s="301">
        <v>3</v>
      </c>
      <c r="G27" s="302">
        <f t="shared" si="2"/>
        <v>3.5</v>
      </c>
      <c r="H27" s="309" t="s">
        <v>170</v>
      </c>
      <c r="I27" s="39"/>
      <c r="J27" s="39"/>
      <c r="K27" s="34"/>
      <c r="L27" s="4"/>
      <c r="M27" s="13"/>
      <c r="N27" s="13"/>
      <c r="O27" s="13"/>
      <c r="P27" s="13"/>
      <c r="Q27" s="13"/>
      <c r="R27" s="13"/>
    </row>
    <row r="28" spans="1:18" x14ac:dyDescent="0.3">
      <c r="A28" s="298">
        <f t="shared" si="3"/>
        <v>30</v>
      </c>
      <c r="B28" s="298">
        <v>4</v>
      </c>
      <c r="C28" s="299">
        <f t="shared" si="0"/>
        <v>4.8461538461538458</v>
      </c>
      <c r="D28" s="300" t="s">
        <v>325</v>
      </c>
      <c r="E28" s="301">
        <f t="shared" si="1"/>
        <v>33</v>
      </c>
      <c r="F28" s="301">
        <v>3</v>
      </c>
      <c r="G28" s="302">
        <f t="shared" si="2"/>
        <v>3.5357142857142856</v>
      </c>
      <c r="H28" s="309" t="s">
        <v>171</v>
      </c>
      <c r="I28" s="39"/>
      <c r="J28" s="39"/>
      <c r="K28" s="34"/>
      <c r="L28" s="4"/>
      <c r="M28" s="13"/>
      <c r="N28" s="13"/>
      <c r="O28" s="13"/>
      <c r="P28" s="13"/>
      <c r="Q28" s="13"/>
      <c r="R28" s="13"/>
    </row>
    <row r="29" spans="1:18" x14ac:dyDescent="0.3">
      <c r="A29" s="298">
        <f t="shared" si="3"/>
        <v>31</v>
      </c>
      <c r="B29" s="298">
        <v>4</v>
      </c>
      <c r="C29" s="299">
        <f t="shared" si="0"/>
        <v>4.9230769230769234</v>
      </c>
      <c r="D29" s="300" t="s">
        <v>326</v>
      </c>
      <c r="E29" s="301">
        <f t="shared" si="1"/>
        <v>34</v>
      </c>
      <c r="F29" s="301">
        <v>3</v>
      </c>
      <c r="G29" s="302">
        <f t="shared" si="2"/>
        <v>3.5714285714285712</v>
      </c>
      <c r="H29" s="309" t="s">
        <v>172</v>
      </c>
      <c r="I29" s="39"/>
      <c r="J29" s="39"/>
      <c r="K29" s="34"/>
      <c r="L29" s="4"/>
      <c r="M29" s="13"/>
      <c r="N29" s="13"/>
      <c r="O29" s="13"/>
      <c r="P29" s="13"/>
      <c r="Q29" s="13"/>
      <c r="R29" s="13"/>
    </row>
    <row r="30" spans="1:18" x14ac:dyDescent="0.3">
      <c r="A30" s="304">
        <f t="shared" si="3"/>
        <v>32</v>
      </c>
      <c r="B30" s="304">
        <v>5</v>
      </c>
      <c r="C30" s="305">
        <f t="shared" si="0"/>
        <v>5</v>
      </c>
      <c r="D30" s="306" t="s">
        <v>327</v>
      </c>
      <c r="E30" s="301">
        <f t="shared" si="1"/>
        <v>35</v>
      </c>
      <c r="F30" s="301">
        <v>3</v>
      </c>
      <c r="G30" s="302">
        <f t="shared" si="2"/>
        <v>3.6071428571428572</v>
      </c>
      <c r="H30" s="309" t="s">
        <v>173</v>
      </c>
      <c r="I30" s="39"/>
      <c r="J30" s="39"/>
      <c r="K30" s="34"/>
      <c r="L30" s="4"/>
      <c r="M30" s="13"/>
      <c r="N30" s="13"/>
      <c r="O30" s="13"/>
      <c r="P30" s="13"/>
      <c r="Q30" s="13"/>
      <c r="R30" s="13"/>
    </row>
    <row r="31" spans="1:18" x14ac:dyDescent="0.3">
      <c r="A31" s="304">
        <f t="shared" si="3"/>
        <v>33</v>
      </c>
      <c r="B31" s="304">
        <v>5</v>
      </c>
      <c r="C31" s="305">
        <f t="shared" si="0"/>
        <v>5.0526315789473681</v>
      </c>
      <c r="D31" s="306" t="s">
        <v>328</v>
      </c>
      <c r="E31" s="301">
        <f t="shared" si="1"/>
        <v>36</v>
      </c>
      <c r="F31" s="301">
        <v>3</v>
      </c>
      <c r="G31" s="302">
        <f t="shared" si="2"/>
        <v>3.6428571428571428</v>
      </c>
      <c r="H31" s="309" t="s">
        <v>174</v>
      </c>
      <c r="I31" s="39"/>
      <c r="J31" s="39"/>
      <c r="K31" s="34"/>
      <c r="L31" s="4"/>
      <c r="M31" s="13"/>
      <c r="N31" s="13"/>
      <c r="O31" s="13"/>
      <c r="P31" s="13"/>
      <c r="Q31" s="13"/>
      <c r="R31" s="13"/>
    </row>
    <row r="32" spans="1:18" x14ac:dyDescent="0.3">
      <c r="A32" s="304">
        <f t="shared" si="3"/>
        <v>34</v>
      </c>
      <c r="B32" s="304">
        <v>5</v>
      </c>
      <c r="C32" s="305">
        <f t="shared" si="0"/>
        <v>5.1052631578947372</v>
      </c>
      <c r="D32" s="306" t="s">
        <v>329</v>
      </c>
      <c r="E32" s="301">
        <f t="shared" si="1"/>
        <v>37</v>
      </c>
      <c r="F32" s="301">
        <v>3</v>
      </c>
      <c r="G32" s="302">
        <f t="shared" si="2"/>
        <v>3.6785714285714288</v>
      </c>
      <c r="H32" s="309" t="s">
        <v>175</v>
      </c>
      <c r="I32" s="39"/>
      <c r="J32" s="39"/>
      <c r="K32" s="34"/>
      <c r="L32" s="4"/>
      <c r="M32" s="13"/>
      <c r="N32" s="13"/>
      <c r="O32" s="13"/>
      <c r="P32" s="13"/>
      <c r="Q32" s="13"/>
      <c r="R32" s="13"/>
    </row>
    <row r="33" spans="1:18" x14ac:dyDescent="0.3">
      <c r="A33" s="304">
        <f t="shared" si="3"/>
        <v>35</v>
      </c>
      <c r="B33" s="304">
        <v>5</v>
      </c>
      <c r="C33" s="305">
        <f t="shared" si="0"/>
        <v>5.1578947368421053</v>
      </c>
      <c r="D33" s="306" t="s">
        <v>330</v>
      </c>
      <c r="E33" s="301">
        <f t="shared" si="1"/>
        <v>38</v>
      </c>
      <c r="F33" s="301">
        <v>3</v>
      </c>
      <c r="G33" s="302">
        <f t="shared" si="2"/>
        <v>3.7142857142857144</v>
      </c>
      <c r="H33" s="309" t="s">
        <v>176</v>
      </c>
      <c r="I33" s="39"/>
      <c r="J33" s="39"/>
      <c r="K33" s="34"/>
      <c r="L33" s="4"/>
      <c r="M33" s="13"/>
      <c r="N33" s="13"/>
      <c r="O33" s="13"/>
      <c r="P33" s="13"/>
      <c r="Q33" s="13"/>
      <c r="R33" s="13"/>
    </row>
    <row r="34" spans="1:18" x14ac:dyDescent="0.3">
      <c r="A34" s="304">
        <f t="shared" si="3"/>
        <v>36</v>
      </c>
      <c r="B34" s="304">
        <v>5</v>
      </c>
      <c r="C34" s="305">
        <f t="shared" si="0"/>
        <v>5.2105263157894735</v>
      </c>
      <c r="D34" s="306" t="s">
        <v>331</v>
      </c>
      <c r="E34" s="301">
        <f t="shared" si="1"/>
        <v>39</v>
      </c>
      <c r="F34" s="301">
        <v>3</v>
      </c>
      <c r="G34" s="302">
        <f t="shared" si="2"/>
        <v>3.75</v>
      </c>
      <c r="H34" s="309" t="s">
        <v>177</v>
      </c>
      <c r="I34" s="39"/>
      <c r="J34" s="39"/>
      <c r="K34" s="34"/>
      <c r="L34" s="4"/>
      <c r="M34" s="13"/>
      <c r="N34" s="13"/>
      <c r="O34" s="13"/>
      <c r="P34" s="13"/>
      <c r="Q34" s="13"/>
      <c r="R34" s="13"/>
    </row>
    <row r="35" spans="1:18" x14ac:dyDescent="0.3">
      <c r="A35" s="304">
        <f t="shared" si="3"/>
        <v>37</v>
      </c>
      <c r="B35" s="304">
        <v>5</v>
      </c>
      <c r="C35" s="305">
        <f t="shared" si="0"/>
        <v>5.2631578947368425</v>
      </c>
      <c r="D35" s="306" t="s">
        <v>332</v>
      </c>
      <c r="E35" s="301">
        <f t="shared" si="1"/>
        <v>40</v>
      </c>
      <c r="F35" s="301">
        <v>3</v>
      </c>
      <c r="G35" s="302">
        <f t="shared" si="2"/>
        <v>3.7857142857142856</v>
      </c>
      <c r="H35" s="309" t="s">
        <v>178</v>
      </c>
      <c r="I35" s="39"/>
      <c r="J35" s="39"/>
      <c r="K35" s="34"/>
      <c r="L35" s="4"/>
      <c r="M35" s="13"/>
      <c r="N35" s="13"/>
      <c r="O35" s="13"/>
      <c r="P35" s="13"/>
      <c r="Q35" s="13"/>
      <c r="R35" s="13"/>
    </row>
    <row r="36" spans="1:18" x14ac:dyDescent="0.3">
      <c r="A36" s="304">
        <f t="shared" si="3"/>
        <v>38</v>
      </c>
      <c r="B36" s="304">
        <v>5</v>
      </c>
      <c r="C36" s="305">
        <f t="shared" si="0"/>
        <v>5.3157894736842106</v>
      </c>
      <c r="D36" s="306" t="s">
        <v>333</v>
      </c>
      <c r="E36" s="301">
        <f t="shared" si="1"/>
        <v>41</v>
      </c>
      <c r="F36" s="301">
        <v>3</v>
      </c>
      <c r="G36" s="302">
        <f t="shared" si="2"/>
        <v>3.8214285714285712</v>
      </c>
      <c r="H36" s="309" t="s">
        <v>179</v>
      </c>
      <c r="I36" s="39"/>
      <c r="J36" s="39"/>
      <c r="K36" s="34"/>
      <c r="L36" s="4"/>
      <c r="M36" s="13"/>
      <c r="N36" s="13"/>
      <c r="O36" s="13"/>
      <c r="P36" s="13"/>
      <c r="Q36" s="13"/>
      <c r="R36" s="13"/>
    </row>
    <row r="37" spans="1:18" x14ac:dyDescent="0.3">
      <c r="A37" s="304">
        <f t="shared" si="3"/>
        <v>39</v>
      </c>
      <c r="B37" s="304">
        <v>5</v>
      </c>
      <c r="C37" s="305">
        <f t="shared" si="0"/>
        <v>5.3684210526315788</v>
      </c>
      <c r="D37" s="306" t="s">
        <v>334</v>
      </c>
      <c r="E37" s="301">
        <f t="shared" si="1"/>
        <v>42</v>
      </c>
      <c r="F37" s="301">
        <v>3</v>
      </c>
      <c r="G37" s="302">
        <f t="shared" si="2"/>
        <v>3.8571428571428572</v>
      </c>
      <c r="H37" s="309" t="s">
        <v>180</v>
      </c>
      <c r="I37" s="39"/>
      <c r="J37" s="39"/>
      <c r="K37" s="34"/>
      <c r="L37" s="4"/>
      <c r="M37" s="13"/>
      <c r="N37" s="13"/>
      <c r="O37" s="13"/>
      <c r="P37" s="13"/>
      <c r="Q37" s="13"/>
      <c r="R37" s="13"/>
    </row>
    <row r="38" spans="1:18" x14ac:dyDescent="0.3">
      <c r="A38" s="304">
        <f t="shared" si="3"/>
        <v>40</v>
      </c>
      <c r="B38" s="304">
        <v>5</v>
      </c>
      <c r="C38" s="305">
        <f t="shared" si="0"/>
        <v>5.4210526315789469</v>
      </c>
      <c r="D38" s="306" t="s">
        <v>335</v>
      </c>
      <c r="E38" s="301">
        <f t="shared" si="1"/>
        <v>43</v>
      </c>
      <c r="F38" s="301">
        <v>3</v>
      </c>
      <c r="G38" s="302">
        <f t="shared" si="2"/>
        <v>3.8928571428571428</v>
      </c>
      <c r="H38" s="309" t="s">
        <v>181</v>
      </c>
      <c r="I38" s="39"/>
      <c r="J38" s="39"/>
      <c r="K38" s="34"/>
      <c r="L38" s="4"/>
      <c r="M38" s="13"/>
      <c r="N38" s="13"/>
      <c r="O38" s="13"/>
      <c r="P38" s="13"/>
      <c r="Q38" s="13"/>
      <c r="R38" s="13"/>
    </row>
    <row r="39" spans="1:18" x14ac:dyDescent="0.3">
      <c r="A39" s="304">
        <f t="shared" si="3"/>
        <v>41</v>
      </c>
      <c r="B39" s="304">
        <v>5</v>
      </c>
      <c r="C39" s="305">
        <f t="shared" si="0"/>
        <v>5.4736842105263159</v>
      </c>
      <c r="D39" s="306" t="s">
        <v>336</v>
      </c>
      <c r="E39" s="301">
        <f t="shared" si="1"/>
        <v>44</v>
      </c>
      <c r="F39" s="301">
        <v>3</v>
      </c>
      <c r="G39" s="302">
        <f t="shared" si="2"/>
        <v>3.9285714285714288</v>
      </c>
      <c r="H39" s="309" t="s">
        <v>182</v>
      </c>
      <c r="I39" s="39"/>
      <c r="J39" s="39"/>
      <c r="K39" s="34"/>
      <c r="L39" s="4"/>
      <c r="M39" s="13"/>
      <c r="N39" s="13"/>
      <c r="O39" s="13"/>
      <c r="P39" s="13"/>
      <c r="Q39" s="13"/>
      <c r="R39" s="13"/>
    </row>
    <row r="40" spans="1:18" x14ac:dyDescent="0.3">
      <c r="A40" s="304">
        <f t="shared" si="3"/>
        <v>42</v>
      </c>
      <c r="B40" s="304">
        <v>5</v>
      </c>
      <c r="C40" s="305">
        <f t="shared" si="0"/>
        <v>5.5263157894736841</v>
      </c>
      <c r="D40" s="306" t="s">
        <v>337</v>
      </c>
      <c r="E40" s="301">
        <f t="shared" si="1"/>
        <v>45</v>
      </c>
      <c r="F40" s="301">
        <v>3</v>
      </c>
      <c r="G40" s="302">
        <f t="shared" si="2"/>
        <v>3.9642857142857144</v>
      </c>
      <c r="H40" s="309" t="s">
        <v>183</v>
      </c>
      <c r="I40" s="39"/>
      <c r="J40" s="39"/>
      <c r="K40" s="34"/>
      <c r="L40" s="4"/>
      <c r="M40" s="13"/>
      <c r="N40" s="13"/>
      <c r="O40" s="13"/>
      <c r="P40" s="13"/>
      <c r="Q40" s="13"/>
      <c r="R40" s="13"/>
    </row>
    <row r="41" spans="1:18" x14ac:dyDescent="0.3">
      <c r="A41" s="304">
        <f t="shared" si="3"/>
        <v>43</v>
      </c>
      <c r="B41" s="304">
        <v>5</v>
      </c>
      <c r="C41" s="305">
        <f t="shared" si="0"/>
        <v>5.5789473684210531</v>
      </c>
      <c r="D41" s="306" t="s">
        <v>338</v>
      </c>
      <c r="E41" s="298">
        <f t="shared" si="1"/>
        <v>46</v>
      </c>
      <c r="F41" s="298">
        <v>4</v>
      </c>
      <c r="G41" s="299">
        <f t="shared" si="2"/>
        <v>4</v>
      </c>
      <c r="H41" s="308" t="s">
        <v>184</v>
      </c>
      <c r="I41" s="39"/>
      <c r="J41" s="39"/>
      <c r="K41" s="34"/>
      <c r="L41" s="4"/>
      <c r="M41" s="13"/>
      <c r="N41" s="13"/>
      <c r="O41" s="13"/>
      <c r="P41" s="13"/>
      <c r="Q41" s="13"/>
      <c r="R41" s="13"/>
    </row>
    <row r="42" spans="1:18" x14ac:dyDescent="0.3">
      <c r="A42" s="304">
        <f t="shared" si="3"/>
        <v>44</v>
      </c>
      <c r="B42" s="304">
        <v>5</v>
      </c>
      <c r="C42" s="305">
        <f t="shared" si="0"/>
        <v>5.6315789473684212</v>
      </c>
      <c r="D42" s="306" t="s">
        <v>339</v>
      </c>
      <c r="E42" s="298">
        <f t="shared" si="1"/>
        <v>47</v>
      </c>
      <c r="F42" s="298">
        <v>4</v>
      </c>
      <c r="G42" s="299">
        <f t="shared" si="2"/>
        <v>4.0303030303030303</v>
      </c>
      <c r="H42" s="308" t="s">
        <v>185</v>
      </c>
      <c r="I42" s="39"/>
      <c r="J42" s="39"/>
      <c r="K42" s="34"/>
      <c r="L42" s="4"/>
      <c r="M42" s="13"/>
      <c r="N42" s="13"/>
      <c r="O42" s="13"/>
      <c r="P42" s="13"/>
      <c r="Q42" s="13"/>
      <c r="R42" s="13"/>
    </row>
    <row r="43" spans="1:18" x14ac:dyDescent="0.3">
      <c r="A43" s="304">
        <f t="shared" si="3"/>
        <v>45</v>
      </c>
      <c r="B43" s="304">
        <v>5</v>
      </c>
      <c r="C43" s="305">
        <f t="shared" si="0"/>
        <v>5.6842105263157894</v>
      </c>
      <c r="D43" s="306" t="s">
        <v>340</v>
      </c>
      <c r="E43" s="298">
        <f t="shared" si="1"/>
        <v>48</v>
      </c>
      <c r="F43" s="298">
        <v>4</v>
      </c>
      <c r="G43" s="299">
        <f t="shared" si="2"/>
        <v>4.0606060606060606</v>
      </c>
      <c r="H43" s="308" t="s">
        <v>186</v>
      </c>
      <c r="I43" s="39"/>
      <c r="J43" s="39"/>
      <c r="K43" s="34"/>
      <c r="L43" s="4"/>
      <c r="M43" s="13"/>
      <c r="N43" s="13"/>
      <c r="O43" s="13"/>
      <c r="P43" s="13"/>
      <c r="Q43" s="13"/>
      <c r="R43" s="13"/>
    </row>
    <row r="44" spans="1:18" x14ac:dyDescent="0.3">
      <c r="A44" s="304">
        <f t="shared" si="3"/>
        <v>46</v>
      </c>
      <c r="B44" s="304">
        <v>5</v>
      </c>
      <c r="C44" s="305">
        <f t="shared" si="0"/>
        <v>5.7368421052631575</v>
      </c>
      <c r="D44" s="306" t="s">
        <v>341</v>
      </c>
      <c r="E44" s="298">
        <f t="shared" si="1"/>
        <v>49</v>
      </c>
      <c r="F44" s="298">
        <v>4</v>
      </c>
      <c r="G44" s="299">
        <f t="shared" si="2"/>
        <v>4.0909090909090908</v>
      </c>
      <c r="H44" s="308" t="s">
        <v>187</v>
      </c>
      <c r="I44" s="39"/>
      <c r="J44" s="39"/>
      <c r="K44" s="34"/>
      <c r="L44" s="4"/>
      <c r="M44" s="13"/>
      <c r="N44" s="13"/>
      <c r="O44" s="13"/>
      <c r="P44" s="13"/>
      <c r="Q44" s="13"/>
      <c r="R44" s="13"/>
    </row>
    <row r="45" spans="1:18" x14ac:dyDescent="0.3">
      <c r="A45" s="304">
        <f t="shared" si="3"/>
        <v>47</v>
      </c>
      <c r="B45" s="304">
        <v>5</v>
      </c>
      <c r="C45" s="305">
        <f t="shared" si="0"/>
        <v>5.7894736842105265</v>
      </c>
      <c r="D45" s="306" t="s">
        <v>342</v>
      </c>
      <c r="E45" s="298">
        <f t="shared" si="1"/>
        <v>50</v>
      </c>
      <c r="F45" s="298">
        <v>4</v>
      </c>
      <c r="G45" s="299">
        <f t="shared" si="2"/>
        <v>4.1212121212121211</v>
      </c>
      <c r="H45" s="308" t="s">
        <v>188</v>
      </c>
      <c r="I45" s="39"/>
      <c r="J45" s="39"/>
      <c r="K45" s="34"/>
      <c r="L45" s="4"/>
      <c r="M45" s="13"/>
      <c r="N45" s="13"/>
      <c r="O45" s="13"/>
      <c r="P45" s="13"/>
      <c r="Q45" s="13"/>
      <c r="R45" s="13"/>
    </row>
    <row r="46" spans="1:18" x14ac:dyDescent="0.3">
      <c r="A46" s="304">
        <f t="shared" si="3"/>
        <v>48</v>
      </c>
      <c r="B46" s="304">
        <v>5</v>
      </c>
      <c r="C46" s="305">
        <f t="shared" si="0"/>
        <v>5.8421052631578947</v>
      </c>
      <c r="D46" s="306" t="s">
        <v>343</v>
      </c>
      <c r="E46" s="298">
        <f t="shared" si="1"/>
        <v>51</v>
      </c>
      <c r="F46" s="298">
        <v>4</v>
      </c>
      <c r="G46" s="299">
        <f t="shared" si="2"/>
        <v>4.1515151515151514</v>
      </c>
      <c r="H46" s="308" t="s">
        <v>189</v>
      </c>
      <c r="I46" s="39"/>
      <c r="J46" s="39"/>
      <c r="K46" s="34"/>
      <c r="L46" s="4"/>
      <c r="M46" s="13"/>
      <c r="N46" s="13"/>
      <c r="O46" s="13"/>
      <c r="P46" s="13"/>
      <c r="Q46" s="13"/>
      <c r="R46" s="13"/>
    </row>
    <row r="47" spans="1:18" x14ac:dyDescent="0.3">
      <c r="A47" s="304">
        <f t="shared" si="3"/>
        <v>49</v>
      </c>
      <c r="B47" s="304">
        <v>5</v>
      </c>
      <c r="C47" s="305">
        <f t="shared" si="0"/>
        <v>5.8947368421052628</v>
      </c>
      <c r="D47" s="306" t="s">
        <v>344</v>
      </c>
      <c r="E47" s="298">
        <f t="shared" si="1"/>
        <v>52</v>
      </c>
      <c r="F47" s="298">
        <v>4</v>
      </c>
      <c r="G47" s="299">
        <f t="shared" si="2"/>
        <v>4.1818181818181817</v>
      </c>
      <c r="H47" s="308" t="s">
        <v>190</v>
      </c>
      <c r="I47" s="39"/>
      <c r="J47" s="39"/>
      <c r="K47" s="34"/>
      <c r="L47" s="4"/>
      <c r="M47" s="13"/>
      <c r="N47" s="13"/>
      <c r="O47" s="13"/>
      <c r="P47" s="13"/>
      <c r="Q47" s="13"/>
      <c r="R47" s="13"/>
    </row>
    <row r="48" spans="1:18" x14ac:dyDescent="0.3">
      <c r="A48" s="304">
        <f t="shared" si="3"/>
        <v>50</v>
      </c>
      <c r="B48" s="304">
        <v>5</v>
      </c>
      <c r="C48" s="305">
        <f t="shared" si="0"/>
        <v>5.9473684210526319</v>
      </c>
      <c r="D48" s="306" t="s">
        <v>345</v>
      </c>
      <c r="E48" s="298">
        <f t="shared" si="1"/>
        <v>53</v>
      </c>
      <c r="F48" s="298">
        <v>4</v>
      </c>
      <c r="G48" s="299">
        <f t="shared" si="2"/>
        <v>4.2121212121212119</v>
      </c>
      <c r="H48" s="308" t="s">
        <v>191</v>
      </c>
      <c r="I48" s="39"/>
      <c r="J48" s="39"/>
      <c r="K48" s="34"/>
      <c r="L48" s="4"/>
      <c r="M48" s="13"/>
      <c r="N48" s="13"/>
      <c r="O48" s="13"/>
      <c r="P48" s="13"/>
      <c r="Q48" s="13"/>
      <c r="R48" s="13"/>
    </row>
    <row r="49" spans="1:18" x14ac:dyDescent="0.3">
      <c r="A49" s="39"/>
      <c r="B49" s="39"/>
      <c r="C49" s="34"/>
      <c r="D49" s="33"/>
      <c r="E49" s="298">
        <f t="shared" si="1"/>
        <v>54</v>
      </c>
      <c r="F49" s="298">
        <v>4</v>
      </c>
      <c r="G49" s="299">
        <f t="shared" si="2"/>
        <v>4.2424242424242422</v>
      </c>
      <c r="H49" s="308" t="s">
        <v>192</v>
      </c>
      <c r="I49" s="39"/>
      <c r="J49" s="39"/>
      <c r="K49" s="34"/>
      <c r="L49" s="4"/>
      <c r="M49" s="13"/>
      <c r="N49" s="13"/>
      <c r="O49" s="13"/>
      <c r="P49" s="13"/>
      <c r="Q49" s="13"/>
      <c r="R49" s="13"/>
    </row>
    <row r="50" spans="1:18" x14ac:dyDescent="0.3">
      <c r="A50" s="39"/>
      <c r="B50" s="39"/>
      <c r="C50" s="34"/>
      <c r="D50" s="33"/>
      <c r="E50" s="298">
        <f t="shared" si="1"/>
        <v>55</v>
      </c>
      <c r="F50" s="298">
        <v>4</v>
      </c>
      <c r="G50" s="299">
        <f t="shared" si="2"/>
        <v>4.2727272727272725</v>
      </c>
      <c r="H50" s="308" t="s">
        <v>193</v>
      </c>
      <c r="I50" s="39"/>
      <c r="J50" s="39"/>
      <c r="K50" s="34"/>
      <c r="L50" s="4"/>
      <c r="M50" s="13"/>
      <c r="N50" s="13"/>
      <c r="O50" s="13"/>
      <c r="P50" s="13"/>
      <c r="Q50" s="13"/>
      <c r="R50" s="13"/>
    </row>
    <row r="51" spans="1:18" x14ac:dyDescent="0.3">
      <c r="A51" s="39"/>
      <c r="B51" s="39"/>
      <c r="C51" s="34"/>
      <c r="D51" s="33"/>
      <c r="E51" s="298">
        <f t="shared" si="1"/>
        <v>56</v>
      </c>
      <c r="F51" s="298">
        <v>4</v>
      </c>
      <c r="G51" s="299">
        <f t="shared" si="2"/>
        <v>4.3030303030303028</v>
      </c>
      <c r="H51" s="308" t="s">
        <v>194</v>
      </c>
      <c r="I51" s="39"/>
      <c r="J51" s="39"/>
      <c r="K51" s="34"/>
      <c r="L51" s="4"/>
      <c r="M51" s="13"/>
      <c r="N51" s="13"/>
      <c r="O51" s="13"/>
      <c r="P51" s="13"/>
      <c r="Q51" s="13"/>
      <c r="R51" s="13"/>
    </row>
    <row r="52" spans="1:18" x14ac:dyDescent="0.3">
      <c r="A52" s="39"/>
      <c r="B52" s="39"/>
      <c r="C52" s="34"/>
      <c r="D52" s="33"/>
      <c r="E52" s="298">
        <f t="shared" si="1"/>
        <v>57</v>
      </c>
      <c r="F52" s="298">
        <v>4</v>
      </c>
      <c r="G52" s="299">
        <f t="shared" si="2"/>
        <v>4.333333333333333</v>
      </c>
      <c r="H52" s="308" t="s">
        <v>195</v>
      </c>
      <c r="I52" s="39"/>
      <c r="J52" s="39"/>
      <c r="K52" s="34"/>
      <c r="L52" s="4"/>
      <c r="M52" s="13"/>
      <c r="N52" s="13"/>
      <c r="O52" s="13"/>
      <c r="P52" s="13"/>
      <c r="Q52" s="13"/>
      <c r="R52" s="13"/>
    </row>
    <row r="53" spans="1:18" x14ac:dyDescent="0.3">
      <c r="A53" s="39"/>
      <c r="B53" s="39"/>
      <c r="C53" s="34"/>
      <c r="D53" s="33"/>
      <c r="E53" s="298">
        <f t="shared" si="1"/>
        <v>58</v>
      </c>
      <c r="F53" s="298">
        <v>4</v>
      </c>
      <c r="G53" s="299">
        <f t="shared" si="2"/>
        <v>4.3636363636363633</v>
      </c>
      <c r="H53" s="308" t="s">
        <v>196</v>
      </c>
      <c r="I53" s="39"/>
      <c r="J53" s="39"/>
      <c r="K53" s="34"/>
      <c r="L53" s="4"/>
      <c r="M53" s="13"/>
      <c r="N53" s="13"/>
      <c r="O53" s="13"/>
      <c r="P53" s="13"/>
      <c r="Q53" s="13"/>
      <c r="R53" s="13"/>
    </row>
    <row r="54" spans="1:18" x14ac:dyDescent="0.3">
      <c r="A54" s="39"/>
      <c r="B54" s="39"/>
      <c r="C54" s="34"/>
      <c r="D54" s="33"/>
      <c r="E54" s="298">
        <f t="shared" si="1"/>
        <v>59</v>
      </c>
      <c r="F54" s="298">
        <v>4</v>
      </c>
      <c r="G54" s="299">
        <f t="shared" si="2"/>
        <v>4.3939393939393936</v>
      </c>
      <c r="H54" s="308" t="s">
        <v>197</v>
      </c>
      <c r="I54" s="39"/>
      <c r="J54" s="39"/>
      <c r="K54" s="34"/>
      <c r="L54" s="4"/>
      <c r="M54" s="13"/>
      <c r="N54" s="13"/>
      <c r="O54" s="13"/>
      <c r="P54" s="13"/>
      <c r="Q54" s="13"/>
      <c r="R54" s="13"/>
    </row>
    <row r="55" spans="1:18" x14ac:dyDescent="0.3">
      <c r="A55" s="39"/>
      <c r="B55" s="39"/>
      <c r="C55" s="34"/>
      <c r="D55" s="33"/>
      <c r="E55" s="298">
        <f t="shared" si="1"/>
        <v>60</v>
      </c>
      <c r="F55" s="298">
        <v>4</v>
      </c>
      <c r="G55" s="299">
        <f t="shared" si="2"/>
        <v>4.4242424242424239</v>
      </c>
      <c r="H55" s="308" t="s">
        <v>198</v>
      </c>
      <c r="I55" s="39"/>
      <c r="J55" s="39"/>
      <c r="K55" s="34"/>
      <c r="L55" s="4"/>
      <c r="M55" s="13"/>
      <c r="N55" s="13"/>
      <c r="O55" s="13"/>
      <c r="P55" s="13"/>
      <c r="Q55" s="13"/>
      <c r="R55" s="13"/>
    </row>
    <row r="56" spans="1:18" x14ac:dyDescent="0.3">
      <c r="A56" s="39"/>
      <c r="B56" s="39"/>
      <c r="C56" s="34"/>
      <c r="D56" s="33"/>
      <c r="E56" s="298">
        <f t="shared" si="1"/>
        <v>61</v>
      </c>
      <c r="F56" s="298">
        <v>4</v>
      </c>
      <c r="G56" s="299">
        <f t="shared" si="2"/>
        <v>4.4545454545454541</v>
      </c>
      <c r="H56" s="308" t="s">
        <v>199</v>
      </c>
      <c r="I56" s="39"/>
      <c r="J56" s="39"/>
      <c r="K56" s="34"/>
      <c r="L56" s="4"/>
      <c r="M56" s="13"/>
      <c r="N56" s="13"/>
      <c r="O56" s="13"/>
      <c r="P56" s="13"/>
      <c r="Q56" s="13"/>
      <c r="R56" s="13"/>
    </row>
    <row r="57" spans="1:18" x14ac:dyDescent="0.3">
      <c r="A57" s="39"/>
      <c r="B57" s="39"/>
      <c r="C57" s="34"/>
      <c r="D57" s="33"/>
      <c r="E57" s="298">
        <f t="shared" si="1"/>
        <v>62</v>
      </c>
      <c r="F57" s="298">
        <v>4</v>
      </c>
      <c r="G57" s="299">
        <f t="shared" si="2"/>
        <v>4.4848484848484844</v>
      </c>
      <c r="H57" s="308" t="s">
        <v>200</v>
      </c>
      <c r="I57" s="39"/>
      <c r="J57" s="39"/>
      <c r="K57" s="34"/>
      <c r="L57" s="4"/>
      <c r="M57" s="13"/>
      <c r="N57" s="13"/>
      <c r="O57" s="13"/>
      <c r="P57" s="13"/>
      <c r="Q57" s="13"/>
      <c r="R57" s="13"/>
    </row>
    <row r="58" spans="1:18" x14ac:dyDescent="0.3">
      <c r="A58" s="39"/>
      <c r="B58" s="39"/>
      <c r="C58" s="34"/>
      <c r="D58" s="33"/>
      <c r="E58" s="298">
        <f t="shared" si="1"/>
        <v>63</v>
      </c>
      <c r="F58" s="298">
        <v>4</v>
      </c>
      <c r="G58" s="299">
        <f t="shared" si="2"/>
        <v>4.5151515151515156</v>
      </c>
      <c r="H58" s="308" t="s">
        <v>201</v>
      </c>
      <c r="I58" s="39"/>
      <c r="J58" s="39"/>
      <c r="K58" s="34"/>
      <c r="L58" s="4"/>
      <c r="M58" s="13"/>
      <c r="N58" s="13"/>
      <c r="O58" s="13"/>
      <c r="P58" s="13"/>
      <c r="Q58" s="13"/>
      <c r="R58" s="13"/>
    </row>
    <row r="59" spans="1:18" x14ac:dyDescent="0.3">
      <c r="A59" s="39"/>
      <c r="B59" s="39"/>
      <c r="C59" s="34"/>
      <c r="D59" s="33"/>
      <c r="E59" s="298">
        <f t="shared" si="1"/>
        <v>64</v>
      </c>
      <c r="F59" s="298">
        <v>4</v>
      </c>
      <c r="G59" s="299">
        <f t="shared" si="2"/>
        <v>4.545454545454545</v>
      </c>
      <c r="H59" s="308" t="s">
        <v>202</v>
      </c>
      <c r="I59" s="39"/>
      <c r="J59" s="39"/>
      <c r="K59" s="34"/>
      <c r="L59" s="4"/>
      <c r="M59" s="13"/>
      <c r="N59" s="13"/>
      <c r="O59" s="13"/>
      <c r="P59" s="13"/>
      <c r="Q59" s="13"/>
      <c r="R59" s="13"/>
    </row>
    <row r="60" spans="1:18" x14ac:dyDescent="0.3">
      <c r="A60" s="39"/>
      <c r="B60" s="39"/>
      <c r="C60" s="34"/>
      <c r="D60" s="33"/>
      <c r="E60" s="298">
        <f t="shared" si="1"/>
        <v>65</v>
      </c>
      <c r="F60" s="298">
        <v>4</v>
      </c>
      <c r="G60" s="299">
        <f t="shared" si="2"/>
        <v>4.5757575757575761</v>
      </c>
      <c r="H60" s="308" t="s">
        <v>203</v>
      </c>
      <c r="I60" s="39"/>
      <c r="J60" s="39"/>
      <c r="K60" s="34"/>
      <c r="L60" s="4"/>
      <c r="M60" s="13"/>
      <c r="N60" s="13"/>
      <c r="O60" s="13"/>
      <c r="P60" s="13"/>
      <c r="Q60" s="13"/>
      <c r="R60" s="13"/>
    </row>
    <row r="61" spans="1:18" x14ac:dyDescent="0.3">
      <c r="A61" s="39"/>
      <c r="B61" s="39"/>
      <c r="C61" s="34"/>
      <c r="D61" s="33"/>
      <c r="E61" s="298">
        <f t="shared" si="1"/>
        <v>66</v>
      </c>
      <c r="F61" s="298">
        <v>4</v>
      </c>
      <c r="G61" s="299">
        <f t="shared" si="2"/>
        <v>4.6060606060606064</v>
      </c>
      <c r="H61" s="308" t="s">
        <v>204</v>
      </c>
      <c r="I61" s="39"/>
      <c r="J61" s="39"/>
      <c r="K61" s="34"/>
      <c r="L61" s="4"/>
      <c r="M61" s="13"/>
      <c r="N61" s="13"/>
      <c r="O61" s="13"/>
      <c r="P61" s="13"/>
      <c r="Q61" s="13"/>
      <c r="R61" s="13"/>
    </row>
    <row r="62" spans="1:18" x14ac:dyDescent="0.3">
      <c r="A62" s="39"/>
      <c r="B62" s="39"/>
      <c r="C62" s="34"/>
      <c r="D62" s="33"/>
      <c r="E62" s="298">
        <f t="shared" si="1"/>
        <v>67</v>
      </c>
      <c r="F62" s="298">
        <v>4</v>
      </c>
      <c r="G62" s="299">
        <f t="shared" si="2"/>
        <v>4.6363636363636367</v>
      </c>
      <c r="H62" s="308" t="s">
        <v>205</v>
      </c>
      <c r="I62" s="39"/>
      <c r="J62" s="39"/>
      <c r="K62" s="34"/>
      <c r="L62" s="4"/>
      <c r="M62" s="13"/>
      <c r="N62" s="13"/>
      <c r="O62" s="13"/>
      <c r="P62" s="13"/>
      <c r="Q62" s="13"/>
      <c r="R62" s="13"/>
    </row>
    <row r="63" spans="1:18" x14ac:dyDescent="0.3">
      <c r="A63" s="39"/>
      <c r="B63" s="39"/>
      <c r="C63" s="34"/>
      <c r="D63" s="33"/>
      <c r="E63" s="298">
        <f t="shared" si="1"/>
        <v>68</v>
      </c>
      <c r="F63" s="298">
        <v>4</v>
      </c>
      <c r="G63" s="299">
        <f t="shared" si="2"/>
        <v>4.666666666666667</v>
      </c>
      <c r="H63" s="308" t="s">
        <v>206</v>
      </c>
      <c r="I63" s="39"/>
      <c r="J63" s="39"/>
      <c r="K63" s="34"/>
      <c r="L63" s="4"/>
      <c r="M63" s="13"/>
      <c r="N63" s="13"/>
      <c r="O63" s="13"/>
      <c r="P63" s="13"/>
      <c r="Q63" s="13"/>
      <c r="R63" s="13"/>
    </row>
    <row r="64" spans="1:18" x14ac:dyDescent="0.3">
      <c r="A64" s="39"/>
      <c r="B64" s="39"/>
      <c r="C64" s="34"/>
      <c r="D64" s="33"/>
      <c r="E64" s="298">
        <f t="shared" si="1"/>
        <v>69</v>
      </c>
      <c r="F64" s="298">
        <v>4</v>
      </c>
      <c r="G64" s="299">
        <f t="shared" si="2"/>
        <v>4.6969696969696972</v>
      </c>
      <c r="H64" s="308" t="s">
        <v>207</v>
      </c>
      <c r="I64" s="39"/>
      <c r="J64" s="39"/>
      <c r="K64" s="34"/>
      <c r="L64" s="4"/>
      <c r="M64" s="13"/>
      <c r="N64" s="13"/>
      <c r="O64" s="13"/>
      <c r="P64" s="13"/>
      <c r="Q64" s="13"/>
      <c r="R64" s="13"/>
    </row>
    <row r="65" spans="1:18" x14ac:dyDescent="0.3">
      <c r="A65" s="39"/>
      <c r="B65" s="39"/>
      <c r="C65" s="34"/>
      <c r="D65" s="33"/>
      <c r="E65" s="298">
        <f t="shared" si="1"/>
        <v>70</v>
      </c>
      <c r="F65" s="298">
        <v>4</v>
      </c>
      <c r="G65" s="299">
        <f t="shared" si="2"/>
        <v>4.7272727272727275</v>
      </c>
      <c r="H65" s="308" t="s">
        <v>208</v>
      </c>
      <c r="I65" s="39"/>
      <c r="J65" s="39"/>
      <c r="K65" s="34"/>
      <c r="L65" s="4"/>
      <c r="M65" s="13"/>
      <c r="N65" s="13"/>
      <c r="O65" s="13"/>
      <c r="P65" s="13"/>
      <c r="Q65" s="13"/>
      <c r="R65" s="13"/>
    </row>
    <row r="66" spans="1:18" x14ac:dyDescent="0.3">
      <c r="A66" s="39"/>
      <c r="B66" s="39"/>
      <c r="C66" s="34"/>
      <c r="D66" s="33"/>
      <c r="E66" s="298">
        <f t="shared" si="1"/>
        <v>71</v>
      </c>
      <c r="F66" s="298">
        <v>4</v>
      </c>
      <c r="G66" s="299">
        <f t="shared" si="2"/>
        <v>4.7575757575757578</v>
      </c>
      <c r="H66" s="308" t="s">
        <v>209</v>
      </c>
      <c r="I66" s="39"/>
      <c r="J66" s="39"/>
      <c r="K66" s="34"/>
      <c r="L66" s="4"/>
      <c r="M66" s="13"/>
      <c r="N66" s="13"/>
      <c r="O66" s="13"/>
      <c r="P66" s="13"/>
      <c r="Q66" s="13"/>
      <c r="R66" s="13"/>
    </row>
    <row r="67" spans="1:18" x14ac:dyDescent="0.3">
      <c r="A67" s="39"/>
      <c r="B67" s="39"/>
      <c r="C67" s="34"/>
      <c r="D67" s="33"/>
      <c r="E67" s="298">
        <f t="shared" si="1"/>
        <v>72</v>
      </c>
      <c r="F67" s="298">
        <v>4</v>
      </c>
      <c r="G67" s="299">
        <f t="shared" si="2"/>
        <v>4.7878787878787881</v>
      </c>
      <c r="H67" s="308" t="s">
        <v>210</v>
      </c>
      <c r="I67" s="39"/>
      <c r="J67" s="39"/>
      <c r="K67" s="34"/>
      <c r="L67" s="4"/>
      <c r="M67" s="13"/>
      <c r="N67" s="13"/>
      <c r="O67" s="13"/>
      <c r="P67" s="13"/>
      <c r="Q67" s="13"/>
      <c r="R67" s="13"/>
    </row>
    <row r="68" spans="1:18" x14ac:dyDescent="0.3">
      <c r="A68" s="39"/>
      <c r="B68" s="39"/>
      <c r="C68" s="34"/>
      <c r="D68" s="33"/>
      <c r="E68" s="298">
        <f t="shared" si="1"/>
        <v>73</v>
      </c>
      <c r="F68" s="298">
        <v>4</v>
      </c>
      <c r="G68" s="299">
        <f t="shared" si="2"/>
        <v>4.8181818181818183</v>
      </c>
      <c r="H68" s="308" t="s">
        <v>211</v>
      </c>
      <c r="I68" s="39"/>
      <c r="J68" s="39"/>
      <c r="K68" s="34"/>
      <c r="L68" s="4"/>
      <c r="M68" s="13"/>
      <c r="N68" s="13"/>
      <c r="O68" s="13"/>
      <c r="P68" s="13"/>
      <c r="Q68" s="13"/>
      <c r="R68" s="13"/>
    </row>
    <row r="69" spans="1:18" x14ac:dyDescent="0.3">
      <c r="A69" s="39"/>
      <c r="B69" s="39"/>
      <c r="C69" s="34"/>
      <c r="D69" s="33"/>
      <c r="E69" s="298">
        <f t="shared" si="1"/>
        <v>74</v>
      </c>
      <c r="F69" s="298">
        <v>4</v>
      </c>
      <c r="G69" s="299">
        <f t="shared" si="2"/>
        <v>4.8484848484848486</v>
      </c>
      <c r="H69" s="308" t="s">
        <v>212</v>
      </c>
      <c r="I69" s="39"/>
      <c r="J69" s="39"/>
      <c r="K69" s="34"/>
      <c r="L69" s="4"/>
      <c r="M69" s="13"/>
      <c r="N69" s="13"/>
      <c r="O69" s="13"/>
      <c r="P69" s="13"/>
      <c r="Q69" s="13"/>
      <c r="R69" s="13"/>
    </row>
    <row r="70" spans="1:18" x14ac:dyDescent="0.3">
      <c r="A70" s="39"/>
      <c r="B70" s="39"/>
      <c r="C70" s="34"/>
      <c r="D70" s="33"/>
      <c r="E70" s="298">
        <f t="shared" si="1"/>
        <v>75</v>
      </c>
      <c r="F70" s="298">
        <v>4</v>
      </c>
      <c r="G70" s="299">
        <f t="shared" si="2"/>
        <v>4.8787878787878789</v>
      </c>
      <c r="H70" s="308" t="s">
        <v>213</v>
      </c>
      <c r="I70" s="39"/>
      <c r="J70" s="39"/>
      <c r="K70" s="34"/>
      <c r="L70" s="4"/>
      <c r="M70" s="13"/>
      <c r="N70" s="13"/>
      <c r="O70" s="13"/>
      <c r="P70" s="13"/>
      <c r="Q70" s="13"/>
      <c r="R70" s="13"/>
    </row>
    <row r="71" spans="1:18" x14ac:dyDescent="0.3">
      <c r="A71" s="39"/>
      <c r="B71" s="39"/>
      <c r="C71" s="34"/>
      <c r="D71" s="33"/>
      <c r="E71" s="298">
        <f t="shared" si="1"/>
        <v>76</v>
      </c>
      <c r="F71" s="298">
        <v>4</v>
      </c>
      <c r="G71" s="299">
        <f t="shared" si="2"/>
        <v>4.9090909090909092</v>
      </c>
      <c r="H71" s="308" t="s">
        <v>214</v>
      </c>
      <c r="I71" s="39"/>
      <c r="J71" s="39"/>
      <c r="K71" s="34"/>
      <c r="L71" s="4"/>
      <c r="M71" s="13"/>
      <c r="N71" s="13"/>
      <c r="O71" s="13"/>
      <c r="P71" s="13"/>
      <c r="Q71" s="13"/>
      <c r="R71" s="13"/>
    </row>
    <row r="72" spans="1:18" x14ac:dyDescent="0.3">
      <c r="A72" s="39"/>
      <c r="B72" s="39"/>
      <c r="C72" s="34"/>
      <c r="D72" s="33"/>
      <c r="E72" s="298">
        <f t="shared" si="1"/>
        <v>77</v>
      </c>
      <c r="F72" s="298">
        <v>4</v>
      </c>
      <c r="G72" s="299">
        <f t="shared" si="2"/>
        <v>4.9393939393939394</v>
      </c>
      <c r="H72" s="308" t="s">
        <v>215</v>
      </c>
      <c r="L72" s="4"/>
      <c r="M72" s="13"/>
      <c r="N72" s="13"/>
      <c r="O72" s="13"/>
      <c r="P72" s="13"/>
      <c r="Q72" s="13"/>
      <c r="R72" s="13"/>
    </row>
    <row r="73" spans="1:18" x14ac:dyDescent="0.3">
      <c r="A73" s="39"/>
      <c r="B73" s="39"/>
      <c r="C73" s="34"/>
      <c r="D73" s="33"/>
      <c r="E73" s="298">
        <f t="shared" si="1"/>
        <v>78</v>
      </c>
      <c r="F73" s="298">
        <v>4</v>
      </c>
      <c r="G73" s="299">
        <f t="shared" si="2"/>
        <v>4.9696969696969697</v>
      </c>
      <c r="H73" s="308" t="s">
        <v>216</v>
      </c>
      <c r="L73" s="4"/>
      <c r="M73" s="13"/>
      <c r="N73" s="13"/>
      <c r="O73" s="13"/>
      <c r="P73" s="13"/>
      <c r="Q73" s="13"/>
      <c r="R73" s="13"/>
    </row>
    <row r="74" spans="1:18" x14ac:dyDescent="0.3">
      <c r="A74" s="39"/>
      <c r="B74" s="39"/>
      <c r="C74" s="34"/>
      <c r="D74" s="33"/>
      <c r="E74" s="304">
        <f t="shared" si="1"/>
        <v>79</v>
      </c>
      <c r="F74" s="304">
        <v>5</v>
      </c>
      <c r="G74" s="305">
        <f t="shared" si="2"/>
        <v>5</v>
      </c>
      <c r="H74" s="307" t="s">
        <v>217</v>
      </c>
      <c r="I74" s="32"/>
      <c r="J74" s="40"/>
      <c r="K74" s="34"/>
      <c r="L74" s="4"/>
      <c r="M74" s="13"/>
      <c r="N74" s="13"/>
      <c r="O74" s="13"/>
      <c r="P74" s="13"/>
      <c r="Q74" s="13"/>
      <c r="R74" s="13"/>
    </row>
    <row r="75" spans="1:18" x14ac:dyDescent="0.3">
      <c r="A75" s="39"/>
      <c r="B75" s="39"/>
      <c r="C75" s="34"/>
      <c r="D75" s="33"/>
      <c r="E75" s="304">
        <f t="shared" si="1"/>
        <v>80</v>
      </c>
      <c r="F75" s="304">
        <v>5</v>
      </c>
      <c r="G75" s="305">
        <f t="shared" si="2"/>
        <v>5.0454545454545459</v>
      </c>
      <c r="H75" s="307" t="s">
        <v>218</v>
      </c>
      <c r="I75" s="32"/>
      <c r="J75" s="40"/>
      <c r="K75" s="34"/>
      <c r="L75" s="11"/>
      <c r="M75" s="13"/>
      <c r="N75" s="13"/>
      <c r="O75" s="13"/>
      <c r="P75" s="13"/>
      <c r="Q75" s="13"/>
      <c r="R75" s="13"/>
    </row>
    <row r="76" spans="1:18" x14ac:dyDescent="0.3">
      <c r="A76" s="39"/>
      <c r="B76" s="39"/>
      <c r="C76" s="34"/>
      <c r="D76" s="33"/>
      <c r="E76" s="304">
        <f t="shared" ref="E76:E95" si="4">E75+1</f>
        <v>81</v>
      </c>
      <c r="F76" s="304">
        <v>5</v>
      </c>
      <c r="G76" s="305">
        <f t="shared" si="2"/>
        <v>5.0909090909090908</v>
      </c>
      <c r="H76" s="307" t="s">
        <v>219</v>
      </c>
      <c r="I76" s="32"/>
      <c r="J76" s="40"/>
      <c r="K76" s="34"/>
      <c r="L76" s="4"/>
      <c r="M76" s="13"/>
      <c r="N76" s="13"/>
      <c r="O76" s="13"/>
      <c r="P76" s="13"/>
      <c r="Q76" s="13"/>
      <c r="R76" s="13"/>
    </row>
    <row r="77" spans="1:18" x14ac:dyDescent="0.3">
      <c r="A77" s="39"/>
      <c r="B77" s="39"/>
      <c r="C77" s="34"/>
      <c r="D77" s="33"/>
      <c r="E77" s="304">
        <f t="shared" si="4"/>
        <v>82</v>
      </c>
      <c r="F77" s="304">
        <v>5</v>
      </c>
      <c r="G77" s="305">
        <f t="shared" si="2"/>
        <v>5.1363636363636367</v>
      </c>
      <c r="H77" s="307" t="s">
        <v>220</v>
      </c>
      <c r="I77" s="32"/>
      <c r="J77" s="41"/>
      <c r="K77" s="42"/>
      <c r="L77" s="4"/>
      <c r="M77" s="13"/>
      <c r="N77" s="13"/>
      <c r="O77" s="13"/>
      <c r="P77" s="13"/>
      <c r="Q77" s="13"/>
      <c r="R77" s="13"/>
    </row>
    <row r="78" spans="1:18" x14ac:dyDescent="0.3">
      <c r="A78" s="39"/>
      <c r="B78" s="39"/>
      <c r="C78" s="34"/>
      <c r="D78" s="33"/>
      <c r="E78" s="304">
        <f t="shared" si="4"/>
        <v>83</v>
      </c>
      <c r="F78" s="304">
        <v>5</v>
      </c>
      <c r="G78" s="305">
        <f t="shared" ref="G78:G95" si="5">F78+((E78-VLOOKUP(F78,$A$103:$E$107,4,FALSE))/(VLOOKUP(F78,$A$103:$E$107,5,FALSE)-VLOOKUP(F78,$A$103:$E$107,4,FALSE)+1))</f>
        <v>5.1818181818181817</v>
      </c>
      <c r="H78" s="307" t="s">
        <v>221</v>
      </c>
      <c r="I78" s="41"/>
      <c r="J78" s="41"/>
      <c r="K78" s="42"/>
      <c r="L78" s="4"/>
      <c r="M78" s="13"/>
      <c r="N78" s="13"/>
      <c r="O78" s="13"/>
      <c r="P78" s="13"/>
      <c r="Q78" s="13"/>
      <c r="R78" s="13"/>
    </row>
    <row r="79" spans="1:18" x14ac:dyDescent="0.3">
      <c r="A79" s="39"/>
      <c r="B79" s="39"/>
      <c r="C79" s="34"/>
      <c r="D79" s="33"/>
      <c r="E79" s="304">
        <f t="shared" si="4"/>
        <v>84</v>
      </c>
      <c r="F79" s="304">
        <v>5</v>
      </c>
      <c r="G79" s="305">
        <f t="shared" si="5"/>
        <v>5.2272727272727275</v>
      </c>
      <c r="H79" s="307" t="s">
        <v>222</v>
      </c>
      <c r="I79" s="41"/>
      <c r="J79" s="41"/>
      <c r="K79" s="42"/>
      <c r="L79" s="11"/>
      <c r="M79" s="13"/>
      <c r="N79" s="13"/>
      <c r="O79" s="13"/>
      <c r="P79" s="13"/>
      <c r="Q79" s="13"/>
      <c r="R79" s="13"/>
    </row>
    <row r="80" spans="1:18" x14ac:dyDescent="0.3">
      <c r="A80" s="39"/>
      <c r="B80" s="39"/>
      <c r="C80" s="34"/>
      <c r="D80" s="33"/>
      <c r="E80" s="304">
        <f t="shared" si="4"/>
        <v>85</v>
      </c>
      <c r="F80" s="304">
        <v>5</v>
      </c>
      <c r="G80" s="305">
        <f t="shared" si="5"/>
        <v>5.2727272727272725</v>
      </c>
      <c r="H80" s="307" t="s">
        <v>223</v>
      </c>
      <c r="I80" s="43"/>
      <c r="J80" s="43"/>
      <c r="K80" s="44"/>
      <c r="L80" s="11"/>
      <c r="M80" s="13"/>
      <c r="N80" s="13"/>
      <c r="O80" s="13"/>
      <c r="P80" s="13"/>
      <c r="Q80" s="13"/>
      <c r="R80" s="13"/>
    </row>
    <row r="81" spans="1:18" x14ac:dyDescent="0.3">
      <c r="A81" s="39"/>
      <c r="B81" s="39"/>
      <c r="C81" s="34"/>
      <c r="D81" s="33"/>
      <c r="E81" s="304">
        <f t="shared" si="4"/>
        <v>86</v>
      </c>
      <c r="F81" s="304">
        <v>5</v>
      </c>
      <c r="G81" s="305">
        <f t="shared" si="5"/>
        <v>5.3181818181818183</v>
      </c>
      <c r="H81" s="307" t="s">
        <v>224</v>
      </c>
      <c r="I81" s="43"/>
      <c r="J81" s="43"/>
      <c r="K81" s="44"/>
      <c r="L81" s="11"/>
      <c r="M81" s="13"/>
      <c r="N81" s="13"/>
      <c r="O81" s="13"/>
      <c r="P81" s="13"/>
      <c r="Q81" s="13"/>
      <c r="R81" s="13"/>
    </row>
    <row r="82" spans="1:18" x14ac:dyDescent="0.3">
      <c r="A82" s="39"/>
      <c r="B82" s="39"/>
      <c r="C82" s="34"/>
      <c r="D82" s="33"/>
      <c r="E82" s="304">
        <f t="shared" si="4"/>
        <v>87</v>
      </c>
      <c r="F82" s="304">
        <v>5</v>
      </c>
      <c r="G82" s="305">
        <f t="shared" si="5"/>
        <v>5.3636363636363633</v>
      </c>
      <c r="H82" s="307" t="s">
        <v>225</v>
      </c>
      <c r="I82" s="43"/>
      <c r="J82" s="43"/>
      <c r="K82" s="44"/>
      <c r="L82" s="11"/>
      <c r="M82" s="13"/>
      <c r="N82" s="13"/>
      <c r="O82" s="13"/>
      <c r="P82" s="13"/>
      <c r="Q82" s="13"/>
      <c r="R82" s="13"/>
    </row>
    <row r="83" spans="1:18" x14ac:dyDescent="0.3">
      <c r="A83" s="39"/>
      <c r="B83" s="39"/>
      <c r="C83" s="34"/>
      <c r="D83" s="33"/>
      <c r="E83" s="304">
        <f t="shared" si="4"/>
        <v>88</v>
      </c>
      <c r="F83" s="304">
        <v>5</v>
      </c>
      <c r="G83" s="305">
        <f t="shared" si="5"/>
        <v>5.4090909090909092</v>
      </c>
      <c r="H83" s="307" t="s">
        <v>226</v>
      </c>
      <c r="I83" s="43"/>
      <c r="J83" s="43"/>
      <c r="K83" s="44"/>
      <c r="L83" s="11"/>
      <c r="M83" s="13"/>
      <c r="N83" s="13"/>
      <c r="O83" s="13"/>
      <c r="P83" s="13"/>
      <c r="Q83" s="13"/>
      <c r="R83" s="13"/>
    </row>
    <row r="84" spans="1:18" x14ac:dyDescent="0.3">
      <c r="A84" s="39"/>
      <c r="B84" s="39"/>
      <c r="C84" s="34"/>
      <c r="D84" s="33"/>
      <c r="E84" s="304">
        <f t="shared" si="4"/>
        <v>89</v>
      </c>
      <c r="F84" s="304">
        <v>5</v>
      </c>
      <c r="G84" s="305">
        <f t="shared" si="5"/>
        <v>5.4545454545454541</v>
      </c>
      <c r="H84" s="307" t="s">
        <v>227</v>
      </c>
      <c r="I84" s="43"/>
      <c r="J84" s="43"/>
      <c r="K84" s="44"/>
      <c r="L84" s="11"/>
      <c r="M84" s="13"/>
      <c r="N84" s="13"/>
      <c r="O84" s="13"/>
      <c r="P84" s="13"/>
      <c r="Q84" s="13"/>
      <c r="R84" s="13"/>
    </row>
    <row r="85" spans="1:18" x14ac:dyDescent="0.3">
      <c r="A85" s="39"/>
      <c r="B85" s="39"/>
      <c r="C85" s="34"/>
      <c r="D85" s="33"/>
      <c r="E85" s="304">
        <f t="shared" si="4"/>
        <v>90</v>
      </c>
      <c r="F85" s="304">
        <v>5</v>
      </c>
      <c r="G85" s="305">
        <f t="shared" si="5"/>
        <v>5.5</v>
      </c>
      <c r="H85" s="307" t="s">
        <v>228</v>
      </c>
      <c r="I85" s="43"/>
      <c r="J85" s="43"/>
      <c r="K85" s="44"/>
      <c r="L85" s="11"/>
      <c r="M85" s="13"/>
      <c r="N85" s="13"/>
      <c r="O85" s="13"/>
      <c r="P85" s="13"/>
      <c r="Q85" s="13"/>
      <c r="R85" s="13"/>
    </row>
    <row r="86" spans="1:18" x14ac:dyDescent="0.3">
      <c r="A86" s="39"/>
      <c r="B86" s="39"/>
      <c r="C86" s="34"/>
      <c r="D86" s="33"/>
      <c r="E86" s="304">
        <f t="shared" si="4"/>
        <v>91</v>
      </c>
      <c r="F86" s="304">
        <v>5</v>
      </c>
      <c r="G86" s="305">
        <f t="shared" si="5"/>
        <v>5.545454545454545</v>
      </c>
      <c r="H86" s="307" t="s">
        <v>229</v>
      </c>
      <c r="I86" s="43"/>
      <c r="J86" s="43"/>
      <c r="K86" s="44"/>
      <c r="L86" s="11"/>
      <c r="M86" s="13"/>
      <c r="N86" s="13"/>
      <c r="O86" s="13"/>
      <c r="P86" s="13"/>
      <c r="Q86" s="13"/>
      <c r="R86" s="13"/>
    </row>
    <row r="87" spans="1:18" x14ac:dyDescent="0.3">
      <c r="A87" s="39"/>
      <c r="B87" s="39"/>
      <c r="C87" s="34"/>
      <c r="D87" s="33"/>
      <c r="E87" s="304">
        <f t="shared" si="4"/>
        <v>92</v>
      </c>
      <c r="F87" s="304">
        <v>5</v>
      </c>
      <c r="G87" s="305">
        <f t="shared" si="5"/>
        <v>5.5909090909090908</v>
      </c>
      <c r="H87" s="307" t="s">
        <v>230</v>
      </c>
      <c r="I87" s="43"/>
      <c r="J87" s="43"/>
      <c r="K87" s="44"/>
      <c r="L87" s="11"/>
      <c r="M87" s="13"/>
      <c r="N87" s="13"/>
      <c r="O87" s="13"/>
      <c r="P87" s="13"/>
      <c r="Q87" s="13"/>
      <c r="R87" s="13"/>
    </row>
    <row r="88" spans="1:18" x14ac:dyDescent="0.3">
      <c r="A88" s="39"/>
      <c r="B88" s="39"/>
      <c r="C88" s="34"/>
      <c r="D88" s="33"/>
      <c r="E88" s="304">
        <f t="shared" si="4"/>
        <v>93</v>
      </c>
      <c r="F88" s="304">
        <v>5</v>
      </c>
      <c r="G88" s="305">
        <f t="shared" si="5"/>
        <v>5.6363636363636367</v>
      </c>
      <c r="H88" s="307" t="s">
        <v>231</v>
      </c>
      <c r="I88" s="43"/>
      <c r="J88" s="43"/>
      <c r="K88" s="44"/>
      <c r="L88" s="11"/>
      <c r="M88" s="13"/>
      <c r="N88" s="13"/>
      <c r="O88" s="13"/>
      <c r="P88" s="13"/>
      <c r="Q88" s="13"/>
      <c r="R88" s="13"/>
    </row>
    <row r="89" spans="1:18" x14ac:dyDescent="0.3">
      <c r="A89" s="39"/>
      <c r="B89" s="39"/>
      <c r="C89" s="34"/>
      <c r="D89" s="33"/>
      <c r="E89" s="304">
        <f t="shared" si="4"/>
        <v>94</v>
      </c>
      <c r="F89" s="304">
        <v>5</v>
      </c>
      <c r="G89" s="305">
        <f t="shared" si="5"/>
        <v>5.6818181818181817</v>
      </c>
      <c r="H89" s="307" t="s">
        <v>232</v>
      </c>
      <c r="I89" s="43"/>
      <c r="J89" s="43"/>
      <c r="K89" s="44"/>
      <c r="L89" s="11"/>
      <c r="M89" s="13"/>
      <c r="N89" s="13"/>
      <c r="O89" s="13"/>
      <c r="P89" s="13"/>
      <c r="Q89" s="13"/>
      <c r="R89" s="13"/>
    </row>
    <row r="90" spans="1:18" x14ac:dyDescent="0.3">
      <c r="A90" s="39"/>
      <c r="B90" s="39"/>
      <c r="C90" s="34"/>
      <c r="D90" s="33"/>
      <c r="E90" s="304">
        <f t="shared" si="4"/>
        <v>95</v>
      </c>
      <c r="F90" s="304">
        <v>5</v>
      </c>
      <c r="G90" s="305">
        <f t="shared" si="5"/>
        <v>5.7272727272727275</v>
      </c>
      <c r="H90" s="307" t="s">
        <v>233</v>
      </c>
      <c r="I90" s="43"/>
      <c r="J90" s="43"/>
      <c r="K90" s="44"/>
      <c r="L90" s="11"/>
      <c r="M90" s="13"/>
      <c r="N90" s="13"/>
      <c r="O90" s="13"/>
      <c r="P90" s="13"/>
      <c r="Q90" s="13"/>
      <c r="R90" s="13"/>
    </row>
    <row r="91" spans="1:18" x14ac:dyDescent="0.3">
      <c r="A91" s="8"/>
      <c r="B91" s="9"/>
      <c r="C91" s="6"/>
      <c r="D91" s="33"/>
      <c r="E91" s="304">
        <f t="shared" si="4"/>
        <v>96</v>
      </c>
      <c r="F91" s="304">
        <v>5</v>
      </c>
      <c r="G91" s="305">
        <f t="shared" si="5"/>
        <v>5.7727272727272725</v>
      </c>
      <c r="H91" s="307" t="s">
        <v>234</v>
      </c>
      <c r="I91" s="43"/>
      <c r="J91" s="43"/>
      <c r="K91" s="44"/>
      <c r="L91" s="11"/>
      <c r="M91" s="13"/>
      <c r="N91" s="13"/>
      <c r="O91" s="13"/>
      <c r="P91" s="13"/>
      <c r="Q91" s="13"/>
      <c r="R91" s="13"/>
    </row>
    <row r="92" spans="1:18" x14ac:dyDescent="0.3">
      <c r="D92" s="33"/>
      <c r="E92" s="304">
        <f t="shared" si="4"/>
        <v>97</v>
      </c>
      <c r="F92" s="304">
        <v>5</v>
      </c>
      <c r="G92" s="305">
        <f t="shared" si="5"/>
        <v>5.8181818181818183</v>
      </c>
      <c r="H92" s="307" t="s">
        <v>235</v>
      </c>
      <c r="I92" s="43"/>
      <c r="J92" s="43"/>
      <c r="K92" s="44"/>
      <c r="L92" s="11"/>
      <c r="M92" s="13"/>
      <c r="N92" s="13"/>
      <c r="O92" s="13"/>
      <c r="P92" s="13"/>
      <c r="Q92" s="13"/>
      <c r="R92" s="13"/>
    </row>
    <row r="93" spans="1:18" x14ac:dyDescent="0.3">
      <c r="C93" s="6"/>
      <c r="D93" s="3"/>
      <c r="E93" s="304">
        <f t="shared" si="4"/>
        <v>98</v>
      </c>
      <c r="F93" s="304">
        <v>5</v>
      </c>
      <c r="G93" s="305">
        <f t="shared" si="5"/>
        <v>5.8636363636363633</v>
      </c>
      <c r="H93" s="313" t="s">
        <v>236</v>
      </c>
      <c r="I93" s="11"/>
      <c r="J93" s="11"/>
      <c r="K93" s="12"/>
      <c r="L93" s="11"/>
      <c r="M93" s="13"/>
      <c r="N93" s="13"/>
      <c r="O93" s="13"/>
      <c r="P93" s="13"/>
      <c r="Q93" s="13"/>
      <c r="R93" s="13"/>
    </row>
    <row r="94" spans="1:18" x14ac:dyDescent="0.3">
      <c r="C94" s="6"/>
      <c r="D94" s="3"/>
      <c r="E94" s="304">
        <f t="shared" si="4"/>
        <v>99</v>
      </c>
      <c r="F94" s="304">
        <v>5</v>
      </c>
      <c r="G94" s="305">
        <f t="shared" si="5"/>
        <v>5.9090909090909092</v>
      </c>
      <c r="H94" s="313" t="s">
        <v>237</v>
      </c>
      <c r="I94" s="11"/>
      <c r="J94" s="11"/>
      <c r="K94" s="12"/>
      <c r="L94" s="11"/>
      <c r="M94" s="13"/>
      <c r="N94" s="13"/>
      <c r="O94" s="13"/>
      <c r="P94" s="13"/>
      <c r="Q94" s="13"/>
      <c r="R94" s="13"/>
    </row>
    <row r="95" spans="1:18" x14ac:dyDescent="0.3">
      <c r="C95" s="6"/>
      <c r="D95" s="3"/>
      <c r="E95" s="304">
        <f t="shared" si="4"/>
        <v>100</v>
      </c>
      <c r="F95" s="304">
        <v>5</v>
      </c>
      <c r="G95" s="305">
        <f t="shared" si="5"/>
        <v>5.954545454545455</v>
      </c>
      <c r="H95" s="313" t="s">
        <v>238</v>
      </c>
      <c r="I95" s="11"/>
      <c r="J95" s="11"/>
      <c r="K95" s="12"/>
      <c r="L95" s="11"/>
      <c r="M95" s="13"/>
      <c r="N95" s="13"/>
      <c r="O95" s="13"/>
      <c r="P95" s="13"/>
      <c r="Q95" s="13"/>
      <c r="R95" s="13"/>
    </row>
    <row r="96" spans="1:18" x14ac:dyDescent="0.3">
      <c r="C96" s="6"/>
      <c r="D96" s="3"/>
      <c r="H96" s="7"/>
      <c r="I96" s="11"/>
      <c r="J96" s="7"/>
      <c r="K96" s="12"/>
      <c r="L96" s="11"/>
      <c r="M96" s="13"/>
      <c r="N96" s="13"/>
      <c r="O96" s="13"/>
      <c r="P96" s="13"/>
      <c r="Q96" s="13"/>
      <c r="R96" s="13"/>
    </row>
    <row r="97" spans="1:18" x14ac:dyDescent="0.3">
      <c r="C97" s="6"/>
      <c r="D97" s="3"/>
      <c r="E97" s="10"/>
      <c r="F97" s="9"/>
      <c r="G97" s="6"/>
      <c r="H97" s="3"/>
      <c r="I97" s="14"/>
      <c r="J97" s="3"/>
      <c r="K97" s="6"/>
      <c r="L97" s="14"/>
      <c r="M97" s="13"/>
      <c r="N97" s="13"/>
      <c r="O97" s="13"/>
      <c r="P97" s="13"/>
      <c r="Q97" s="13"/>
      <c r="R97" s="13"/>
    </row>
    <row r="98" spans="1:18" x14ac:dyDescent="0.3">
      <c r="C98" s="6"/>
      <c r="D98" s="3"/>
      <c r="H98" s="3"/>
      <c r="I98" s="14"/>
      <c r="J98" s="3"/>
      <c r="K98" s="6"/>
      <c r="L98" s="14"/>
      <c r="M98" s="13"/>
      <c r="N98" s="13"/>
      <c r="O98" s="13"/>
      <c r="P98" s="13"/>
      <c r="Q98" s="13"/>
      <c r="R98" s="13"/>
    </row>
    <row r="99" spans="1:18" x14ac:dyDescent="0.3">
      <c r="A99" s="21" t="s">
        <v>346</v>
      </c>
      <c r="B99" s="22"/>
      <c r="C99" s="23"/>
      <c r="D99" s="24"/>
      <c r="E99" s="22"/>
      <c r="F99" s="22"/>
      <c r="G99" s="22"/>
      <c r="H99" s="3"/>
      <c r="I99" s="14"/>
      <c r="J99" s="3"/>
      <c r="K99" s="6"/>
      <c r="L99" s="14"/>
      <c r="M99" s="13"/>
      <c r="N99" s="13"/>
      <c r="O99" s="13"/>
      <c r="P99" s="13"/>
      <c r="Q99" s="13"/>
      <c r="R99" s="13"/>
    </row>
    <row r="100" spans="1:18" x14ac:dyDescent="0.3">
      <c r="A100" s="25"/>
      <c r="B100" s="25"/>
      <c r="C100" s="23"/>
      <c r="D100" s="25"/>
      <c r="E100" s="22"/>
      <c r="F100" s="22"/>
      <c r="G100" s="26"/>
      <c r="H100" s="3"/>
      <c r="I100" s="14"/>
      <c r="J100" s="14"/>
      <c r="K100" s="14"/>
      <c r="L100" s="14"/>
      <c r="M100" s="13"/>
      <c r="N100" s="13"/>
      <c r="O100" s="13"/>
      <c r="P100" s="13"/>
      <c r="Q100" s="13"/>
      <c r="R100" s="13"/>
    </row>
    <row r="101" spans="1:18" x14ac:dyDescent="0.3">
      <c r="A101" s="25"/>
      <c r="B101" s="345" t="s">
        <v>149</v>
      </c>
      <c r="C101" s="345"/>
      <c r="D101" s="27" t="s">
        <v>11</v>
      </c>
      <c r="E101" s="25" t="s">
        <v>13</v>
      </c>
      <c r="F101" s="345"/>
      <c r="G101" s="345"/>
      <c r="H101" s="14"/>
      <c r="I101" s="14"/>
      <c r="J101" s="14"/>
      <c r="K101" s="14"/>
      <c r="L101" s="14"/>
      <c r="M101" s="13"/>
      <c r="N101" s="13"/>
      <c r="O101" s="13"/>
      <c r="P101" s="13"/>
      <c r="Q101" s="13"/>
      <c r="R101" s="13"/>
    </row>
    <row r="102" spans="1:18" x14ac:dyDescent="0.3">
      <c r="A102" s="25"/>
      <c r="B102" s="25" t="s">
        <v>12</v>
      </c>
      <c r="C102" s="23" t="s">
        <v>13</v>
      </c>
      <c r="D102" s="25" t="s">
        <v>12</v>
      </c>
      <c r="E102" s="23"/>
      <c r="F102" s="25"/>
      <c r="G102" s="23"/>
      <c r="H102" s="14"/>
      <c r="I102" s="14"/>
      <c r="J102" s="14"/>
      <c r="K102" s="14"/>
      <c r="L102" s="14"/>
      <c r="M102" s="13"/>
      <c r="N102" s="13"/>
      <c r="O102" s="13"/>
      <c r="P102" s="13"/>
      <c r="Q102" s="13"/>
      <c r="R102" s="13"/>
    </row>
    <row r="103" spans="1:18" x14ac:dyDescent="0.3">
      <c r="A103" s="271" t="s">
        <v>0</v>
      </c>
      <c r="B103" s="25">
        <v>0</v>
      </c>
      <c r="C103" s="23">
        <v>11</v>
      </c>
      <c r="D103" s="25">
        <v>0</v>
      </c>
      <c r="E103" s="23">
        <v>14</v>
      </c>
      <c r="F103" s="25"/>
      <c r="G103" s="23"/>
      <c r="H103" s="14"/>
      <c r="I103" s="14"/>
      <c r="J103" s="14"/>
      <c r="K103" s="14"/>
      <c r="L103" s="14"/>
      <c r="M103" s="13"/>
      <c r="N103" s="13"/>
      <c r="O103" s="13"/>
      <c r="P103" s="13"/>
      <c r="Q103" s="13"/>
      <c r="R103" s="13"/>
    </row>
    <row r="104" spans="1:18" x14ac:dyDescent="0.3">
      <c r="A104" s="31">
        <v>2</v>
      </c>
      <c r="B104" s="23"/>
      <c r="C104" s="23"/>
      <c r="D104" s="23">
        <v>15</v>
      </c>
      <c r="E104" s="23">
        <v>17</v>
      </c>
      <c r="F104" s="23"/>
      <c r="G104" s="23"/>
      <c r="H104" s="14"/>
      <c r="I104" s="15"/>
      <c r="J104" s="14"/>
      <c r="K104" s="14"/>
      <c r="L104" s="14"/>
      <c r="M104" s="13"/>
      <c r="N104" s="13"/>
      <c r="O104" s="13"/>
      <c r="P104" s="13"/>
      <c r="Q104" s="13"/>
      <c r="R104" s="13"/>
    </row>
    <row r="105" spans="1:18" x14ac:dyDescent="0.3">
      <c r="A105" s="31">
        <v>3</v>
      </c>
      <c r="B105" s="23">
        <v>12</v>
      </c>
      <c r="C105" s="23">
        <v>18</v>
      </c>
      <c r="D105" s="23">
        <v>18</v>
      </c>
      <c r="E105" s="23">
        <v>45</v>
      </c>
      <c r="F105" s="23"/>
      <c r="G105" s="23"/>
      <c r="H105" s="14"/>
      <c r="I105" s="15"/>
      <c r="J105" s="14"/>
      <c r="K105" s="14"/>
      <c r="L105" s="14"/>
      <c r="M105" s="13"/>
      <c r="N105" s="13"/>
      <c r="O105" s="13"/>
      <c r="P105" s="13"/>
      <c r="Q105" s="13"/>
      <c r="R105" s="13"/>
    </row>
    <row r="106" spans="1:18" x14ac:dyDescent="0.3">
      <c r="A106" s="31">
        <v>4</v>
      </c>
      <c r="B106" s="23">
        <v>19</v>
      </c>
      <c r="C106" s="23">
        <v>31</v>
      </c>
      <c r="D106" s="23">
        <v>46</v>
      </c>
      <c r="E106" s="23">
        <v>78</v>
      </c>
      <c r="F106" s="23"/>
      <c r="G106" s="23"/>
      <c r="H106" s="14"/>
      <c r="I106" s="15"/>
      <c r="J106" s="14"/>
      <c r="K106" s="14"/>
      <c r="L106" s="14"/>
      <c r="M106" s="13"/>
      <c r="N106" s="13"/>
      <c r="O106" s="13"/>
      <c r="P106" s="13"/>
      <c r="Q106" s="13"/>
      <c r="R106" s="13"/>
    </row>
    <row r="107" spans="1:18" x14ac:dyDescent="0.3">
      <c r="A107" s="31">
        <v>5</v>
      </c>
      <c r="B107" s="23">
        <v>32</v>
      </c>
      <c r="C107" s="23">
        <v>50</v>
      </c>
      <c r="D107" s="23">
        <v>79</v>
      </c>
      <c r="E107" s="14">
        <v>100</v>
      </c>
      <c r="F107" s="23"/>
      <c r="G107" s="23"/>
      <c r="H107" s="14"/>
      <c r="I107" s="15"/>
      <c r="J107" s="14"/>
      <c r="K107" s="14"/>
      <c r="L107" s="14"/>
      <c r="M107" s="13"/>
      <c r="N107" s="13"/>
      <c r="O107" s="13"/>
      <c r="P107" s="13"/>
      <c r="Q107" s="13"/>
      <c r="R107" s="13"/>
    </row>
    <row r="108" spans="1:18" x14ac:dyDescent="0.3">
      <c r="A108" s="14"/>
      <c r="B108" s="14"/>
      <c r="C108" s="6"/>
      <c r="D108" s="14"/>
      <c r="E108" s="14"/>
      <c r="F108" s="14"/>
      <c r="G108" s="6"/>
      <c r="H108" s="3"/>
      <c r="I108" s="15"/>
      <c r="J108" s="14"/>
      <c r="K108" s="14"/>
      <c r="L108" s="14"/>
      <c r="M108" s="13"/>
      <c r="N108" s="13"/>
      <c r="O108" s="13"/>
      <c r="P108" s="13"/>
      <c r="Q108" s="13"/>
      <c r="R108" s="13"/>
    </row>
    <row r="109" spans="1:18" x14ac:dyDescent="0.3">
      <c r="A109" s="16"/>
      <c r="B109" s="14"/>
      <c r="C109" s="6"/>
      <c r="D109" s="14"/>
      <c r="E109" s="14"/>
      <c r="F109" s="14"/>
      <c r="G109" s="6"/>
      <c r="H109" s="3"/>
      <c r="I109" s="15"/>
      <c r="J109" s="14"/>
      <c r="K109" s="14"/>
      <c r="L109" s="14"/>
      <c r="M109" s="13"/>
      <c r="N109" s="13"/>
      <c r="O109" s="13"/>
      <c r="P109" s="13"/>
      <c r="Q109" s="13"/>
      <c r="R109" s="13"/>
    </row>
    <row r="110" spans="1:18" x14ac:dyDescent="0.3">
      <c r="A110" s="14"/>
      <c r="B110" s="14"/>
      <c r="C110" s="6"/>
      <c r="D110" s="14"/>
      <c r="E110" s="6"/>
      <c r="F110" s="14"/>
      <c r="G110" s="6"/>
      <c r="H110" s="3"/>
      <c r="I110" s="15"/>
      <c r="J110" s="14"/>
      <c r="K110" s="14"/>
      <c r="L110" s="14"/>
      <c r="M110" s="13"/>
      <c r="N110" s="13"/>
      <c r="O110" s="13"/>
      <c r="P110" s="13"/>
      <c r="Q110" s="13"/>
      <c r="R110" s="13"/>
    </row>
    <row r="111" spans="1:18" x14ac:dyDescent="0.3">
      <c r="A111" s="14"/>
      <c r="B111" s="14"/>
      <c r="C111" s="6"/>
      <c r="D111" s="6"/>
      <c r="E111" s="14"/>
      <c r="F111" s="14"/>
      <c r="G111" s="6"/>
      <c r="H111" s="3"/>
      <c r="I111" s="15"/>
      <c r="J111" s="14"/>
      <c r="K111" s="14"/>
      <c r="L111" s="14"/>
      <c r="M111" s="13"/>
      <c r="N111" s="13"/>
      <c r="O111" s="13"/>
      <c r="P111" s="13"/>
      <c r="Q111" s="13"/>
      <c r="R111" s="13"/>
    </row>
    <row r="112" spans="1:18" x14ac:dyDescent="0.3">
      <c r="A112" s="17"/>
      <c r="B112" s="14"/>
      <c r="C112" s="6"/>
      <c r="D112" s="14"/>
      <c r="E112" s="14"/>
      <c r="F112" s="14"/>
      <c r="G112" s="6"/>
      <c r="I112" s="15"/>
      <c r="J112" s="14"/>
      <c r="K112" s="14"/>
      <c r="L112" s="14"/>
      <c r="M112" s="13"/>
      <c r="N112" s="13"/>
      <c r="O112" s="13"/>
      <c r="P112" s="13"/>
      <c r="Q112" s="13"/>
      <c r="R112" s="13"/>
    </row>
    <row r="113" spans="1:18" x14ac:dyDescent="0.3">
      <c r="A113" s="17"/>
      <c r="B113" s="14"/>
      <c r="C113" s="6"/>
      <c r="D113" s="14"/>
      <c r="E113" s="14"/>
      <c r="F113" s="14"/>
      <c r="G113" s="6"/>
      <c r="I113" s="14"/>
      <c r="J113" s="14"/>
      <c r="K113" s="14"/>
      <c r="L113" s="14"/>
      <c r="M113" s="13"/>
      <c r="N113" s="13"/>
      <c r="O113" s="13"/>
      <c r="P113" s="13"/>
      <c r="Q113" s="13"/>
      <c r="R113" s="13"/>
    </row>
    <row r="114" spans="1:18" x14ac:dyDescent="0.3">
      <c r="A114" s="17"/>
      <c r="B114" s="14"/>
      <c r="C114" s="6"/>
      <c r="D114" s="14"/>
      <c r="E114" s="14"/>
      <c r="F114" s="14"/>
      <c r="G114" s="6"/>
      <c r="I114" s="14"/>
      <c r="J114" s="14"/>
      <c r="K114" s="6"/>
      <c r="L114" s="14"/>
      <c r="M114" s="13"/>
      <c r="N114" s="13"/>
      <c r="O114" s="13"/>
      <c r="P114" s="13"/>
      <c r="Q114" s="13"/>
      <c r="R114" s="13"/>
    </row>
    <row r="115" spans="1:18" x14ac:dyDescent="0.3">
      <c r="A115" s="17"/>
      <c r="B115" s="14"/>
      <c r="C115" s="6"/>
      <c r="D115" s="14"/>
      <c r="E115" s="14"/>
      <c r="F115" s="14"/>
      <c r="G115" s="6"/>
      <c r="I115" s="14"/>
      <c r="J115" s="14"/>
      <c r="K115" s="6"/>
      <c r="L115" s="14"/>
      <c r="M115" s="13"/>
      <c r="N115" s="13"/>
      <c r="O115" s="13"/>
      <c r="P115" s="13"/>
      <c r="Q115" s="13"/>
      <c r="R115" s="13"/>
    </row>
    <row r="116" spans="1:18" x14ac:dyDescent="0.3">
      <c r="A116" s="17"/>
      <c r="B116" s="14"/>
      <c r="C116" s="6"/>
      <c r="D116" s="14"/>
      <c r="E116" s="14"/>
      <c r="F116" s="14"/>
      <c r="G116" s="6"/>
      <c r="I116" s="14"/>
      <c r="J116" s="14"/>
      <c r="K116" s="6"/>
      <c r="L116" s="14"/>
      <c r="M116" s="13"/>
      <c r="N116" s="13"/>
      <c r="O116" s="13"/>
      <c r="P116" s="13"/>
      <c r="Q116" s="13"/>
      <c r="R116" s="13"/>
    </row>
    <row r="117" spans="1:18" x14ac:dyDescent="0.3">
      <c r="A117" s="17"/>
      <c r="B117" s="14"/>
      <c r="C117" s="6"/>
      <c r="D117" s="14"/>
      <c r="E117" s="14"/>
      <c r="F117" s="14"/>
      <c r="G117" s="6"/>
      <c r="I117" s="14"/>
      <c r="J117" s="14"/>
      <c r="K117" s="6"/>
      <c r="L117" s="14"/>
      <c r="M117" s="13"/>
      <c r="N117" s="13"/>
      <c r="O117" s="13"/>
      <c r="P117" s="13"/>
      <c r="Q117" s="13"/>
      <c r="R117" s="13"/>
    </row>
    <row r="118" spans="1:18" x14ac:dyDescent="0.3">
      <c r="A118" s="17"/>
      <c r="B118" s="14"/>
      <c r="C118" s="6"/>
      <c r="D118" s="14"/>
      <c r="E118" s="14"/>
      <c r="F118" s="14"/>
      <c r="G118" s="6"/>
      <c r="I118" s="14"/>
      <c r="J118" s="14"/>
      <c r="K118" s="6"/>
      <c r="L118" s="14"/>
      <c r="M118" s="13"/>
      <c r="N118" s="13"/>
      <c r="O118" s="13"/>
      <c r="P118" s="13"/>
      <c r="Q118" s="13"/>
      <c r="R118" s="13"/>
    </row>
    <row r="119" spans="1:18" x14ac:dyDescent="0.3">
      <c r="A119" s="17"/>
      <c r="B119" s="14"/>
      <c r="C119" s="6"/>
      <c r="D119" s="14"/>
      <c r="E119" s="14"/>
      <c r="F119" s="14"/>
      <c r="G119" s="6"/>
      <c r="I119" s="14"/>
      <c r="J119" s="14"/>
      <c r="K119" s="6"/>
      <c r="L119" s="14"/>
      <c r="M119" s="13"/>
      <c r="N119" s="13"/>
      <c r="O119" s="13"/>
      <c r="P119" s="13"/>
      <c r="Q119" s="13"/>
      <c r="R119" s="13"/>
    </row>
    <row r="120" spans="1:18" x14ac:dyDescent="0.3">
      <c r="A120" s="14"/>
      <c r="B120" s="14"/>
      <c r="C120" s="6"/>
      <c r="D120" s="14"/>
      <c r="E120" s="14"/>
      <c r="F120" s="14"/>
      <c r="G120" s="6"/>
      <c r="I120" s="14"/>
      <c r="J120" s="14"/>
      <c r="K120" s="6"/>
      <c r="L120" s="14"/>
      <c r="M120" s="13"/>
      <c r="N120" s="13"/>
      <c r="O120" s="13"/>
      <c r="P120" s="13"/>
      <c r="Q120" s="13"/>
      <c r="R120" s="13"/>
    </row>
    <row r="121" spans="1:18" x14ac:dyDescent="0.3">
      <c r="A121" s="14"/>
      <c r="B121" s="14"/>
      <c r="C121" s="6"/>
      <c r="D121" s="14"/>
      <c r="E121" s="14"/>
      <c r="F121" s="14"/>
      <c r="G121" s="6"/>
      <c r="I121" s="14"/>
      <c r="J121" s="14"/>
      <c r="K121" s="6"/>
      <c r="L121" s="14"/>
      <c r="M121" s="13"/>
      <c r="N121" s="13"/>
      <c r="O121" s="13"/>
      <c r="P121" s="13"/>
      <c r="Q121" s="13"/>
      <c r="R121" s="13"/>
    </row>
    <row r="122" spans="1:18" x14ac:dyDescent="0.3">
      <c r="A122" s="14"/>
      <c r="B122" s="14"/>
      <c r="C122" s="6"/>
      <c r="D122" s="14"/>
      <c r="E122" s="14"/>
      <c r="F122" s="14"/>
      <c r="G122" s="6"/>
      <c r="I122" s="14"/>
      <c r="J122" s="14"/>
      <c r="K122" s="6"/>
      <c r="L122" s="14"/>
      <c r="M122" s="13"/>
      <c r="N122" s="13"/>
      <c r="O122" s="13"/>
      <c r="P122" s="13"/>
      <c r="Q122" s="13"/>
      <c r="R122" s="13"/>
    </row>
    <row r="123" spans="1:18" x14ac:dyDescent="0.3">
      <c r="A123" s="14"/>
      <c r="B123" s="14"/>
      <c r="C123" s="6"/>
      <c r="D123" s="14"/>
      <c r="E123" s="14"/>
      <c r="F123" s="14"/>
      <c r="G123" s="6"/>
      <c r="I123" s="14"/>
      <c r="J123" s="14"/>
      <c r="K123" s="6"/>
      <c r="L123" s="14"/>
      <c r="M123" s="13"/>
      <c r="N123" s="13"/>
      <c r="O123" s="13"/>
      <c r="P123" s="13"/>
      <c r="Q123" s="13"/>
      <c r="R123" s="13"/>
    </row>
    <row r="124" spans="1:18" x14ac:dyDescent="0.3">
      <c r="A124" s="14"/>
      <c r="B124" s="14"/>
      <c r="C124" s="6"/>
      <c r="D124" s="14"/>
      <c r="E124" s="14"/>
      <c r="F124" s="14"/>
      <c r="G124" s="6"/>
      <c r="I124" s="14"/>
      <c r="J124" s="14"/>
      <c r="K124" s="6"/>
      <c r="L124" s="14"/>
      <c r="M124" s="13"/>
      <c r="N124" s="13"/>
      <c r="O124" s="13"/>
      <c r="P124" s="13"/>
      <c r="Q124" s="13"/>
      <c r="R124" s="13"/>
    </row>
    <row r="125" spans="1:18" x14ac:dyDescent="0.3">
      <c r="A125" s="14"/>
      <c r="B125" s="14"/>
      <c r="C125" s="6"/>
      <c r="D125" s="14"/>
      <c r="E125" s="14"/>
      <c r="F125" s="14"/>
      <c r="G125" s="6"/>
      <c r="I125" s="14"/>
      <c r="J125" s="14"/>
      <c r="K125" s="6"/>
      <c r="L125" s="14"/>
      <c r="M125" s="13"/>
      <c r="N125" s="13"/>
      <c r="O125" s="13"/>
      <c r="P125" s="13"/>
      <c r="Q125" s="13"/>
      <c r="R125" s="13"/>
    </row>
    <row r="126" spans="1:18" x14ac:dyDescent="0.3">
      <c r="A126" s="14"/>
      <c r="B126" s="14"/>
      <c r="C126" s="6"/>
      <c r="D126" s="14"/>
      <c r="E126" s="14"/>
      <c r="F126" s="14"/>
      <c r="G126" s="6"/>
      <c r="I126" s="14"/>
      <c r="J126" s="14"/>
      <c r="K126" s="6"/>
      <c r="L126" s="14"/>
      <c r="M126" s="13"/>
      <c r="N126" s="13"/>
      <c r="O126" s="13"/>
      <c r="P126" s="13"/>
      <c r="Q126" s="13"/>
      <c r="R126" s="13"/>
    </row>
    <row r="127" spans="1:18" x14ac:dyDescent="0.3">
      <c r="A127" s="14"/>
      <c r="B127" s="14"/>
      <c r="C127" s="6"/>
      <c r="D127" s="14"/>
      <c r="E127" s="14"/>
      <c r="F127" s="14"/>
      <c r="G127" s="6"/>
      <c r="I127" s="14"/>
      <c r="J127" s="14"/>
      <c r="K127" s="6"/>
      <c r="L127" s="14"/>
      <c r="M127" s="13"/>
      <c r="N127" s="13"/>
      <c r="O127" s="13"/>
      <c r="P127" s="13"/>
      <c r="Q127" s="13"/>
      <c r="R127" s="13"/>
    </row>
    <row r="128" spans="1:18" x14ac:dyDescent="0.3">
      <c r="A128" s="14"/>
      <c r="B128" s="14"/>
      <c r="C128" s="6"/>
      <c r="D128" s="14"/>
      <c r="E128" s="14"/>
      <c r="F128" s="14"/>
      <c r="G128" s="6"/>
      <c r="I128" s="14"/>
      <c r="J128" s="14"/>
      <c r="K128" s="6"/>
      <c r="L128" s="14"/>
      <c r="M128" s="13"/>
      <c r="N128" s="13"/>
      <c r="O128" s="13"/>
      <c r="P128" s="13"/>
      <c r="Q128" s="13"/>
      <c r="R128" s="13"/>
    </row>
    <row r="129" spans="1:18" x14ac:dyDescent="0.3">
      <c r="A129" s="14"/>
      <c r="B129" s="14"/>
      <c r="C129" s="6"/>
      <c r="D129" s="14"/>
      <c r="E129" s="14"/>
      <c r="F129" s="14"/>
      <c r="G129" s="6"/>
      <c r="I129" s="14"/>
      <c r="J129" s="14"/>
      <c r="K129" s="6"/>
      <c r="L129" s="14"/>
      <c r="M129" s="13"/>
      <c r="N129" s="13"/>
      <c r="O129" s="13"/>
      <c r="P129" s="13"/>
      <c r="Q129" s="13"/>
      <c r="R129" s="13"/>
    </row>
    <row r="130" spans="1:18" x14ac:dyDescent="0.3">
      <c r="A130" s="14"/>
      <c r="B130" s="14"/>
      <c r="C130" s="6"/>
      <c r="D130" s="14"/>
      <c r="E130" s="14"/>
      <c r="F130" s="14"/>
      <c r="G130" s="6"/>
      <c r="I130" s="14"/>
      <c r="J130" s="14"/>
      <c r="K130" s="6"/>
      <c r="L130" s="14"/>
      <c r="M130" s="13"/>
      <c r="N130" s="13"/>
      <c r="O130" s="13"/>
      <c r="P130" s="13"/>
      <c r="Q130" s="13"/>
      <c r="R130" s="13"/>
    </row>
    <row r="131" spans="1:18" x14ac:dyDescent="0.3">
      <c r="A131" s="14"/>
      <c r="B131" s="14"/>
      <c r="C131" s="6"/>
      <c r="D131" s="14"/>
      <c r="E131" s="14"/>
      <c r="F131" s="14"/>
      <c r="G131" s="6"/>
      <c r="I131" s="14"/>
      <c r="J131" s="14"/>
      <c r="K131" s="6"/>
      <c r="L131" s="14"/>
      <c r="M131" s="13"/>
      <c r="N131" s="13"/>
      <c r="O131" s="13"/>
      <c r="P131" s="13"/>
      <c r="Q131" s="13"/>
      <c r="R131" s="13"/>
    </row>
    <row r="132" spans="1:18" x14ac:dyDescent="0.3">
      <c r="A132" s="14"/>
      <c r="B132" s="14"/>
      <c r="C132" s="6"/>
      <c r="D132" s="14"/>
      <c r="E132" s="14"/>
      <c r="F132" s="14"/>
      <c r="G132" s="6"/>
      <c r="I132" s="14"/>
      <c r="J132" s="14"/>
      <c r="K132" s="6"/>
      <c r="L132" s="14"/>
      <c r="M132" s="13"/>
      <c r="N132" s="13"/>
      <c r="O132" s="13"/>
      <c r="P132" s="13"/>
      <c r="Q132" s="13"/>
      <c r="R132" s="13"/>
    </row>
    <row r="133" spans="1:18" x14ac:dyDescent="0.3">
      <c r="A133" s="14"/>
      <c r="B133" s="14"/>
      <c r="C133" s="6"/>
      <c r="D133" s="14"/>
      <c r="E133" s="14"/>
      <c r="F133" s="14"/>
      <c r="G133" s="6"/>
      <c r="I133" s="14"/>
      <c r="J133" s="14"/>
      <c r="K133" s="6"/>
      <c r="L133" s="14"/>
      <c r="M133" s="13"/>
      <c r="N133" s="13"/>
      <c r="O133" s="13"/>
      <c r="P133" s="13"/>
      <c r="Q133" s="13"/>
      <c r="R133" s="13"/>
    </row>
    <row r="134" spans="1:18" x14ac:dyDescent="0.3">
      <c r="A134" s="14"/>
      <c r="B134" s="14"/>
      <c r="C134" s="6"/>
      <c r="D134" s="14"/>
      <c r="E134" s="14"/>
      <c r="F134" s="14"/>
      <c r="G134" s="6"/>
      <c r="I134" s="14"/>
      <c r="J134" s="14"/>
      <c r="K134" s="6"/>
      <c r="L134" s="14"/>
      <c r="M134" s="13"/>
      <c r="N134" s="13"/>
      <c r="O134" s="13"/>
      <c r="P134" s="13"/>
      <c r="Q134" s="13"/>
      <c r="R134" s="13"/>
    </row>
    <row r="135" spans="1:18" x14ac:dyDescent="0.3">
      <c r="A135" s="14"/>
      <c r="B135" s="14"/>
      <c r="C135" s="6"/>
      <c r="D135" s="14"/>
      <c r="E135" s="14"/>
      <c r="F135" s="14"/>
      <c r="G135" s="6"/>
      <c r="I135" s="14"/>
      <c r="J135" s="14"/>
      <c r="K135" s="6"/>
      <c r="L135" s="14"/>
      <c r="M135" s="13"/>
      <c r="N135" s="13"/>
      <c r="O135" s="13"/>
      <c r="P135" s="13"/>
      <c r="Q135" s="13"/>
      <c r="R135" s="13"/>
    </row>
    <row r="136" spans="1:18" x14ac:dyDescent="0.3">
      <c r="A136" s="14"/>
      <c r="B136" s="14"/>
      <c r="C136" s="6"/>
      <c r="D136" s="14"/>
      <c r="E136" s="14"/>
      <c r="F136" s="14"/>
      <c r="G136" s="6"/>
      <c r="I136" s="14"/>
      <c r="J136" s="14"/>
      <c r="K136" s="6"/>
      <c r="L136" s="14"/>
      <c r="M136" s="13"/>
      <c r="N136" s="13"/>
      <c r="O136" s="13"/>
      <c r="P136" s="13"/>
      <c r="Q136" s="13"/>
      <c r="R136" s="13"/>
    </row>
    <row r="137" spans="1:18" x14ac:dyDescent="0.3">
      <c r="A137" s="14"/>
      <c r="B137" s="14"/>
      <c r="C137" s="6"/>
      <c r="D137" s="14"/>
      <c r="E137" s="14"/>
      <c r="F137" s="14"/>
      <c r="G137" s="6"/>
      <c r="I137" s="14"/>
      <c r="J137" s="14"/>
      <c r="K137" s="6"/>
      <c r="L137" s="14"/>
      <c r="M137" s="13"/>
      <c r="N137" s="13"/>
      <c r="O137" s="13"/>
      <c r="P137" s="13"/>
      <c r="Q137" s="13"/>
      <c r="R137" s="13"/>
    </row>
    <row r="138" spans="1:18" x14ac:dyDescent="0.3">
      <c r="A138" s="14"/>
      <c r="B138" s="14"/>
      <c r="C138" s="6"/>
      <c r="D138" s="14"/>
      <c r="E138" s="14"/>
      <c r="F138" s="14"/>
      <c r="G138" s="6"/>
      <c r="I138" s="14"/>
      <c r="J138" s="14"/>
      <c r="K138" s="6"/>
      <c r="L138" s="14"/>
      <c r="M138" s="13"/>
      <c r="N138" s="13"/>
      <c r="O138" s="13"/>
      <c r="P138" s="13"/>
      <c r="Q138" s="13"/>
      <c r="R138" s="13"/>
    </row>
    <row r="139" spans="1:18" x14ac:dyDescent="0.3">
      <c r="A139" s="14"/>
      <c r="B139" s="14"/>
      <c r="C139" s="6"/>
      <c r="D139" s="14"/>
      <c r="E139" s="14"/>
      <c r="F139" s="14"/>
      <c r="G139" s="6"/>
      <c r="I139" s="14"/>
      <c r="J139" s="14"/>
      <c r="K139" s="6"/>
      <c r="L139" s="14"/>
      <c r="M139" s="13"/>
      <c r="N139" s="13"/>
      <c r="O139" s="13"/>
      <c r="P139" s="13"/>
      <c r="Q139" s="13"/>
      <c r="R139" s="13"/>
    </row>
    <row r="140" spans="1:18" x14ac:dyDescent="0.3">
      <c r="A140" s="14"/>
      <c r="B140" s="14"/>
      <c r="C140" s="6"/>
      <c r="D140" s="14"/>
      <c r="E140" s="14"/>
      <c r="F140" s="14"/>
      <c r="G140" s="6"/>
      <c r="I140" s="14"/>
      <c r="J140" s="14"/>
      <c r="K140" s="6"/>
      <c r="L140" s="14"/>
      <c r="M140" s="13"/>
      <c r="N140" s="13"/>
      <c r="O140" s="13"/>
      <c r="P140" s="13"/>
      <c r="Q140" s="13"/>
      <c r="R140" s="13"/>
    </row>
    <row r="141" spans="1:18" x14ac:dyDescent="0.3">
      <c r="A141" s="14"/>
      <c r="B141" s="14"/>
      <c r="C141" s="6"/>
      <c r="D141" s="14"/>
      <c r="E141" s="14"/>
      <c r="F141" s="14"/>
      <c r="G141" s="6"/>
      <c r="I141" s="14"/>
      <c r="J141" s="14"/>
      <c r="K141" s="6"/>
      <c r="L141" s="14"/>
      <c r="M141" s="13"/>
      <c r="N141" s="13"/>
      <c r="O141" s="13"/>
      <c r="P141" s="13"/>
      <c r="Q141" s="13"/>
      <c r="R141" s="13"/>
    </row>
    <row r="142" spans="1:18" x14ac:dyDescent="0.3">
      <c r="A142" s="14"/>
      <c r="B142" s="14"/>
      <c r="C142" s="6"/>
      <c r="D142" s="14"/>
      <c r="E142" s="14"/>
      <c r="F142" s="14"/>
      <c r="G142" s="6"/>
      <c r="I142" s="14"/>
      <c r="J142" s="14"/>
      <c r="K142" s="6"/>
      <c r="L142" s="14"/>
      <c r="M142" s="13"/>
      <c r="N142" s="13"/>
      <c r="O142" s="13"/>
      <c r="P142" s="13"/>
      <c r="Q142" s="13"/>
      <c r="R142" s="13"/>
    </row>
    <row r="143" spans="1:18" x14ac:dyDescent="0.3">
      <c r="A143" s="14"/>
      <c r="B143" s="14"/>
      <c r="C143" s="6"/>
      <c r="D143" s="14"/>
      <c r="E143" s="14"/>
      <c r="F143" s="14"/>
      <c r="G143" s="6"/>
      <c r="I143" s="14"/>
      <c r="J143" s="14"/>
      <c r="K143" s="6"/>
      <c r="L143" s="14"/>
      <c r="M143" s="13"/>
      <c r="N143" s="13"/>
      <c r="O143" s="13"/>
      <c r="P143" s="13"/>
      <c r="Q143" s="13"/>
      <c r="R143" s="13"/>
    </row>
    <row r="144" spans="1:18" x14ac:dyDescent="0.3">
      <c r="A144" s="14"/>
      <c r="B144" s="14"/>
      <c r="C144" s="6"/>
      <c r="D144" s="14"/>
      <c r="E144" s="14"/>
      <c r="F144" s="14"/>
      <c r="G144" s="6"/>
      <c r="I144" s="14"/>
      <c r="J144" s="14"/>
      <c r="K144" s="6"/>
      <c r="L144" s="14"/>
      <c r="M144" s="13"/>
      <c r="N144" s="13"/>
      <c r="O144" s="13"/>
      <c r="P144" s="13"/>
      <c r="Q144" s="13"/>
      <c r="R144" s="13"/>
    </row>
    <row r="145" spans="1:18" x14ac:dyDescent="0.3">
      <c r="A145" s="14"/>
      <c r="B145" s="14"/>
      <c r="C145" s="6"/>
      <c r="D145" s="14"/>
      <c r="E145" s="14"/>
      <c r="F145" s="14"/>
      <c r="G145" s="6"/>
      <c r="I145" s="14"/>
      <c r="J145" s="14"/>
      <c r="K145" s="6"/>
      <c r="L145" s="14"/>
      <c r="M145" s="13"/>
      <c r="N145" s="13"/>
      <c r="O145" s="13"/>
      <c r="P145" s="13"/>
      <c r="Q145" s="13"/>
      <c r="R145" s="13"/>
    </row>
    <row r="146" spans="1:18" x14ac:dyDescent="0.3">
      <c r="A146" s="14"/>
      <c r="B146" s="14"/>
      <c r="C146" s="6"/>
      <c r="D146" s="14"/>
      <c r="E146" s="14"/>
      <c r="F146" s="14"/>
      <c r="G146" s="6"/>
      <c r="I146" s="14"/>
      <c r="J146" s="14"/>
      <c r="K146" s="6"/>
      <c r="L146" s="14"/>
      <c r="M146" s="13"/>
      <c r="N146" s="13"/>
      <c r="O146" s="13"/>
      <c r="P146" s="13"/>
      <c r="Q146" s="13"/>
      <c r="R146" s="13"/>
    </row>
    <row r="147" spans="1:18" x14ac:dyDescent="0.3">
      <c r="A147" s="14"/>
      <c r="B147" s="14"/>
      <c r="C147" s="6"/>
      <c r="D147" s="14"/>
      <c r="E147" s="14"/>
      <c r="F147" s="14"/>
      <c r="G147" s="6"/>
      <c r="I147" s="14"/>
      <c r="J147" s="14"/>
      <c r="K147" s="6"/>
      <c r="L147" s="14"/>
      <c r="M147" s="13"/>
      <c r="N147" s="13"/>
      <c r="O147" s="13"/>
      <c r="P147" s="13"/>
      <c r="Q147" s="13"/>
      <c r="R147" s="13"/>
    </row>
    <row r="148" spans="1:18" x14ac:dyDescent="0.3">
      <c r="A148" s="14"/>
      <c r="B148" s="14"/>
      <c r="C148" s="6"/>
      <c r="D148" s="14"/>
      <c r="E148" s="14"/>
      <c r="F148" s="14"/>
      <c r="G148" s="6"/>
      <c r="I148" s="14"/>
      <c r="J148" s="14"/>
      <c r="K148" s="6"/>
      <c r="L148" s="14"/>
      <c r="M148" s="13"/>
      <c r="N148" s="13"/>
      <c r="O148" s="13"/>
      <c r="P148" s="13"/>
      <c r="Q148" s="13"/>
      <c r="R148" s="13"/>
    </row>
    <row r="149" spans="1:18" x14ac:dyDescent="0.3">
      <c r="A149" s="14"/>
      <c r="B149" s="14"/>
      <c r="C149" s="6"/>
      <c r="D149" s="14"/>
      <c r="E149" s="14"/>
      <c r="F149" s="14"/>
      <c r="G149" s="6"/>
      <c r="I149" s="14"/>
      <c r="J149" s="14"/>
      <c r="K149" s="6"/>
      <c r="L149" s="14"/>
      <c r="M149" s="13"/>
      <c r="N149" s="13"/>
      <c r="O149" s="13"/>
      <c r="P149" s="13"/>
      <c r="Q149" s="13"/>
      <c r="R149" s="13"/>
    </row>
    <row r="150" spans="1:18" x14ac:dyDescent="0.3">
      <c r="A150" s="14"/>
      <c r="B150" s="14"/>
      <c r="C150" s="6"/>
      <c r="D150" s="14"/>
      <c r="E150" s="14"/>
      <c r="F150" s="14"/>
      <c r="G150" s="6"/>
      <c r="I150" s="14"/>
      <c r="J150" s="14"/>
      <c r="K150" s="6"/>
      <c r="L150" s="14"/>
      <c r="M150" s="13"/>
      <c r="N150" s="13"/>
      <c r="O150" s="13"/>
      <c r="P150" s="13"/>
      <c r="Q150" s="13"/>
      <c r="R150" s="13"/>
    </row>
    <row r="151" spans="1:18" x14ac:dyDescent="0.3">
      <c r="A151" s="14"/>
      <c r="B151" s="14"/>
      <c r="C151" s="6"/>
      <c r="D151" s="14"/>
      <c r="E151" s="14"/>
      <c r="F151" s="14"/>
      <c r="G151" s="6"/>
      <c r="I151" s="14"/>
      <c r="J151" s="14"/>
      <c r="K151" s="6"/>
      <c r="L151" s="14"/>
      <c r="M151" s="13"/>
      <c r="N151" s="13"/>
      <c r="O151" s="13"/>
      <c r="P151" s="13"/>
      <c r="Q151" s="13"/>
      <c r="R151" s="13"/>
    </row>
    <row r="152" spans="1:18" x14ac:dyDescent="0.3">
      <c r="A152" s="14"/>
      <c r="B152" s="14"/>
      <c r="C152" s="6"/>
      <c r="D152" s="14"/>
      <c r="E152" s="14"/>
      <c r="F152" s="14"/>
      <c r="G152" s="6"/>
      <c r="I152" s="14"/>
      <c r="J152" s="14"/>
      <c r="K152" s="6"/>
      <c r="L152" s="14"/>
      <c r="M152" s="13"/>
      <c r="N152" s="13"/>
      <c r="O152" s="13"/>
      <c r="P152" s="13"/>
      <c r="Q152" s="13"/>
      <c r="R152" s="13"/>
    </row>
    <row r="153" spans="1:18" x14ac:dyDescent="0.3">
      <c r="A153" s="14"/>
      <c r="B153" s="14"/>
      <c r="C153" s="6"/>
      <c r="D153" s="14"/>
      <c r="E153" s="14"/>
      <c r="F153" s="14"/>
      <c r="G153" s="6"/>
      <c r="I153" s="14"/>
      <c r="J153" s="14"/>
      <c r="K153" s="6"/>
      <c r="L153" s="14"/>
      <c r="M153" s="13"/>
      <c r="N153" s="13"/>
      <c r="O153" s="13"/>
      <c r="P153" s="13"/>
      <c r="Q153" s="13"/>
      <c r="R153" s="13"/>
    </row>
    <row r="154" spans="1:18" x14ac:dyDescent="0.3">
      <c r="A154" s="14"/>
      <c r="B154" s="14"/>
      <c r="C154" s="6"/>
      <c r="D154" s="14"/>
      <c r="E154" s="14"/>
      <c r="F154" s="14"/>
      <c r="G154" s="6"/>
      <c r="I154" s="14"/>
      <c r="J154" s="14"/>
      <c r="K154" s="6"/>
      <c r="L154" s="14"/>
      <c r="M154" s="13"/>
      <c r="N154" s="13"/>
      <c r="O154" s="13"/>
      <c r="P154" s="13"/>
      <c r="Q154" s="13"/>
      <c r="R154" s="13"/>
    </row>
    <row r="155" spans="1:18" x14ac:dyDescent="0.3">
      <c r="A155" s="14"/>
      <c r="B155" s="14"/>
      <c r="C155" s="6"/>
      <c r="D155" s="14"/>
      <c r="E155" s="14"/>
      <c r="F155" s="14"/>
      <c r="G155" s="6"/>
      <c r="I155" s="14"/>
      <c r="J155" s="14"/>
      <c r="K155" s="6"/>
      <c r="L155" s="14"/>
      <c r="M155" s="13"/>
      <c r="N155" s="13"/>
      <c r="O155" s="13"/>
      <c r="P155" s="13"/>
      <c r="Q155" s="13"/>
      <c r="R155" s="13"/>
    </row>
    <row r="156" spans="1:18" x14ac:dyDescent="0.3">
      <c r="A156" s="14"/>
      <c r="B156" s="14"/>
      <c r="C156" s="6"/>
      <c r="D156" s="14"/>
      <c r="E156" s="14"/>
      <c r="F156" s="14"/>
      <c r="G156" s="6"/>
      <c r="I156" s="14"/>
      <c r="J156" s="14"/>
      <c r="K156" s="6"/>
      <c r="L156" s="14"/>
      <c r="M156" s="13"/>
      <c r="N156" s="13"/>
      <c r="O156" s="13"/>
      <c r="P156" s="13"/>
      <c r="Q156" s="13"/>
      <c r="R156" s="13"/>
    </row>
    <row r="157" spans="1:18" x14ac:dyDescent="0.3">
      <c r="A157" s="14"/>
      <c r="B157" s="14"/>
      <c r="C157" s="6"/>
      <c r="D157" s="14"/>
      <c r="E157" s="14"/>
      <c r="F157" s="14"/>
      <c r="G157" s="6"/>
      <c r="I157" s="14"/>
      <c r="J157" s="14"/>
      <c r="K157" s="6"/>
      <c r="L157" s="14"/>
      <c r="M157" s="13"/>
      <c r="N157" s="13"/>
      <c r="O157" s="13"/>
      <c r="P157" s="13"/>
      <c r="Q157" s="13"/>
      <c r="R157" s="13"/>
    </row>
    <row r="158" spans="1:18" x14ac:dyDescent="0.3">
      <c r="A158" s="14"/>
      <c r="B158" s="14"/>
      <c r="C158" s="6"/>
      <c r="D158" s="14"/>
      <c r="E158" s="14"/>
      <c r="F158" s="14"/>
      <c r="G158" s="6"/>
      <c r="I158" s="14"/>
      <c r="J158" s="14"/>
      <c r="K158" s="6"/>
      <c r="L158" s="14"/>
      <c r="M158" s="13"/>
      <c r="N158" s="13"/>
      <c r="O158" s="13"/>
      <c r="P158" s="13"/>
      <c r="Q158" s="13"/>
      <c r="R158" s="13"/>
    </row>
    <row r="159" spans="1:18" x14ac:dyDescent="0.3">
      <c r="A159" s="14"/>
      <c r="B159" s="14"/>
      <c r="C159" s="6"/>
      <c r="D159" s="14"/>
      <c r="E159" s="14"/>
      <c r="F159" s="14"/>
      <c r="G159" s="6"/>
      <c r="I159" s="14"/>
      <c r="J159" s="14"/>
      <c r="K159" s="6"/>
      <c r="L159" s="14"/>
      <c r="M159" s="13"/>
      <c r="N159" s="13"/>
      <c r="O159" s="13"/>
      <c r="P159" s="13"/>
      <c r="Q159" s="13"/>
      <c r="R159" s="13"/>
    </row>
    <row r="160" spans="1:18" x14ac:dyDescent="0.3">
      <c r="A160" s="14"/>
      <c r="B160" s="14"/>
      <c r="C160" s="6"/>
      <c r="D160" s="14"/>
      <c r="E160" s="14"/>
      <c r="F160" s="14"/>
      <c r="G160" s="6"/>
      <c r="I160" s="14"/>
      <c r="J160" s="14"/>
      <c r="K160" s="6"/>
      <c r="L160" s="14"/>
      <c r="M160" s="13"/>
      <c r="N160" s="13"/>
      <c r="O160" s="13"/>
      <c r="P160" s="13"/>
      <c r="Q160" s="13"/>
      <c r="R160" s="13"/>
    </row>
    <row r="161" spans="1:18" x14ac:dyDescent="0.3">
      <c r="A161" s="14"/>
      <c r="B161" s="14"/>
      <c r="C161" s="6"/>
      <c r="D161" s="14"/>
      <c r="E161" s="14"/>
      <c r="F161" s="14"/>
      <c r="G161" s="6"/>
      <c r="L161" s="14"/>
      <c r="M161" s="13"/>
      <c r="N161" s="13"/>
      <c r="O161" s="13"/>
      <c r="P161" s="13"/>
      <c r="Q161" s="13"/>
      <c r="R161" s="13"/>
    </row>
    <row r="162" spans="1:18" x14ac:dyDescent="0.3">
      <c r="A162" s="14"/>
      <c r="B162" s="14"/>
      <c r="C162" s="6"/>
      <c r="D162" s="14"/>
      <c r="E162" s="14"/>
      <c r="F162" s="14"/>
      <c r="G162" s="6"/>
      <c r="L162" s="14"/>
      <c r="M162" s="13"/>
      <c r="N162" s="13"/>
      <c r="O162" s="13"/>
      <c r="P162" s="13"/>
      <c r="Q162" s="13"/>
      <c r="R162" s="13"/>
    </row>
    <row r="163" spans="1:18" x14ac:dyDescent="0.3">
      <c r="A163" s="14"/>
      <c r="B163" s="14"/>
      <c r="C163" s="6"/>
      <c r="D163" s="14"/>
      <c r="E163" s="14"/>
      <c r="F163" s="14"/>
      <c r="G163" s="6"/>
      <c r="L163" s="14"/>
      <c r="M163" s="13"/>
      <c r="N163" s="13"/>
      <c r="O163" s="13"/>
      <c r="P163" s="13"/>
      <c r="Q163" s="13"/>
      <c r="R163" s="13"/>
    </row>
    <row r="164" spans="1:18" x14ac:dyDescent="0.3">
      <c r="A164" s="14"/>
      <c r="B164" s="14"/>
      <c r="C164" s="6"/>
      <c r="D164" s="14"/>
      <c r="E164" s="14"/>
      <c r="F164" s="14"/>
      <c r="G164" s="6"/>
    </row>
    <row r="165" spans="1:18" x14ac:dyDescent="0.3">
      <c r="A165" s="14"/>
      <c r="B165" s="14"/>
      <c r="C165" s="6"/>
      <c r="D165" s="14"/>
      <c r="E165" s="14"/>
      <c r="F165" s="14"/>
      <c r="G165" s="6"/>
    </row>
    <row r="166" spans="1:18" x14ac:dyDescent="0.3">
      <c r="A166" s="14"/>
      <c r="B166" s="14"/>
      <c r="C166" s="6"/>
      <c r="D166" s="14"/>
      <c r="E166" s="14"/>
      <c r="F166" s="14"/>
      <c r="G166" s="6"/>
    </row>
    <row r="167" spans="1:18" x14ac:dyDescent="0.3">
      <c r="A167" s="14"/>
      <c r="B167" s="14"/>
      <c r="C167" s="6"/>
      <c r="D167" s="14"/>
      <c r="E167" s="14"/>
      <c r="F167" s="14"/>
      <c r="G167" s="6"/>
    </row>
    <row r="168" spans="1:18" x14ac:dyDescent="0.3">
      <c r="A168" s="14"/>
      <c r="B168" s="14"/>
      <c r="C168" s="6"/>
      <c r="D168" s="14"/>
      <c r="E168" s="14"/>
      <c r="F168" s="14"/>
      <c r="G168" s="6"/>
    </row>
    <row r="169" spans="1:18" x14ac:dyDescent="0.3">
      <c r="A169" s="14"/>
      <c r="B169" s="14"/>
      <c r="C169" s="6"/>
      <c r="D169" s="14"/>
      <c r="E169" s="14"/>
      <c r="F169" s="14"/>
      <c r="G169" s="6"/>
    </row>
    <row r="170" spans="1:18" x14ac:dyDescent="0.3">
      <c r="A170" s="14"/>
      <c r="B170" s="14"/>
      <c r="C170" s="6"/>
      <c r="D170" s="14"/>
      <c r="E170" s="14"/>
      <c r="F170" s="14"/>
      <c r="G170" s="6"/>
    </row>
    <row r="171" spans="1:18" x14ac:dyDescent="0.3">
      <c r="A171" s="14"/>
      <c r="B171" s="14"/>
      <c r="C171" s="6"/>
      <c r="D171" s="14"/>
      <c r="E171" s="14"/>
      <c r="F171" s="14"/>
      <c r="G171" s="6"/>
    </row>
    <row r="172" spans="1:18" x14ac:dyDescent="0.3">
      <c r="A172" s="14"/>
      <c r="B172" s="14"/>
      <c r="C172" s="6"/>
      <c r="D172" s="14"/>
      <c r="E172" s="14"/>
      <c r="F172" s="14"/>
      <c r="G172" s="6"/>
    </row>
    <row r="173" spans="1:18" x14ac:dyDescent="0.3">
      <c r="A173" s="14"/>
      <c r="B173" s="14"/>
      <c r="C173" s="6"/>
      <c r="D173" s="14"/>
      <c r="E173" s="14"/>
      <c r="F173" s="14"/>
      <c r="G173" s="6"/>
    </row>
    <row r="174" spans="1:18" x14ac:dyDescent="0.3">
      <c r="A174" s="14"/>
      <c r="B174" s="14"/>
      <c r="C174" s="6"/>
      <c r="D174" s="14"/>
      <c r="E174" s="14"/>
      <c r="F174" s="14"/>
      <c r="G174" s="6"/>
    </row>
    <row r="175" spans="1:18" x14ac:dyDescent="0.3">
      <c r="A175" s="14"/>
      <c r="B175" s="14"/>
      <c r="C175" s="6"/>
      <c r="D175" s="14"/>
      <c r="E175" s="14"/>
      <c r="F175" s="14"/>
      <c r="G175" s="6"/>
    </row>
    <row r="176" spans="1:18" x14ac:dyDescent="0.3">
      <c r="A176" s="14"/>
      <c r="B176" s="14"/>
      <c r="C176" s="6"/>
      <c r="D176" s="14"/>
      <c r="E176" s="14"/>
      <c r="F176" s="14"/>
      <c r="G176" s="6"/>
    </row>
    <row r="177" spans="1:7" x14ac:dyDescent="0.3">
      <c r="A177" s="14"/>
      <c r="B177" s="14"/>
      <c r="C177" s="6"/>
      <c r="D177" s="14"/>
      <c r="E177" s="14"/>
      <c r="F177" s="14"/>
      <c r="G177" s="6"/>
    </row>
    <row r="178" spans="1:7" x14ac:dyDescent="0.3">
      <c r="A178" s="14"/>
      <c r="B178" s="14"/>
      <c r="C178" s="6"/>
      <c r="D178" s="14"/>
      <c r="E178" s="14"/>
      <c r="F178" s="14"/>
      <c r="G178" s="6"/>
    </row>
    <row r="179" spans="1:7" x14ac:dyDescent="0.3">
      <c r="A179" s="14"/>
      <c r="B179" s="14"/>
      <c r="C179" s="6"/>
      <c r="D179" s="14"/>
      <c r="E179" s="14"/>
      <c r="F179" s="14"/>
      <c r="G179" s="6"/>
    </row>
    <row r="180" spans="1:7" x14ac:dyDescent="0.3">
      <c r="A180" s="14"/>
      <c r="B180" s="14"/>
      <c r="C180" s="6"/>
      <c r="D180" s="14"/>
      <c r="E180" s="14"/>
      <c r="F180" s="14"/>
      <c r="G180" s="6"/>
    </row>
    <row r="181" spans="1:7" x14ac:dyDescent="0.3">
      <c r="A181" s="14"/>
      <c r="B181" s="14"/>
      <c r="C181" s="6"/>
      <c r="D181" s="14"/>
      <c r="E181" s="14"/>
      <c r="F181" s="14"/>
      <c r="G181" s="6"/>
    </row>
    <row r="182" spans="1:7" x14ac:dyDescent="0.3">
      <c r="A182" s="14"/>
      <c r="B182" s="14"/>
      <c r="C182" s="6"/>
      <c r="D182" s="14"/>
      <c r="E182" s="14"/>
      <c r="F182" s="14"/>
      <c r="G182" s="6"/>
    </row>
    <row r="183" spans="1:7" x14ac:dyDescent="0.3">
      <c r="A183" s="14"/>
      <c r="B183" s="14"/>
      <c r="C183" s="6"/>
      <c r="D183" s="14"/>
      <c r="F183" s="14"/>
      <c r="G183" s="6"/>
    </row>
    <row r="184" spans="1:7" x14ac:dyDescent="0.3">
      <c r="A184" s="18"/>
      <c r="B184" s="3"/>
      <c r="C184" s="6"/>
    </row>
    <row r="185" spans="1:7" x14ac:dyDescent="0.3">
      <c r="A185" s="18"/>
      <c r="B185" s="3"/>
      <c r="C185" s="6"/>
    </row>
    <row r="186" spans="1:7" x14ac:dyDescent="0.3">
      <c r="A186" s="18"/>
      <c r="B186" s="3"/>
      <c r="C186" s="6"/>
    </row>
    <row r="187" spans="1:7" x14ac:dyDescent="0.3">
      <c r="A187" s="18"/>
      <c r="B187" s="3"/>
      <c r="C187" s="6"/>
    </row>
    <row r="188" spans="1:7" x14ac:dyDescent="0.3">
      <c r="A188" s="18"/>
      <c r="B188" s="3"/>
      <c r="C188" s="6"/>
    </row>
    <row r="189" spans="1:7" x14ac:dyDescent="0.3">
      <c r="A189" s="18"/>
      <c r="B189" s="3"/>
      <c r="C189" s="6"/>
    </row>
    <row r="190" spans="1:7" x14ac:dyDescent="0.3">
      <c r="A190" s="18"/>
      <c r="B190" s="3"/>
      <c r="C190" s="6"/>
    </row>
    <row r="191" spans="1:7" x14ac:dyDescent="0.3">
      <c r="A191" s="18"/>
      <c r="B191" s="3"/>
      <c r="C191" s="6"/>
    </row>
    <row r="192" spans="1:7" x14ac:dyDescent="0.3">
      <c r="A192" s="18"/>
      <c r="B192" s="3"/>
      <c r="C192" s="6"/>
    </row>
    <row r="193" spans="1:3" x14ac:dyDescent="0.3">
      <c r="A193" s="18"/>
      <c r="B193" s="3"/>
      <c r="C193" s="6"/>
    </row>
    <row r="194" spans="1:3" x14ac:dyDescent="0.3">
      <c r="A194" s="18"/>
      <c r="B194" s="3"/>
      <c r="C194" s="6"/>
    </row>
    <row r="195" spans="1:3" x14ac:dyDescent="0.3">
      <c r="A195" s="18"/>
      <c r="B195" s="3"/>
      <c r="C195" s="6"/>
    </row>
    <row r="196" spans="1:3" x14ac:dyDescent="0.3">
      <c r="A196" s="18"/>
      <c r="B196" s="3"/>
      <c r="C196" s="6"/>
    </row>
    <row r="198" spans="1:3" x14ac:dyDescent="0.3">
      <c r="B198" s="19"/>
    </row>
    <row r="199" spans="1:3" x14ac:dyDescent="0.3">
      <c r="B199" s="19"/>
    </row>
    <row r="200" spans="1:3" x14ac:dyDescent="0.3">
      <c r="B200" s="19"/>
    </row>
    <row r="201" spans="1:3" x14ac:dyDescent="0.3">
      <c r="B201" s="19"/>
    </row>
    <row r="202" spans="1:3" x14ac:dyDescent="0.3">
      <c r="B202" s="19"/>
    </row>
    <row r="203" spans="1:3" x14ac:dyDescent="0.3">
      <c r="B203" s="19"/>
    </row>
    <row r="204" spans="1:3" x14ac:dyDescent="0.3">
      <c r="B204" s="19"/>
    </row>
    <row r="205" spans="1:3" x14ac:dyDescent="0.3">
      <c r="B205" s="19"/>
    </row>
    <row r="206" spans="1:3" x14ac:dyDescent="0.3">
      <c r="B206" s="19"/>
    </row>
    <row r="207" spans="1:3" x14ac:dyDescent="0.3">
      <c r="B207" s="19"/>
    </row>
    <row r="208" spans="1:3" x14ac:dyDescent="0.3">
      <c r="B208" s="19"/>
    </row>
    <row r="209" spans="2:2" x14ac:dyDescent="0.3">
      <c r="B209" s="19"/>
    </row>
    <row r="210" spans="2:2" x14ac:dyDescent="0.3">
      <c r="B210" s="19"/>
    </row>
    <row r="211" spans="2:2" x14ac:dyDescent="0.3">
      <c r="B211" s="19"/>
    </row>
    <row r="212" spans="2:2" x14ac:dyDescent="0.3">
      <c r="B212" s="19"/>
    </row>
    <row r="213" spans="2:2" x14ac:dyDescent="0.3">
      <c r="B213" s="19"/>
    </row>
    <row r="214" spans="2:2" x14ac:dyDescent="0.3">
      <c r="B214" s="19"/>
    </row>
    <row r="215" spans="2:2" x14ac:dyDescent="0.3">
      <c r="B215" s="19"/>
    </row>
    <row r="216" spans="2:2" x14ac:dyDescent="0.3">
      <c r="B216" s="19"/>
    </row>
    <row r="217" spans="2:2" x14ac:dyDescent="0.3">
      <c r="B217" s="19"/>
    </row>
    <row r="218" spans="2:2" x14ac:dyDescent="0.3">
      <c r="B218" s="19"/>
    </row>
    <row r="219" spans="2:2" x14ac:dyDescent="0.3">
      <c r="B219" s="19"/>
    </row>
    <row r="220" spans="2:2" x14ac:dyDescent="0.3">
      <c r="B220" s="19"/>
    </row>
    <row r="221" spans="2:2" x14ac:dyDescent="0.3">
      <c r="B221" s="19"/>
    </row>
    <row r="222" spans="2:2" x14ac:dyDescent="0.3">
      <c r="B222" s="19"/>
    </row>
    <row r="223" spans="2:2" x14ac:dyDescent="0.3">
      <c r="B223" s="19"/>
    </row>
    <row r="224" spans="2:2" x14ac:dyDescent="0.3">
      <c r="B224" s="19"/>
    </row>
    <row r="225" spans="2:2" x14ac:dyDescent="0.3">
      <c r="B225" s="19"/>
    </row>
    <row r="226" spans="2:2" x14ac:dyDescent="0.3">
      <c r="B226" s="19"/>
    </row>
    <row r="227" spans="2:2" x14ac:dyDescent="0.3">
      <c r="B227" s="19"/>
    </row>
    <row r="228" spans="2:2" x14ac:dyDescent="0.3">
      <c r="B228" s="19"/>
    </row>
    <row r="229" spans="2:2" x14ac:dyDescent="0.3">
      <c r="B229" s="19"/>
    </row>
    <row r="230" spans="2:2" x14ac:dyDescent="0.3">
      <c r="B230" s="19"/>
    </row>
    <row r="231" spans="2:2" x14ac:dyDescent="0.3">
      <c r="B231" s="19"/>
    </row>
    <row r="232" spans="2:2" x14ac:dyDescent="0.3">
      <c r="B232" s="19"/>
    </row>
    <row r="233" spans="2:2" x14ac:dyDescent="0.3">
      <c r="B233" s="19"/>
    </row>
    <row r="234" spans="2:2" x14ac:dyDescent="0.3">
      <c r="B234" s="19"/>
    </row>
    <row r="235" spans="2:2" x14ac:dyDescent="0.3">
      <c r="B235" s="19"/>
    </row>
    <row r="236" spans="2:2" x14ac:dyDescent="0.3">
      <c r="B236" s="19"/>
    </row>
    <row r="237" spans="2:2" x14ac:dyDescent="0.3">
      <c r="B237" s="19"/>
    </row>
    <row r="238" spans="2:2" x14ac:dyDescent="0.3">
      <c r="B238" s="19"/>
    </row>
    <row r="239" spans="2:2" x14ac:dyDescent="0.3">
      <c r="B239" s="19"/>
    </row>
    <row r="240" spans="2:2" x14ac:dyDescent="0.3">
      <c r="B240" s="19"/>
    </row>
    <row r="241" spans="2:2" x14ac:dyDescent="0.3">
      <c r="B241" s="19"/>
    </row>
    <row r="242" spans="2:2" x14ac:dyDescent="0.3">
      <c r="B242" s="19"/>
    </row>
    <row r="243" spans="2:2" x14ac:dyDescent="0.3">
      <c r="B243" s="19"/>
    </row>
    <row r="244" spans="2:2" x14ac:dyDescent="0.3">
      <c r="B244" s="19"/>
    </row>
    <row r="245" spans="2:2" x14ac:dyDescent="0.3">
      <c r="B245" s="19"/>
    </row>
    <row r="246" spans="2:2" x14ac:dyDescent="0.3">
      <c r="B246" s="19"/>
    </row>
    <row r="247" spans="2:2" x14ac:dyDescent="0.3">
      <c r="B247" s="19"/>
    </row>
    <row r="248" spans="2:2" x14ac:dyDescent="0.3">
      <c r="B248" s="19"/>
    </row>
    <row r="249" spans="2:2" x14ac:dyDescent="0.3">
      <c r="B249" s="20"/>
    </row>
    <row r="250" spans="2:2" x14ac:dyDescent="0.3">
      <c r="B250" s="20"/>
    </row>
    <row r="251" spans="2:2" x14ac:dyDescent="0.3">
      <c r="B251" s="20"/>
    </row>
    <row r="252" spans="2:2" x14ac:dyDescent="0.3">
      <c r="B252" s="20"/>
    </row>
    <row r="253" spans="2:2" x14ac:dyDescent="0.3">
      <c r="B253" s="20"/>
    </row>
    <row r="254" spans="2:2" x14ac:dyDescent="0.3">
      <c r="B254" s="20"/>
    </row>
    <row r="255" spans="2:2" x14ac:dyDescent="0.3">
      <c r="B255" s="20"/>
    </row>
    <row r="256" spans="2:2" x14ac:dyDescent="0.3">
      <c r="B256" s="20"/>
    </row>
    <row r="257" spans="2:2" x14ac:dyDescent="0.3">
      <c r="B257" s="20"/>
    </row>
  </sheetData>
  <mergeCells count="2">
    <mergeCell ref="B101:C101"/>
    <mergeCell ref="F101:G101"/>
  </mergeCells>
  <phoneticPr fontId="0" type="noConversion"/>
  <pageMargins left="0.75" right="0.75" top="1" bottom="1" header="0" footer="0"/>
  <pageSetup paperSize="9" firstPageNumber="0" fitToWidth="0"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tabColor indexed="41"/>
    <pageSetUpPr fitToPage="1"/>
  </sheetPr>
  <dimension ref="A1:U97"/>
  <sheetViews>
    <sheetView showGridLines="0" showRowColHeaders="0" zoomScale="90" zoomScaleNormal="90" workbookViewId="0">
      <selection activeCell="E18" sqref="E18"/>
    </sheetView>
  </sheetViews>
  <sheetFormatPr defaultColWidth="9.1328125" defaultRowHeight="12.75" x14ac:dyDescent="0.35"/>
  <cols>
    <col min="1" max="1" width="9.73046875" style="60" customWidth="1"/>
    <col min="2" max="3" width="39.265625" style="60" customWidth="1"/>
    <col min="4" max="4" width="7.59765625" style="60" customWidth="1"/>
    <col min="5" max="5" width="23.1328125" style="60" customWidth="1"/>
    <col min="6" max="6" width="10" style="60" customWidth="1"/>
    <col min="7" max="7" width="23.1328125" style="60" customWidth="1"/>
    <col min="8" max="8" width="28.1328125" style="60" customWidth="1"/>
    <col min="9" max="9" width="6.59765625" style="272" customWidth="1"/>
    <col min="10" max="11" width="25.59765625" style="272" hidden="1" customWidth="1"/>
    <col min="12" max="12" width="7.265625" style="272" hidden="1" customWidth="1"/>
    <col min="13" max="13" width="7.3984375" style="272" hidden="1" customWidth="1"/>
    <col min="14" max="14" width="25.3984375" style="272" hidden="1" customWidth="1"/>
    <col min="15" max="16" width="8.73046875" style="272" hidden="1" customWidth="1"/>
    <col min="17" max="17" width="10.265625" style="272" hidden="1" customWidth="1"/>
    <col min="18" max="18" width="10" style="272" customWidth="1"/>
    <col min="19" max="19" width="9.3984375" style="64" customWidth="1"/>
    <col min="20" max="16384" width="9.1328125" style="61"/>
  </cols>
  <sheetData>
    <row r="1" spans="1:21" ht="9" customHeight="1" thickBot="1" x14ac:dyDescent="0.4">
      <c r="T1" s="64"/>
    </row>
    <row r="2" spans="1:21" ht="21" thickBot="1" x14ac:dyDescent="0.65">
      <c r="A2" s="101"/>
      <c r="B2" s="108" t="s">
        <v>27</v>
      </c>
      <c r="C2" s="101"/>
      <c r="D2" s="126"/>
      <c r="E2" s="101"/>
      <c r="F2" s="101"/>
      <c r="G2" s="145" t="s">
        <v>19</v>
      </c>
      <c r="T2" s="64"/>
    </row>
    <row r="3" spans="1:21" ht="13.15" thickBot="1" x14ac:dyDescent="0.4">
      <c r="A3" s="101"/>
      <c r="B3" s="101"/>
      <c r="C3" s="101"/>
      <c r="D3" s="101"/>
      <c r="E3" s="101"/>
      <c r="F3" s="101"/>
      <c r="G3" s="138" t="s">
        <v>17</v>
      </c>
      <c r="J3" s="314" t="s">
        <v>54</v>
      </c>
      <c r="K3" s="315" t="s">
        <v>54</v>
      </c>
      <c r="L3" s="61"/>
      <c r="M3" s="61"/>
      <c r="N3" s="61"/>
      <c r="O3" s="61"/>
      <c r="P3" s="61"/>
      <c r="Q3" s="61"/>
      <c r="S3" s="61"/>
      <c r="T3" s="64"/>
    </row>
    <row r="4" spans="1:21" ht="15.4" thickBot="1" x14ac:dyDescent="0.45">
      <c r="A4" s="101"/>
      <c r="B4" s="127" t="s">
        <v>45</v>
      </c>
      <c r="C4" s="101"/>
      <c r="D4" s="101"/>
      <c r="E4" s="101"/>
      <c r="F4" s="101"/>
      <c r="G4" s="139" t="s">
        <v>16</v>
      </c>
      <c r="J4" s="316" t="s">
        <v>28</v>
      </c>
      <c r="K4" s="316" t="s">
        <v>28</v>
      </c>
      <c r="L4" s="316"/>
      <c r="M4" s="61"/>
      <c r="N4" s="61"/>
      <c r="O4" s="61"/>
      <c r="P4" s="61"/>
      <c r="Q4" s="61"/>
      <c r="S4" s="61"/>
      <c r="T4" s="64"/>
      <c r="U4" s="64"/>
    </row>
    <row r="5" spans="1:21" ht="15.4" thickBot="1" x14ac:dyDescent="0.45">
      <c r="A5" s="101"/>
      <c r="B5" s="127" t="s">
        <v>140</v>
      </c>
      <c r="C5" s="101"/>
      <c r="D5" s="101"/>
      <c r="E5" s="101"/>
      <c r="F5" s="101"/>
      <c r="G5" s="140" t="s">
        <v>18</v>
      </c>
      <c r="J5" s="316" t="s">
        <v>29</v>
      </c>
      <c r="K5" s="316" t="s">
        <v>29</v>
      </c>
      <c r="L5" s="316"/>
      <c r="M5" s="61"/>
      <c r="N5" s="61"/>
      <c r="O5" s="61"/>
      <c r="P5" s="61"/>
      <c r="Q5" s="61"/>
      <c r="S5" s="61"/>
      <c r="T5" s="64"/>
      <c r="U5" s="64"/>
    </row>
    <row r="6" spans="1:21" ht="21.75" customHeight="1" thickBot="1" x14ac:dyDescent="0.4">
      <c r="A6" s="101"/>
      <c r="B6" s="101"/>
      <c r="C6" s="101"/>
      <c r="D6" s="101"/>
      <c r="E6" s="101"/>
      <c r="F6" s="101"/>
      <c r="G6" s="101"/>
      <c r="J6" s="316" t="s">
        <v>30</v>
      </c>
      <c r="K6" s="316" t="s">
        <v>30</v>
      </c>
      <c r="L6" s="316"/>
      <c r="M6" s="61"/>
      <c r="N6" s="61"/>
      <c r="O6" s="61"/>
      <c r="P6" s="61"/>
      <c r="Q6" s="61"/>
      <c r="S6" s="61"/>
      <c r="T6" s="64"/>
      <c r="U6" s="64"/>
    </row>
    <row r="7" spans="1:21" ht="24.75" customHeight="1" thickBot="1" x14ac:dyDescent="0.4">
      <c r="A7" s="101"/>
      <c r="B7" s="355" t="s">
        <v>15</v>
      </c>
      <c r="C7" s="356"/>
      <c r="D7" s="128"/>
      <c r="E7" s="357" t="s">
        <v>14</v>
      </c>
      <c r="F7" s="358"/>
      <c r="G7" s="358"/>
      <c r="H7" s="91"/>
      <c r="J7" s="316" t="s">
        <v>32</v>
      </c>
      <c r="K7" s="316" t="s">
        <v>32</v>
      </c>
      <c r="L7" s="316"/>
      <c r="M7" s="61"/>
      <c r="N7" s="61"/>
      <c r="O7" s="61"/>
      <c r="P7" s="61"/>
      <c r="Q7" s="61"/>
      <c r="S7" s="61"/>
      <c r="T7" s="64"/>
      <c r="U7" s="64"/>
    </row>
    <row r="8" spans="1:21" ht="13.5" customHeight="1" x14ac:dyDescent="0.35">
      <c r="A8" s="101"/>
      <c r="B8" s="128"/>
      <c r="C8" s="101"/>
      <c r="D8" s="101"/>
      <c r="E8" s="101"/>
      <c r="F8" s="101"/>
      <c r="G8" s="101"/>
      <c r="J8" s="316" t="s">
        <v>31</v>
      </c>
      <c r="K8" s="316" t="s">
        <v>31</v>
      </c>
      <c r="L8" s="316"/>
      <c r="M8" s="61"/>
      <c r="N8" s="61"/>
      <c r="O8" s="61"/>
      <c r="P8" s="61"/>
      <c r="Q8" s="61"/>
      <c r="S8" s="61"/>
      <c r="T8" s="64"/>
      <c r="U8" s="64"/>
    </row>
    <row r="9" spans="1:21" ht="27" customHeight="1" x14ac:dyDescent="0.35">
      <c r="A9" s="101"/>
      <c r="B9" s="101"/>
      <c r="C9" s="101"/>
      <c r="D9" s="129"/>
      <c r="E9" s="141" t="s">
        <v>139</v>
      </c>
      <c r="F9" s="142"/>
      <c r="G9" s="141" t="s">
        <v>37</v>
      </c>
      <c r="H9" s="92"/>
      <c r="J9" s="316" t="s">
        <v>33</v>
      </c>
      <c r="K9" s="316" t="s">
        <v>33</v>
      </c>
      <c r="L9" s="316"/>
      <c r="M9" s="61"/>
      <c r="N9" s="61"/>
      <c r="O9" s="61"/>
      <c r="P9" s="61"/>
      <c r="Q9" s="61"/>
      <c r="S9" s="61"/>
      <c r="T9" s="64"/>
      <c r="U9" s="64"/>
    </row>
    <row r="10" spans="1:21" ht="13.5" thickBot="1" x14ac:dyDescent="0.4">
      <c r="A10" s="101"/>
      <c r="B10" s="130"/>
      <c r="C10" s="101"/>
      <c r="D10" s="131"/>
      <c r="E10" s="93"/>
      <c r="J10" s="316" t="s">
        <v>34</v>
      </c>
      <c r="K10" s="316" t="s">
        <v>34</v>
      </c>
      <c r="L10" s="316"/>
      <c r="M10" s="61"/>
      <c r="N10" s="61"/>
      <c r="O10" s="61"/>
      <c r="P10" s="61"/>
      <c r="Q10" s="61"/>
      <c r="S10" s="61"/>
      <c r="T10" s="64"/>
      <c r="U10" s="64"/>
    </row>
    <row r="11" spans="1:21" ht="60.4" customHeight="1" thickBot="1" x14ac:dyDescent="0.4">
      <c r="A11" s="101"/>
      <c r="B11" s="359" t="s">
        <v>248</v>
      </c>
      <c r="C11" s="348"/>
      <c r="D11" s="132"/>
      <c r="E11" s="29" t="s">
        <v>54</v>
      </c>
      <c r="G11" s="29" t="s">
        <v>54</v>
      </c>
      <c r="J11" s="63" t="str">
        <f>'new drop down lookup'!E10</f>
        <v>12 - Fine grade = 3</v>
      </c>
      <c r="K11" s="63" t="str">
        <f>'new drop down lookup'!L10</f>
        <v>15 - Fine grade = 2.8929</v>
      </c>
      <c r="L11" s="63" t="b">
        <f>J11='new drop down lookup'!E10</f>
        <v>1</v>
      </c>
      <c r="M11" s="63" t="b">
        <f>K11='new drop down lookup'!L10</f>
        <v>1</v>
      </c>
      <c r="N11" s="315" t="s">
        <v>54</v>
      </c>
      <c r="O11" s="61" t="s">
        <v>52</v>
      </c>
      <c r="P11" s="61" t="s">
        <v>53</v>
      </c>
      <c r="Q11" s="61">
        <v>2</v>
      </c>
      <c r="S11" s="61"/>
      <c r="T11" s="64"/>
      <c r="U11" s="64"/>
    </row>
    <row r="12" spans="1:21" ht="42.75" customHeight="1" thickBot="1" x14ac:dyDescent="0.4">
      <c r="A12" s="101"/>
      <c r="B12" s="130"/>
      <c r="C12" s="101"/>
      <c r="D12" s="131"/>
      <c r="E12" s="143"/>
      <c r="F12" s="101"/>
      <c r="G12" s="101"/>
      <c r="J12" s="63" t="str">
        <f>'new drop down lookup'!E11</f>
        <v>13 - Fine grade = 3.1429</v>
      </c>
      <c r="K12" s="63" t="str">
        <f>'new drop down lookup'!L11</f>
        <v>16 - Fine grade = 2.9286</v>
      </c>
      <c r="L12" s="63" t="b">
        <f>J12='new drop down lookup'!E11</f>
        <v>1</v>
      </c>
      <c r="M12" s="63" t="b">
        <f>K12='new drop down lookup'!L11</f>
        <v>1</v>
      </c>
      <c r="N12" s="63" t="s">
        <v>35</v>
      </c>
      <c r="O12" s="63" t="s">
        <v>10</v>
      </c>
      <c r="P12" s="63" t="s">
        <v>10</v>
      </c>
      <c r="Q12" s="63" t="s">
        <v>10</v>
      </c>
      <c r="R12" s="277"/>
      <c r="S12" s="63"/>
      <c r="T12" s="64"/>
      <c r="U12" s="64"/>
    </row>
    <row r="13" spans="1:21" ht="15" customHeight="1" x14ac:dyDescent="0.35">
      <c r="A13" s="101"/>
      <c r="B13" s="346" t="s">
        <v>46</v>
      </c>
      <c r="C13" s="348"/>
      <c r="D13" s="131"/>
      <c r="E13" s="96" t="str">
        <f>IF(E11=J3,"-",IF(ISNUMBER((VLOOKUP($E$11,'new drop down lookup'!$E$3:$F$48,2,FALSE))),VLOOKUP($E$11,'new drop down lookup'!$E$3:$F$48,2,FALSE),VLOOKUP($E$11,'new drop down lookup'!$E$3:$F$48,2,FALSE)))</f>
        <v>-</v>
      </c>
      <c r="F13" s="101"/>
      <c r="G13" s="96" t="str">
        <f>IF(G11=K3,"-",IF(ISNUMBER((VLOOKUP($G$11,'new drop down lookup'!$L$3:$M$95,2,FALSE))),(VLOOKUP($G$11,'new drop down lookup'!$L$3:$M$95,2,FALSE)),VLOOKUP($G$11,'new drop down lookup'!$L$3:$M$95,2,FALSE)))</f>
        <v>-</v>
      </c>
      <c r="J13" s="63" t="str">
        <f>'new drop down lookup'!E12</f>
        <v>14 - Fine grade = 3.2857</v>
      </c>
      <c r="K13" s="63" t="str">
        <f>'new drop down lookup'!L12</f>
        <v>17 - Fine grade = 2.9643</v>
      </c>
      <c r="L13" s="63" t="b">
        <f>J13='new drop down lookup'!E12</f>
        <v>1</v>
      </c>
      <c r="M13" s="63" t="b">
        <f>K13='new drop down lookup'!L12</f>
        <v>1</v>
      </c>
      <c r="N13" s="63" t="s">
        <v>55</v>
      </c>
      <c r="O13" s="63">
        <v>0.5</v>
      </c>
      <c r="P13" s="63">
        <v>0.5</v>
      </c>
      <c r="Q13" s="63">
        <v>0.5</v>
      </c>
      <c r="R13" s="277"/>
      <c r="S13" s="63"/>
      <c r="T13" s="64"/>
      <c r="U13" s="64"/>
    </row>
    <row r="14" spans="1:21" ht="15" customHeight="1" thickBot="1" x14ac:dyDescent="0.4">
      <c r="A14" s="101"/>
      <c r="B14" s="133" t="s">
        <v>150</v>
      </c>
      <c r="C14" s="115"/>
      <c r="D14" s="131"/>
      <c r="E14" s="97" t="str">
        <f>IF(E11=J3,"-",IF(VLOOKUP($E$11,'new drop down lookup'!$E$3:$G$48,3,FALSE)="-","-"," TEST LEVEL "&amp;VLOOKUP($E$11,'new drop down lookup'!$E$3:$G$48,3,FALSE)))</f>
        <v>-</v>
      </c>
      <c r="F14" s="101"/>
      <c r="G14" s="97" t="str">
        <f>IF(G11=K3,"-",IF(VLOOKUP($G$11,'new drop down lookup'!$L$3:$N$95,3,FALSE)="-","-"," TEST LEVEL "&amp;VLOOKUP($G$11,'new drop down lookup'!$L$3:$N$95,3,FALSE)))</f>
        <v>-</v>
      </c>
      <c r="J14" s="63" t="str">
        <f>'new drop down lookup'!E13</f>
        <v>15 - Fine grade = 3.4286</v>
      </c>
      <c r="K14" s="63" t="str">
        <f>'new drop down lookup'!L13</f>
        <v>18 - Fine grade = 3</v>
      </c>
      <c r="L14" s="63" t="b">
        <f>J14='new drop down lookup'!E13</f>
        <v>1</v>
      </c>
      <c r="M14" s="63" t="b">
        <f>K14='new drop down lookup'!L13</f>
        <v>1</v>
      </c>
      <c r="N14" s="63" t="s">
        <v>1</v>
      </c>
      <c r="O14" s="63">
        <v>1.5</v>
      </c>
      <c r="P14" s="63">
        <v>1.5</v>
      </c>
      <c r="Q14" s="63">
        <v>1.5</v>
      </c>
      <c r="R14" s="277"/>
      <c r="S14" s="63"/>
      <c r="T14" s="64"/>
      <c r="U14" s="64"/>
    </row>
    <row r="15" spans="1:21" ht="12.75" customHeight="1" x14ac:dyDescent="0.35">
      <c r="A15" s="101"/>
      <c r="B15" s="130"/>
      <c r="C15" s="101"/>
      <c r="D15" s="131"/>
      <c r="E15" s="101"/>
      <c r="F15" s="101"/>
      <c r="G15" s="101"/>
      <c r="J15" s="63" t="str">
        <f>'new drop down lookup'!E14</f>
        <v>16 - Fine grade = 3.5714</v>
      </c>
      <c r="K15" s="63" t="str">
        <f>'new drop down lookup'!L14</f>
        <v>19 - Fine grade = 3.0357</v>
      </c>
      <c r="L15" s="63" t="b">
        <f>J15='new drop down lookup'!E14</f>
        <v>1</v>
      </c>
      <c r="M15" s="63" t="b">
        <f>K15='new drop down lookup'!L14</f>
        <v>1</v>
      </c>
      <c r="N15" s="63" t="s">
        <v>2</v>
      </c>
      <c r="O15" s="63">
        <v>2.5</v>
      </c>
      <c r="P15" s="63">
        <v>2.5</v>
      </c>
      <c r="Q15" s="63">
        <v>2.5</v>
      </c>
      <c r="R15" s="277"/>
      <c r="S15" s="63"/>
      <c r="T15" s="64"/>
      <c r="U15" s="64"/>
    </row>
    <row r="16" spans="1:21" ht="38.65" x14ac:dyDescent="0.35">
      <c r="A16" s="101"/>
      <c r="B16" s="101"/>
      <c r="C16" s="101"/>
      <c r="D16" s="131"/>
      <c r="E16" s="136" t="s">
        <v>141</v>
      </c>
      <c r="F16" s="101"/>
      <c r="G16" s="136" t="s">
        <v>39</v>
      </c>
      <c r="J16" s="63" t="str">
        <f>'new drop down lookup'!E15</f>
        <v>17 - Fine grade = 3.7143</v>
      </c>
      <c r="K16" s="63" t="str">
        <f>'new drop down lookup'!L15</f>
        <v>20 - Fine grade = 3.0714</v>
      </c>
      <c r="L16" s="63" t="b">
        <f>J16='new drop down lookup'!E15</f>
        <v>1</v>
      </c>
      <c r="M16" s="63" t="b">
        <f>K16='new drop down lookup'!L15</f>
        <v>1</v>
      </c>
      <c r="N16" s="63" t="s">
        <v>3</v>
      </c>
      <c r="O16" s="63">
        <v>3.5</v>
      </c>
      <c r="P16" s="63">
        <v>2.5</v>
      </c>
      <c r="Q16" s="317" t="s">
        <v>26</v>
      </c>
      <c r="R16" s="278"/>
      <c r="S16" s="61"/>
      <c r="T16" s="64"/>
      <c r="U16" s="64"/>
    </row>
    <row r="17" spans="1:21" ht="12.75" customHeight="1" thickBot="1" x14ac:dyDescent="0.4">
      <c r="A17" s="101"/>
      <c r="B17" s="128"/>
      <c r="C17" s="101"/>
      <c r="D17" s="101"/>
      <c r="J17" s="63" t="str">
        <f>'new drop down lookup'!E16</f>
        <v>18 - Fine grade = 3.8571</v>
      </c>
      <c r="K17" s="63" t="str">
        <f>'new drop down lookup'!L16</f>
        <v>21 - Fine grade = 3.1071</v>
      </c>
      <c r="L17" s="63" t="b">
        <f>J17='new drop down lookup'!E16</f>
        <v>1</v>
      </c>
      <c r="M17" s="63" t="b">
        <f>K17='new drop down lookup'!L16</f>
        <v>1</v>
      </c>
      <c r="N17" s="63" t="s">
        <v>4</v>
      </c>
      <c r="O17" s="63">
        <v>4.5</v>
      </c>
      <c r="P17" s="63">
        <v>2.5</v>
      </c>
      <c r="Q17" s="317" t="s">
        <v>26</v>
      </c>
      <c r="R17" s="278"/>
      <c r="S17" s="61"/>
      <c r="T17" s="64"/>
      <c r="U17" s="64"/>
    </row>
    <row r="18" spans="1:21" ht="29.25" customHeight="1" thickBot="1" x14ac:dyDescent="0.5">
      <c r="A18" s="101"/>
      <c r="B18" s="359" t="s">
        <v>47</v>
      </c>
      <c r="C18" s="360"/>
      <c r="D18" s="101"/>
      <c r="E18" s="30" t="s">
        <v>54</v>
      </c>
      <c r="G18" s="29" t="s">
        <v>54</v>
      </c>
      <c r="J18" s="63" t="str">
        <f>'new drop down lookup'!E17</f>
        <v>19 - Fine grade = 4</v>
      </c>
      <c r="K18" s="63" t="str">
        <f>'new drop down lookup'!L17</f>
        <v>22 - Fine grade = 3.1429</v>
      </c>
      <c r="L18" s="63" t="b">
        <f>J18='new drop down lookup'!E17</f>
        <v>1</v>
      </c>
      <c r="M18" s="63" t="b">
        <f>K18='new drop down lookup'!L17</f>
        <v>1</v>
      </c>
      <c r="N18" s="63" t="s">
        <v>5</v>
      </c>
      <c r="O18" s="63">
        <v>5.5</v>
      </c>
      <c r="P18" s="63">
        <v>2.5</v>
      </c>
      <c r="Q18" s="317" t="s">
        <v>26</v>
      </c>
      <c r="R18" s="278"/>
      <c r="S18" s="61"/>
      <c r="T18" s="64"/>
      <c r="U18" s="64"/>
    </row>
    <row r="19" spans="1:21" ht="43.5" customHeight="1" thickBot="1" x14ac:dyDescent="0.4">
      <c r="A19" s="101"/>
      <c r="B19" s="134" t="s">
        <v>48</v>
      </c>
      <c r="C19" s="130"/>
      <c r="D19" s="131"/>
      <c r="E19" s="93"/>
      <c r="J19" s="63" t="str">
        <f>'new drop down lookup'!E18</f>
        <v>20 - Fine grade = 4.0769</v>
      </c>
      <c r="K19" s="63" t="str">
        <f>'new drop down lookup'!L18</f>
        <v>23 - Fine grade = 3.1786</v>
      </c>
      <c r="L19" s="63" t="b">
        <f>J19='new drop down lookup'!E18</f>
        <v>1</v>
      </c>
      <c r="M19" s="63" t="b">
        <f>K19='new drop down lookup'!L18</f>
        <v>1</v>
      </c>
      <c r="N19" s="63" t="s">
        <v>6</v>
      </c>
      <c r="O19" s="63">
        <v>5.5</v>
      </c>
      <c r="P19" s="63">
        <v>2.5</v>
      </c>
      <c r="Q19" s="317" t="s">
        <v>26</v>
      </c>
      <c r="R19" s="278"/>
      <c r="S19" s="61"/>
      <c r="T19" s="64"/>
      <c r="U19" s="64"/>
    </row>
    <row r="20" spans="1:21" ht="27" customHeight="1" thickBot="1" x14ac:dyDescent="0.4">
      <c r="A20" s="101"/>
      <c r="B20" s="346" t="s">
        <v>151</v>
      </c>
      <c r="C20" s="348"/>
      <c r="D20" s="131"/>
      <c r="E20" s="98" t="str">
        <f>IF(E18=N11,"-",IF(OR($E$11="B - Working below level of test",$E$11="N - Not awarded test level"),VLOOKUP($E$18,$N$12:$P$19,3,FALSE),IF(VLOOKUP($E$11,'new drop down lookup'!$E$3:$G$48,3,FALSE)=2,VLOOKUP($E$18,$N$12:$Q$19,4,FALSE),VLOOKUP($E$18,$N$12:$O$19,2,FALSE))))</f>
        <v>-</v>
      </c>
      <c r="G20" s="98" t="str">
        <f>IF(G18=N11,"-",IF(OR($G$11="B - Working below level of test",$G$11="N - Not awarded test level"),VLOOKUP($G$18,$N$12:$P$19,3,FALSE),IF(VLOOKUP($G$11,'new drop down lookup'!$L$3:$N$95,3,FALSE)=2,VLOOKUP($G$18,$N$12:$Q$19,4,FALSE),VLOOKUP($G$18,$N$12:$O$19,2,FALSE))))</f>
        <v>-</v>
      </c>
      <c r="J20" s="63" t="str">
        <f>'new drop down lookup'!E19</f>
        <v>21 - Fine grade = 4.1538</v>
      </c>
      <c r="K20" s="63" t="str">
        <f>'new drop down lookup'!L19</f>
        <v>24 - Fine grade = 3.2143</v>
      </c>
      <c r="L20" s="63" t="b">
        <f>J20='new drop down lookup'!E19</f>
        <v>1</v>
      </c>
      <c r="M20" s="63" t="b">
        <f>K20='new drop down lookup'!L19</f>
        <v>1</v>
      </c>
      <c r="N20" s="61"/>
      <c r="O20" s="61"/>
      <c r="P20" s="61"/>
      <c r="Q20" s="61"/>
      <c r="R20" s="278"/>
      <c r="S20" s="61"/>
      <c r="T20" s="64"/>
      <c r="U20" s="64"/>
    </row>
    <row r="21" spans="1:21" ht="26.25" customHeight="1" x14ac:dyDescent="0.35">
      <c r="A21" s="101"/>
      <c r="B21" s="101"/>
      <c r="C21" s="130"/>
      <c r="D21" s="131"/>
      <c r="E21" s="99" t="str">
        <f>IF(AND(OR(E11="B - Working below level of test",E11="N - Not awarded test level"),OR(E18="LEVEL 3",E18="LEVEL 4",E18="LEVEL 5",E18="LEVEL 6")),"CAPPED TO 2.5 POINTS","")</f>
        <v/>
      </c>
      <c r="F21" s="101"/>
      <c r="G21" s="99" t="str">
        <f>IF(AND(OR(G11="B - Working below level of test",G11="N - Not awarded test level"),OR(G18="LEVEL 3",G18="LEVEL 4",G18="LEVEL 5",G18="LEVEL 6")),"CAPPED TO 2.5 POINTS","")</f>
        <v/>
      </c>
      <c r="J21" s="63" t="str">
        <f>'new drop down lookup'!E20</f>
        <v>22 - Fine grade = 4.2308</v>
      </c>
      <c r="K21" s="63" t="str">
        <f>'new drop down lookup'!L20</f>
        <v>25 - Fine grade = 3.25</v>
      </c>
      <c r="L21" s="63" t="b">
        <f>J21='new drop down lookup'!E20</f>
        <v>1</v>
      </c>
      <c r="M21" s="63" t="b">
        <f>K21='new drop down lookup'!L20</f>
        <v>1</v>
      </c>
      <c r="N21" s="61"/>
      <c r="O21" s="61"/>
      <c r="P21" s="61"/>
      <c r="Q21" s="61"/>
      <c r="S21" s="61"/>
      <c r="T21" s="64"/>
      <c r="U21" s="64"/>
    </row>
    <row r="22" spans="1:21" ht="2.25" customHeight="1" x14ac:dyDescent="0.35">
      <c r="A22" s="101"/>
      <c r="B22" s="101"/>
      <c r="C22" s="130"/>
      <c r="D22" s="131"/>
      <c r="E22" s="143"/>
      <c r="F22" s="101"/>
      <c r="G22" s="101"/>
      <c r="J22" s="63" t="str">
        <f>'new drop down lookup'!E21</f>
        <v>23 - Fine grade = 4.3077</v>
      </c>
      <c r="K22" s="63" t="str">
        <f>'new drop down lookup'!L21</f>
        <v>26 - Fine grade = 3.2857</v>
      </c>
      <c r="L22" s="63" t="b">
        <f>J22='new drop down lookup'!E21</f>
        <v>1</v>
      </c>
      <c r="M22" s="63" t="b">
        <f>K22='new drop down lookup'!L21</f>
        <v>1</v>
      </c>
      <c r="N22" s="61"/>
      <c r="O22" s="61"/>
      <c r="P22" s="61"/>
      <c r="Q22" s="61"/>
      <c r="S22" s="61"/>
      <c r="T22" s="64"/>
      <c r="U22" s="64"/>
    </row>
    <row r="23" spans="1:21" ht="2.25" customHeight="1" x14ac:dyDescent="0.35">
      <c r="A23" s="101"/>
      <c r="B23" s="101"/>
      <c r="C23" s="130"/>
      <c r="D23" s="131"/>
      <c r="E23" s="101"/>
      <c r="F23" s="101"/>
      <c r="G23" s="101"/>
      <c r="J23" s="63" t="str">
        <f>'new drop down lookup'!E22</f>
        <v>24 - Fine grade = 4.3846</v>
      </c>
      <c r="K23" s="63" t="str">
        <f>'new drop down lookup'!L22</f>
        <v>27 - Fine grade = 3.3214</v>
      </c>
      <c r="L23" s="63" t="b">
        <f>J23='new drop down lookup'!E22</f>
        <v>1</v>
      </c>
      <c r="M23" s="63" t="b">
        <f>K23='new drop down lookup'!L22</f>
        <v>1</v>
      </c>
      <c r="N23" s="61"/>
      <c r="O23" s="61"/>
      <c r="P23" s="61"/>
      <c r="Q23" s="61"/>
      <c r="S23" s="61"/>
      <c r="T23" s="64"/>
      <c r="U23" s="64"/>
    </row>
    <row r="24" spans="1:21" ht="38.65" x14ac:dyDescent="0.35">
      <c r="A24" s="101"/>
      <c r="B24" s="101"/>
      <c r="C24" s="130"/>
      <c r="D24" s="131"/>
      <c r="E24" s="136" t="s">
        <v>142</v>
      </c>
      <c r="F24" s="101"/>
      <c r="G24" s="136" t="s">
        <v>38</v>
      </c>
      <c r="J24" s="63" t="str">
        <f>'new drop down lookup'!E23</f>
        <v>25 - Fine grade = 4.4615</v>
      </c>
      <c r="K24" s="63" t="str">
        <f>'new drop down lookup'!L23</f>
        <v>28 - Fine grade = 3.3571</v>
      </c>
      <c r="L24" s="63" t="b">
        <f>J24='new drop down lookup'!E23</f>
        <v>1</v>
      </c>
      <c r="M24" s="63" t="b">
        <f>K24='new drop down lookup'!L23</f>
        <v>1</v>
      </c>
      <c r="N24" s="61"/>
      <c r="O24" s="61"/>
      <c r="P24" s="61"/>
      <c r="Q24" s="61"/>
      <c r="S24" s="61"/>
      <c r="T24" s="64"/>
      <c r="U24" s="64"/>
    </row>
    <row r="25" spans="1:21" ht="10.5" customHeight="1" thickBot="1" x14ac:dyDescent="0.4">
      <c r="A25" s="101"/>
      <c r="B25" s="101"/>
      <c r="C25" s="130"/>
      <c r="D25" s="131"/>
      <c r="E25" s="101"/>
      <c r="F25" s="101"/>
      <c r="G25" s="101"/>
      <c r="J25" s="63" t="str">
        <f>'new drop down lookup'!E24</f>
        <v>26 - Fine grade = 4.5385</v>
      </c>
      <c r="K25" s="63" t="str">
        <f>'new drop down lookup'!L24</f>
        <v>29 - Fine grade = 3.3929</v>
      </c>
      <c r="L25" s="63" t="b">
        <f>J25='new drop down lookup'!E24</f>
        <v>1</v>
      </c>
      <c r="M25" s="63" t="b">
        <f>K25='new drop down lookup'!L24</f>
        <v>1</v>
      </c>
      <c r="N25" s="61"/>
      <c r="O25" s="61"/>
      <c r="P25" s="61"/>
      <c r="Q25" s="61"/>
      <c r="S25" s="61"/>
      <c r="T25" s="64"/>
      <c r="U25" s="64"/>
    </row>
    <row r="26" spans="1:21" ht="26.25" customHeight="1" thickBot="1" x14ac:dyDescent="0.4">
      <c r="A26" s="101"/>
      <c r="B26" s="346" t="s">
        <v>49</v>
      </c>
      <c r="C26" s="348"/>
      <c r="D26" s="135"/>
      <c r="E26" s="98" t="str">
        <f>IF(ISNUMBER(IF(OR(AND(ISNUMBER($E$13),VLOOKUP($E$11,'new drop down lookup'!$E$3:$G$48,3,FALSE)&lt;&gt;2),$E$20=$Q$16),$E$13,$E$20)),IF(OR(AND(ISNUMBER($E$13),VLOOKUP($E$11,'new drop down lookup'!$E$3:$G$48,3,FALSE)&lt;&gt;2),$E$20=$Q$16),$E$13,$E$20),"-")</f>
        <v>-</v>
      </c>
      <c r="F26" s="101"/>
      <c r="G26" s="98" t="str">
        <f>IF(ISNUMBER(IF(OR(AND(ISNUMBER($G$13),VLOOKUP($G$11,'new drop down lookup'!$L$3:$N$95,3,FALSE)&lt;&gt;2),$G$20=$Q$16),$G$13,$G$20)),IF(OR(AND(ISNUMBER($G$13),VLOOKUP($G$11,'new drop down lookup'!$L$3:$N$95,3,FALSE)&lt;&gt;2),$G$20=$Q$16),$G$13,$G$20),"-")</f>
        <v>-</v>
      </c>
      <c r="J26" s="63" t="str">
        <f>'new drop down lookup'!E25</f>
        <v>27 - Fine grade = 4.6154</v>
      </c>
      <c r="K26" s="63" t="str">
        <f>'new drop down lookup'!L25</f>
        <v>30 - Fine grade = 3.4286</v>
      </c>
      <c r="L26" s="63" t="b">
        <f>J26='new drop down lookup'!E25</f>
        <v>1</v>
      </c>
      <c r="M26" s="63" t="b">
        <f>K26='new drop down lookup'!L25</f>
        <v>1</v>
      </c>
      <c r="N26" s="61"/>
      <c r="O26" s="61"/>
      <c r="P26" s="61"/>
      <c r="Q26" s="61"/>
      <c r="S26" s="61"/>
      <c r="T26" s="64"/>
      <c r="U26" s="64"/>
    </row>
    <row r="27" spans="1:21" x14ac:dyDescent="0.35">
      <c r="A27" s="101"/>
      <c r="B27" s="101"/>
      <c r="C27" s="130"/>
      <c r="D27" s="131"/>
      <c r="E27" s="101"/>
      <c r="F27" s="101"/>
      <c r="G27" s="101"/>
      <c r="J27" s="63" t="str">
        <f>'new drop down lookup'!E26</f>
        <v>28 - Fine grade = 4.6923</v>
      </c>
      <c r="K27" s="63" t="str">
        <f>'new drop down lookup'!L26</f>
        <v>31 - Fine grade = 3.4643</v>
      </c>
      <c r="L27" s="63" t="b">
        <f>J27='new drop down lookup'!E26</f>
        <v>1</v>
      </c>
      <c r="M27" s="63" t="b">
        <f>K27='new drop down lookup'!L26</f>
        <v>1</v>
      </c>
      <c r="N27" s="61"/>
      <c r="O27" s="61"/>
      <c r="P27" s="61"/>
      <c r="Q27" s="61"/>
      <c r="S27" s="61"/>
      <c r="T27" s="64"/>
      <c r="U27" s="64"/>
    </row>
    <row r="28" spans="1:21" x14ac:dyDescent="0.35">
      <c r="A28" s="101"/>
      <c r="B28" s="101"/>
      <c r="C28" s="128"/>
      <c r="D28" s="101"/>
      <c r="E28" s="101"/>
      <c r="F28" s="101"/>
      <c r="G28" s="101"/>
      <c r="J28" s="63" t="str">
        <f>'new drop down lookup'!E27</f>
        <v>29 - Fine grade = 4.7692</v>
      </c>
      <c r="K28" s="63" t="str">
        <f>'new drop down lookup'!L27</f>
        <v>32 - Fine grade = 3.5</v>
      </c>
      <c r="L28" s="63" t="b">
        <f>J28='new drop down lookup'!E27</f>
        <v>1</v>
      </c>
      <c r="M28" s="63" t="b">
        <f>K28='new drop down lookup'!L27</f>
        <v>1</v>
      </c>
      <c r="N28" s="61"/>
      <c r="O28" s="61"/>
      <c r="P28" s="61"/>
      <c r="Q28" s="61"/>
      <c r="S28" s="61"/>
      <c r="T28" s="64"/>
      <c r="U28" s="64"/>
    </row>
    <row r="29" spans="1:21" ht="6.75" customHeight="1" thickBot="1" x14ac:dyDescent="0.4">
      <c r="A29" s="101"/>
      <c r="B29" s="101"/>
      <c r="C29" s="128"/>
      <c r="D29" s="101"/>
      <c r="E29" s="101"/>
      <c r="F29" s="101"/>
      <c r="G29" s="101"/>
      <c r="J29" s="63" t="str">
        <f>'new drop down lookup'!E28</f>
        <v>30 - Fine grade = 4.8462</v>
      </c>
      <c r="K29" s="63" t="str">
        <f>'new drop down lookup'!L28</f>
        <v>33 - Fine grade = 3.5357</v>
      </c>
      <c r="L29" s="63" t="b">
        <f>J29='new drop down lookup'!E28</f>
        <v>1</v>
      </c>
      <c r="M29" s="63" t="b">
        <f>K29='new drop down lookup'!L28</f>
        <v>1</v>
      </c>
      <c r="N29" s="61"/>
      <c r="O29" s="61"/>
      <c r="P29" s="61"/>
      <c r="Q29" s="61"/>
      <c r="S29" s="61"/>
      <c r="T29" s="64"/>
      <c r="U29" s="64"/>
    </row>
    <row r="30" spans="1:21" ht="27" customHeight="1" x14ac:dyDescent="0.35">
      <c r="A30" s="101"/>
      <c r="B30" s="101"/>
      <c r="C30" s="101"/>
      <c r="D30" s="101"/>
      <c r="E30" s="101"/>
      <c r="F30" s="101"/>
      <c r="G30" s="101"/>
      <c r="H30" s="352" t="s">
        <v>77</v>
      </c>
      <c r="J30" s="63" t="str">
        <f>'new drop down lookup'!E29</f>
        <v>31 - Fine grade = 4.9231</v>
      </c>
      <c r="K30" s="63" t="str">
        <f>'new drop down lookup'!L29</f>
        <v>34 - Fine grade = 3.5714</v>
      </c>
      <c r="L30" s="63" t="b">
        <f>J30='new drop down lookup'!E29</f>
        <v>1</v>
      </c>
      <c r="M30" s="63" t="b">
        <f>K30='new drop down lookup'!L29</f>
        <v>1</v>
      </c>
      <c r="N30" s="61"/>
      <c r="O30" s="61"/>
      <c r="P30" s="61"/>
      <c r="Q30" s="61"/>
      <c r="S30" s="61"/>
      <c r="T30" s="64"/>
      <c r="U30" s="64"/>
    </row>
    <row r="31" spans="1:21" ht="8.25" customHeight="1" thickBot="1" x14ac:dyDescent="0.4">
      <c r="A31" s="101"/>
      <c r="B31" s="101"/>
      <c r="C31" s="101"/>
      <c r="D31" s="130"/>
      <c r="E31" s="136"/>
      <c r="F31" s="136"/>
      <c r="G31" s="136"/>
      <c r="H31" s="353"/>
      <c r="J31" s="63" t="str">
        <f>'new drop down lookup'!E30</f>
        <v>32 - Fine grade = 5</v>
      </c>
      <c r="K31" s="63" t="str">
        <f>'new drop down lookup'!L30</f>
        <v>35 - Fine grade = 3.6071</v>
      </c>
      <c r="L31" s="63" t="b">
        <f>J31='new drop down lookup'!E30</f>
        <v>1</v>
      </c>
      <c r="M31" s="63" t="b">
        <f>K31='new drop down lookup'!L30</f>
        <v>1</v>
      </c>
      <c r="N31" s="61"/>
      <c r="O31" s="61"/>
      <c r="P31" s="61"/>
      <c r="Q31" s="61"/>
      <c r="S31" s="61"/>
      <c r="T31" s="64"/>
    </row>
    <row r="32" spans="1:21" ht="34.5" customHeight="1" thickBot="1" x14ac:dyDescent="0.4">
      <c r="A32" s="101"/>
      <c r="B32" s="346" t="s">
        <v>143</v>
      </c>
      <c r="C32" s="348"/>
      <c r="D32" s="130"/>
      <c r="E32" s="221" t="str">
        <f>IF(F32="-", "Pupil","")</f>
        <v>Pupil</v>
      </c>
      <c r="F32" s="219" t="str">
        <f>IF(ISNUMBER((AVERAGE(E26,G26))),AVERAGE(E26,G26),"-")</f>
        <v>-</v>
      </c>
      <c r="G32" s="221" t="str">
        <f>IF(F32="-", "Excluded","")</f>
        <v>Excluded</v>
      </c>
      <c r="H32" s="354"/>
      <c r="J32" s="63" t="str">
        <f>'new drop down lookup'!E31</f>
        <v>33 - Fine grade = 5.0526</v>
      </c>
      <c r="K32" s="63" t="str">
        <f>'new drop down lookup'!L31</f>
        <v>36 - Fine grade = 3.6429</v>
      </c>
      <c r="L32" s="63" t="b">
        <f>J32='new drop down lookup'!E31</f>
        <v>1</v>
      </c>
      <c r="M32" s="63" t="b">
        <f>K32='new drop down lookup'!L31</f>
        <v>1</v>
      </c>
      <c r="N32" s="61"/>
      <c r="O32" s="61"/>
      <c r="P32" s="61"/>
      <c r="Q32" s="61"/>
      <c r="S32" s="61"/>
      <c r="T32" s="64"/>
    </row>
    <row r="33" spans="1:20" ht="9" customHeight="1" thickBot="1" x14ac:dyDescent="0.4">
      <c r="A33" s="101"/>
      <c r="B33" s="101"/>
      <c r="C33" s="101"/>
      <c r="D33" s="101"/>
      <c r="E33" s="101"/>
      <c r="F33" s="101"/>
      <c r="G33" s="101"/>
      <c r="H33" s="94"/>
      <c r="J33" s="63" t="str">
        <f>'new drop down lookup'!E32</f>
        <v>34 - Fine grade = 5.1053</v>
      </c>
      <c r="K33" s="63" t="str">
        <f>'new drop down lookup'!L32</f>
        <v>37 - Fine grade = 3.6786</v>
      </c>
      <c r="L33" s="63" t="b">
        <f>J33='new drop down lookup'!E32</f>
        <v>1</v>
      </c>
      <c r="M33" s="63" t="b">
        <f>K33='new drop down lookup'!L32</f>
        <v>1</v>
      </c>
      <c r="N33" s="61"/>
      <c r="O33" s="61"/>
      <c r="P33" s="61"/>
      <c r="Q33" s="61"/>
      <c r="S33" s="61"/>
      <c r="T33" s="64"/>
    </row>
    <row r="34" spans="1:20" ht="29.25" customHeight="1" thickBot="1" x14ac:dyDescent="0.4">
      <c r="A34" s="101"/>
      <c r="B34" s="101"/>
      <c r="C34" s="101"/>
      <c r="D34" s="101"/>
      <c r="E34" s="101"/>
      <c r="F34" s="101"/>
      <c r="G34" s="101"/>
      <c r="H34" s="349" t="s">
        <v>92</v>
      </c>
      <c r="J34" s="63" t="str">
        <f>'new drop down lookup'!E33</f>
        <v>35 - Fine grade = 5.1579</v>
      </c>
      <c r="K34" s="63" t="str">
        <f>'new drop down lookup'!L33</f>
        <v>38 - Fine grade = 3.7143</v>
      </c>
      <c r="L34" s="63" t="b">
        <f>J34='new drop down lookup'!E33</f>
        <v>1</v>
      </c>
      <c r="M34" s="63" t="b">
        <f>K34='new drop down lookup'!L33</f>
        <v>1</v>
      </c>
      <c r="N34" s="61"/>
      <c r="O34" s="61"/>
      <c r="P34" s="61"/>
      <c r="Q34" s="61"/>
      <c r="S34" s="61"/>
      <c r="T34" s="64"/>
    </row>
    <row r="35" spans="1:20" ht="39.4" customHeight="1" thickBot="1" x14ac:dyDescent="0.4">
      <c r="A35" s="101"/>
      <c r="B35" s="346" t="s">
        <v>51</v>
      </c>
      <c r="C35" s="347"/>
      <c r="D35" s="137"/>
      <c r="E35" s="101"/>
      <c r="F35" s="149" t="str">
        <f>IF(ISNUMBER(IF(ROUND(('Key stage 2 Data Input'!F32),1)&lt;=1.5,1.5,IF(AND(1.5&lt;ROUND(('Key stage 2 Data Input'!F32),1),ROUND(('Key stage 2 Data Input'!F32),1)&lt;=2),2,IF(AND(2&lt;ROUND(('Key stage 2 Data Input'!F32),1),ROUND(('Key stage 2 Data Input'!F32),1)&lt;=2.5),2.5,IF(AND(2.5&lt;ROUND(('Key stage 2 Data Input'!F32),1),ROUND(('Key stage 2 Data Input'!F32),1)&lt;=2.8),2.8,IF(ROUND(('Key stage 2 Data Input'!F32),1)&gt;=5.8,5.8,ROUND(('Key stage 2 Data Input'!F32),1))))))),IF(ROUND(('Key stage 2 Data Input'!F32),1)&lt;=1.5,1.5,IF(AND(1.5&lt;ROUND(('Key stage 2 Data Input'!F32),1),ROUND(('Key stage 2 Data Input'!F32),1)&lt;=2),2,IF(AND(2&lt;ROUND(('Key stage 2 Data Input'!F32),1),ROUND(('Key stage 2 Data Input'!F32),1)&lt;=2.5),2.5,IF(AND(2.5&lt;ROUND(('Key stage 2 Data Input'!F32),1),ROUND(('Key stage 2 Data Input'!F32),1)&lt;=2.8),2.8,IF(ROUND(('Key stage 2 Data Input'!F32),1)&gt;=5.8,5.8,ROUND(('Key stage 2 Data Input'!F32),1)))))),"-")</f>
        <v>-</v>
      </c>
      <c r="G35" s="101"/>
      <c r="H35" s="350"/>
      <c r="J35" s="63" t="str">
        <f>'new drop down lookup'!E34</f>
        <v>36 - Fine grade = 5.2105</v>
      </c>
      <c r="K35" s="63" t="str">
        <f>'new drop down lookup'!L34</f>
        <v>39 - Fine grade = 3.75</v>
      </c>
      <c r="L35" s="63" t="b">
        <f>J35='new drop down lookup'!E34</f>
        <v>1</v>
      </c>
      <c r="M35" s="63" t="b">
        <f>K35='new drop down lookup'!L34</f>
        <v>1</v>
      </c>
      <c r="N35" s="61"/>
      <c r="O35" s="61"/>
      <c r="P35" s="61"/>
      <c r="Q35" s="61"/>
      <c r="S35" s="61"/>
      <c r="T35" s="64"/>
    </row>
    <row r="36" spans="1:20" ht="13.15" thickBot="1" x14ac:dyDescent="0.4">
      <c r="A36" s="101"/>
      <c r="H36" s="351"/>
      <c r="J36" s="63" t="str">
        <f>'new drop down lookup'!E35</f>
        <v>37 - Fine grade = 5.2632</v>
      </c>
      <c r="K36" s="63" t="str">
        <f>'new drop down lookup'!L35</f>
        <v>40 - Fine grade = 3.7857</v>
      </c>
      <c r="L36" s="63" t="b">
        <f>J36='new drop down lookup'!E35</f>
        <v>1</v>
      </c>
      <c r="M36" s="63" t="b">
        <f>K36='new drop down lookup'!L35</f>
        <v>1</v>
      </c>
      <c r="N36" s="61"/>
      <c r="O36" s="61"/>
      <c r="P36" s="61"/>
      <c r="Q36" s="61"/>
      <c r="S36" s="61"/>
      <c r="T36" s="64"/>
    </row>
    <row r="37" spans="1:20" ht="27" customHeight="1" x14ac:dyDescent="0.35">
      <c r="A37" s="101"/>
      <c r="H37" s="95"/>
      <c r="J37" s="63" t="str">
        <f>'new drop down lookup'!E36</f>
        <v>38 - Fine grade = 5.3158</v>
      </c>
      <c r="K37" s="63" t="str">
        <f>'new drop down lookup'!L36</f>
        <v>41 - Fine grade = 3.8214</v>
      </c>
      <c r="L37" s="63" t="b">
        <f>J37='new drop down lookup'!E36</f>
        <v>1</v>
      </c>
      <c r="M37" s="63" t="b">
        <f>K37='new drop down lookup'!L36</f>
        <v>1</v>
      </c>
      <c r="N37" s="61"/>
      <c r="O37" s="61"/>
      <c r="P37" s="61"/>
      <c r="Q37" s="61"/>
      <c r="S37" s="61"/>
      <c r="T37" s="64"/>
    </row>
    <row r="38" spans="1:20" x14ac:dyDescent="0.35">
      <c r="J38" s="63" t="str">
        <f>'new drop down lookup'!E37</f>
        <v>39 - Fine grade = 5.3684</v>
      </c>
      <c r="K38" s="63" t="str">
        <f>'new drop down lookup'!L37</f>
        <v>42 - Fine grade = 3.8571</v>
      </c>
      <c r="L38" s="63" t="b">
        <f>J38='new drop down lookup'!E37</f>
        <v>1</v>
      </c>
      <c r="M38" s="63" t="b">
        <f>K38='new drop down lookup'!L37</f>
        <v>1</v>
      </c>
      <c r="N38" s="61"/>
      <c r="O38" s="61"/>
      <c r="P38" s="61"/>
      <c r="Q38" s="61"/>
      <c r="S38" s="61"/>
      <c r="T38" s="64"/>
    </row>
    <row r="39" spans="1:20" x14ac:dyDescent="0.35">
      <c r="J39" s="63" t="str">
        <f>'new drop down lookup'!E38</f>
        <v>40 - Fine grade = 5.4211</v>
      </c>
      <c r="K39" s="63" t="str">
        <f>'new drop down lookup'!L38</f>
        <v>43 - Fine grade = 3.8929</v>
      </c>
      <c r="L39" s="63" t="b">
        <f>J39='new drop down lookup'!E38</f>
        <v>1</v>
      </c>
      <c r="M39" s="63" t="b">
        <f>K39='new drop down lookup'!L38</f>
        <v>1</v>
      </c>
      <c r="N39" s="61"/>
      <c r="O39" s="61"/>
      <c r="P39" s="61"/>
      <c r="Q39" s="61"/>
      <c r="S39" s="61"/>
      <c r="T39" s="64"/>
    </row>
    <row r="40" spans="1:20" x14ac:dyDescent="0.35">
      <c r="J40" s="63" t="str">
        <f>'new drop down lookup'!E39</f>
        <v>41 - Fine grade = 5.4737</v>
      </c>
      <c r="K40" s="63" t="str">
        <f>'new drop down lookup'!L39</f>
        <v>44 - Fine grade = 3.9286</v>
      </c>
      <c r="L40" s="63" t="b">
        <f>J40='new drop down lookup'!E39</f>
        <v>1</v>
      </c>
      <c r="M40" s="63" t="b">
        <f>K40='new drop down lookup'!L39</f>
        <v>1</v>
      </c>
      <c r="N40" s="61"/>
      <c r="O40" s="61"/>
      <c r="P40" s="61"/>
      <c r="Q40" s="61"/>
      <c r="S40" s="61"/>
      <c r="T40" s="64"/>
    </row>
    <row r="41" spans="1:20" x14ac:dyDescent="0.35">
      <c r="J41" s="63" t="str">
        <f>'new drop down lookup'!E40</f>
        <v>42 - Fine grade = 5.5263</v>
      </c>
      <c r="K41" s="63" t="str">
        <f>'new drop down lookup'!L40</f>
        <v>45 - Fine grade = 3.9643</v>
      </c>
      <c r="L41" s="63" t="b">
        <f>J41='new drop down lookup'!E40</f>
        <v>1</v>
      </c>
      <c r="M41" s="63" t="b">
        <f>K41='new drop down lookup'!L40</f>
        <v>1</v>
      </c>
      <c r="N41" s="61"/>
      <c r="O41" s="61"/>
      <c r="P41" s="61"/>
      <c r="Q41" s="61"/>
      <c r="S41" s="61"/>
      <c r="T41" s="64"/>
    </row>
    <row r="42" spans="1:20" x14ac:dyDescent="0.35">
      <c r="J42" s="63" t="str">
        <f>'new drop down lookup'!E41</f>
        <v>43 - Fine grade = 5.5789</v>
      </c>
      <c r="K42" s="63" t="str">
        <f>'new drop down lookup'!L41</f>
        <v>46 - Fine grade = 4</v>
      </c>
      <c r="L42" s="63" t="b">
        <f>J42='new drop down lookup'!E41</f>
        <v>1</v>
      </c>
      <c r="M42" s="63" t="b">
        <f>K42='new drop down lookup'!L41</f>
        <v>1</v>
      </c>
      <c r="N42" s="61"/>
      <c r="O42" s="61"/>
      <c r="P42" s="61"/>
      <c r="Q42" s="61"/>
      <c r="S42" s="61"/>
      <c r="T42" s="64"/>
    </row>
    <row r="43" spans="1:20" x14ac:dyDescent="0.35">
      <c r="J43" s="63" t="str">
        <f>'new drop down lookup'!E42</f>
        <v>44 - Fine grade = 5.6316</v>
      </c>
      <c r="K43" s="63" t="str">
        <f>'new drop down lookup'!L42</f>
        <v>47 - Fine grade = 4.0303</v>
      </c>
      <c r="L43" s="63" t="b">
        <f>J43='new drop down lookup'!E42</f>
        <v>1</v>
      </c>
      <c r="M43" s="63" t="b">
        <f>K43='new drop down lookup'!L42</f>
        <v>1</v>
      </c>
      <c r="N43" s="61"/>
      <c r="O43" s="61"/>
      <c r="P43" s="61"/>
      <c r="Q43" s="61"/>
      <c r="S43" s="61"/>
      <c r="T43" s="64"/>
    </row>
    <row r="44" spans="1:20" x14ac:dyDescent="0.35">
      <c r="J44" s="63" t="str">
        <f>'new drop down lookup'!E43</f>
        <v>45 - Fine grade = 5.6842</v>
      </c>
      <c r="K44" s="63" t="str">
        <f>'new drop down lookup'!L43</f>
        <v>48 - Fine grade = 4.0606</v>
      </c>
      <c r="L44" s="63" t="b">
        <f>J44='new drop down lookup'!E43</f>
        <v>1</v>
      </c>
      <c r="M44" s="63" t="b">
        <f>K44='new drop down lookup'!L43</f>
        <v>1</v>
      </c>
      <c r="N44" s="61"/>
      <c r="O44" s="61"/>
      <c r="P44" s="61"/>
      <c r="Q44" s="61"/>
      <c r="S44" s="61"/>
      <c r="T44" s="64"/>
    </row>
    <row r="45" spans="1:20" x14ac:dyDescent="0.35">
      <c r="J45" s="63" t="str">
        <f>'new drop down lookup'!E44</f>
        <v>46 - Fine grade = 5.7368</v>
      </c>
      <c r="K45" s="63" t="str">
        <f>'new drop down lookup'!L44</f>
        <v>49 - Fine grade = 4.0909</v>
      </c>
      <c r="L45" s="63" t="b">
        <f>J45='new drop down lookup'!E44</f>
        <v>1</v>
      </c>
      <c r="M45" s="63" t="b">
        <f>K45='new drop down lookup'!L44</f>
        <v>1</v>
      </c>
      <c r="N45" s="61"/>
      <c r="O45" s="61"/>
      <c r="P45" s="61"/>
      <c r="Q45" s="61"/>
      <c r="S45" s="61"/>
      <c r="T45" s="64"/>
    </row>
    <row r="46" spans="1:20" x14ac:dyDescent="0.35">
      <c r="J46" s="63" t="str">
        <f>'new drop down lookup'!E45</f>
        <v>47 - Fine grade = 5.7895</v>
      </c>
      <c r="K46" s="63" t="str">
        <f>'new drop down lookup'!L45</f>
        <v>50 - Fine grade = 4.1212</v>
      </c>
      <c r="L46" s="63" t="b">
        <f>J46='new drop down lookup'!E45</f>
        <v>1</v>
      </c>
      <c r="M46" s="63" t="b">
        <f>K46='new drop down lookup'!L45</f>
        <v>1</v>
      </c>
      <c r="N46" s="61"/>
      <c r="O46" s="61"/>
      <c r="P46" s="61"/>
      <c r="Q46" s="61"/>
      <c r="S46" s="61"/>
      <c r="T46" s="64"/>
    </row>
    <row r="47" spans="1:20" x14ac:dyDescent="0.35">
      <c r="J47" s="63" t="str">
        <f>'new drop down lookup'!E46</f>
        <v>48 - Fine grade = 5.8421</v>
      </c>
      <c r="K47" s="63" t="str">
        <f>'new drop down lookup'!L46</f>
        <v>51 - Fine grade = 4.1515</v>
      </c>
      <c r="L47" s="63" t="b">
        <f>J47='new drop down lookup'!E46</f>
        <v>1</v>
      </c>
      <c r="M47" s="63" t="b">
        <f>K47='new drop down lookup'!L46</f>
        <v>1</v>
      </c>
      <c r="N47" s="61"/>
      <c r="O47" s="61"/>
      <c r="P47" s="61"/>
      <c r="Q47" s="61"/>
      <c r="S47" s="61"/>
      <c r="T47" s="64"/>
    </row>
    <row r="48" spans="1:20" x14ac:dyDescent="0.35">
      <c r="J48" s="63" t="str">
        <f>'new drop down lookup'!E47</f>
        <v>49 - Fine grade = 5.8947</v>
      </c>
      <c r="K48" s="63" t="str">
        <f>'new drop down lookup'!L47</f>
        <v>52 - Fine grade = 4.1818</v>
      </c>
      <c r="L48" s="63" t="b">
        <f>J48='new drop down lookup'!E47</f>
        <v>1</v>
      </c>
      <c r="M48" s="63" t="b">
        <f>K48='new drop down lookup'!L47</f>
        <v>1</v>
      </c>
      <c r="N48" s="61"/>
      <c r="O48" s="61"/>
      <c r="P48" s="61"/>
      <c r="Q48" s="61"/>
      <c r="S48" s="61"/>
      <c r="T48" s="64"/>
    </row>
    <row r="49" spans="10:20" x14ac:dyDescent="0.35">
      <c r="J49" s="63" t="str">
        <f>'new drop down lookup'!E48</f>
        <v>50 - Fine grade = 5.9474</v>
      </c>
      <c r="K49" s="63" t="str">
        <f>'new drop down lookup'!L48</f>
        <v>53 - Fine grade = 4.2121</v>
      </c>
      <c r="L49" s="63" t="b">
        <f>J49='new drop down lookup'!E48</f>
        <v>1</v>
      </c>
      <c r="M49" s="63" t="b">
        <f>K49='new drop down lookup'!L48</f>
        <v>1</v>
      </c>
      <c r="N49" s="61"/>
      <c r="O49" s="61"/>
      <c r="P49" s="61"/>
      <c r="Q49" s="61"/>
      <c r="S49" s="61"/>
      <c r="T49" s="64"/>
    </row>
    <row r="50" spans="10:20" x14ac:dyDescent="0.35">
      <c r="J50" s="61"/>
      <c r="K50" s="63" t="str">
        <f>'new drop down lookup'!L49</f>
        <v>54 - Fine grade = 4.2424</v>
      </c>
      <c r="L50" s="63"/>
      <c r="M50" s="63" t="b">
        <f>K50='new drop down lookup'!L49</f>
        <v>1</v>
      </c>
      <c r="N50" s="61"/>
      <c r="O50" s="61"/>
      <c r="P50" s="61"/>
      <c r="Q50" s="61"/>
      <c r="S50" s="61"/>
      <c r="T50" s="64"/>
    </row>
    <row r="51" spans="10:20" x14ac:dyDescent="0.35">
      <c r="J51" s="63"/>
      <c r="K51" s="63" t="str">
        <f>'new drop down lookup'!L50</f>
        <v>55 - Fine grade = 4.2727</v>
      </c>
      <c r="L51" s="63"/>
      <c r="M51" s="63" t="b">
        <f>K51='new drop down lookup'!L50</f>
        <v>1</v>
      </c>
      <c r="N51" s="61"/>
      <c r="O51" s="61"/>
      <c r="P51" s="61"/>
      <c r="Q51" s="61"/>
      <c r="S51" s="61"/>
      <c r="T51" s="64"/>
    </row>
    <row r="52" spans="10:20" x14ac:dyDescent="0.35">
      <c r="J52" s="63"/>
      <c r="K52" s="63" t="str">
        <f>'new drop down lookup'!L51</f>
        <v>56 - Fine grade = 4.303</v>
      </c>
      <c r="L52" s="63"/>
      <c r="M52" s="63" t="b">
        <f>K52='new drop down lookup'!L51</f>
        <v>1</v>
      </c>
      <c r="N52" s="61"/>
      <c r="O52" s="61"/>
      <c r="P52" s="61"/>
      <c r="Q52" s="61"/>
      <c r="S52" s="61"/>
      <c r="T52" s="64"/>
    </row>
    <row r="53" spans="10:20" x14ac:dyDescent="0.35">
      <c r="J53" s="63"/>
      <c r="K53" s="63" t="str">
        <f>'new drop down lookup'!L52</f>
        <v>57 - Fine grade = 4.3333</v>
      </c>
      <c r="L53" s="63"/>
      <c r="M53" s="63" t="b">
        <f>K53='new drop down lookup'!L52</f>
        <v>1</v>
      </c>
      <c r="N53" s="61"/>
      <c r="O53" s="61"/>
      <c r="P53" s="61"/>
      <c r="Q53" s="61"/>
      <c r="S53" s="61"/>
      <c r="T53" s="64"/>
    </row>
    <row r="54" spans="10:20" x14ac:dyDescent="0.35">
      <c r="J54" s="63"/>
      <c r="K54" s="63" t="str">
        <f>'new drop down lookup'!L53</f>
        <v>58 - Fine grade = 4.3636</v>
      </c>
      <c r="L54" s="63"/>
      <c r="M54" s="63" t="b">
        <f>K54='new drop down lookup'!L53</f>
        <v>1</v>
      </c>
      <c r="N54" s="61"/>
      <c r="O54" s="61"/>
      <c r="P54" s="61"/>
      <c r="Q54" s="61"/>
      <c r="S54" s="61"/>
      <c r="T54" s="64"/>
    </row>
    <row r="55" spans="10:20" x14ac:dyDescent="0.35">
      <c r="J55" s="63"/>
      <c r="K55" s="63" t="str">
        <f>'new drop down lookup'!L54</f>
        <v>59 - Fine grade = 4.3939</v>
      </c>
      <c r="L55" s="63"/>
      <c r="M55" s="63" t="b">
        <f>K55='new drop down lookup'!L54</f>
        <v>1</v>
      </c>
      <c r="N55" s="61"/>
      <c r="O55" s="61"/>
      <c r="P55" s="61"/>
      <c r="Q55" s="61"/>
      <c r="S55" s="61"/>
      <c r="T55" s="64"/>
    </row>
    <row r="56" spans="10:20" x14ac:dyDescent="0.35">
      <c r="J56" s="63"/>
      <c r="K56" s="63" t="str">
        <f>'new drop down lookup'!L55</f>
        <v>60 - Fine grade = 4.4242</v>
      </c>
      <c r="L56" s="63"/>
      <c r="M56" s="63" t="b">
        <f>K56='new drop down lookup'!L55</f>
        <v>1</v>
      </c>
      <c r="N56" s="61"/>
      <c r="O56" s="61"/>
      <c r="P56" s="61"/>
      <c r="Q56" s="61"/>
      <c r="S56" s="61"/>
      <c r="T56" s="64"/>
    </row>
    <row r="57" spans="10:20" x14ac:dyDescent="0.35">
      <c r="J57" s="63"/>
      <c r="K57" s="63" t="str">
        <f>'new drop down lookup'!L56</f>
        <v>61 - Fine grade = 4.4545</v>
      </c>
      <c r="L57" s="63"/>
      <c r="M57" s="63" t="b">
        <f>K57='new drop down lookup'!L56</f>
        <v>1</v>
      </c>
      <c r="N57" s="61"/>
      <c r="O57" s="61"/>
      <c r="P57" s="61"/>
      <c r="Q57" s="61"/>
      <c r="S57" s="61"/>
      <c r="T57" s="64"/>
    </row>
    <row r="58" spans="10:20" x14ac:dyDescent="0.35">
      <c r="J58" s="63"/>
      <c r="K58" s="63" t="str">
        <f>'new drop down lookup'!L57</f>
        <v>62 - Fine grade = 4.4848</v>
      </c>
      <c r="L58" s="63"/>
      <c r="M58" s="63" t="b">
        <f>K58='new drop down lookup'!L57</f>
        <v>1</v>
      </c>
      <c r="N58" s="61"/>
      <c r="O58" s="61"/>
      <c r="P58" s="61"/>
      <c r="Q58" s="61"/>
      <c r="S58" s="61"/>
      <c r="T58" s="64"/>
    </row>
    <row r="59" spans="10:20" x14ac:dyDescent="0.35">
      <c r="J59" s="63"/>
      <c r="K59" s="63" t="str">
        <f>'new drop down lookup'!L58</f>
        <v>63 - Fine grade = 4.5152</v>
      </c>
      <c r="L59" s="63"/>
      <c r="M59" s="63" t="b">
        <f>K59='new drop down lookup'!L58</f>
        <v>1</v>
      </c>
      <c r="N59" s="61"/>
      <c r="O59" s="61"/>
      <c r="P59" s="61"/>
      <c r="Q59" s="61"/>
      <c r="S59" s="61"/>
      <c r="T59" s="64"/>
    </row>
    <row r="60" spans="10:20" x14ac:dyDescent="0.35">
      <c r="J60" s="63"/>
      <c r="K60" s="63" t="str">
        <f>'new drop down lookup'!L59</f>
        <v>64 - Fine grade = 4.5455</v>
      </c>
      <c r="L60" s="63"/>
      <c r="M60" s="63" t="b">
        <f>K60='new drop down lookup'!L59</f>
        <v>1</v>
      </c>
      <c r="N60" s="61"/>
      <c r="O60" s="61"/>
      <c r="P60" s="61"/>
      <c r="Q60" s="61"/>
      <c r="S60" s="61"/>
      <c r="T60" s="64"/>
    </row>
    <row r="61" spans="10:20" x14ac:dyDescent="0.35">
      <c r="J61" s="63"/>
      <c r="K61" s="63" t="str">
        <f>'new drop down lookup'!L60</f>
        <v>65 - Fine grade = 4.5758</v>
      </c>
      <c r="L61" s="63"/>
      <c r="M61" s="63" t="b">
        <f>K61='new drop down lookup'!L60</f>
        <v>1</v>
      </c>
      <c r="N61" s="61"/>
      <c r="O61" s="61"/>
      <c r="P61" s="61"/>
      <c r="Q61" s="61"/>
      <c r="S61" s="61"/>
      <c r="T61" s="64"/>
    </row>
    <row r="62" spans="10:20" x14ac:dyDescent="0.35">
      <c r="J62" s="63"/>
      <c r="K62" s="63" t="str">
        <f>'new drop down lookup'!L61</f>
        <v>66 - Fine grade = 4.6061</v>
      </c>
      <c r="L62" s="63"/>
      <c r="M62" s="63" t="b">
        <f>K62='new drop down lookup'!L61</f>
        <v>1</v>
      </c>
      <c r="N62" s="61"/>
      <c r="O62" s="61"/>
      <c r="P62" s="61"/>
      <c r="Q62" s="61"/>
      <c r="S62" s="61"/>
      <c r="T62" s="64"/>
    </row>
    <row r="63" spans="10:20" x14ac:dyDescent="0.35">
      <c r="J63" s="63"/>
      <c r="K63" s="63" t="str">
        <f>'new drop down lookup'!L62</f>
        <v>67 - Fine grade = 4.6364</v>
      </c>
      <c r="L63" s="63"/>
      <c r="M63" s="63" t="b">
        <f>K63='new drop down lookup'!L62</f>
        <v>1</v>
      </c>
      <c r="N63" s="61"/>
      <c r="O63" s="61"/>
      <c r="P63" s="61"/>
      <c r="Q63" s="61"/>
      <c r="S63" s="61"/>
      <c r="T63" s="64"/>
    </row>
    <row r="64" spans="10:20" x14ac:dyDescent="0.35">
      <c r="J64" s="63"/>
      <c r="K64" s="63" t="str">
        <f>'new drop down lookup'!L63</f>
        <v>68 - Fine grade = 4.6667</v>
      </c>
      <c r="L64" s="63"/>
      <c r="M64" s="63" t="b">
        <f>K64='new drop down lookup'!L63</f>
        <v>1</v>
      </c>
      <c r="N64" s="61"/>
      <c r="O64" s="61"/>
      <c r="P64" s="61"/>
      <c r="Q64" s="61"/>
      <c r="S64" s="61"/>
      <c r="T64" s="64"/>
    </row>
    <row r="65" spans="10:20" x14ac:dyDescent="0.35">
      <c r="J65" s="63"/>
      <c r="K65" s="63" t="str">
        <f>'new drop down lookup'!L64</f>
        <v>69 - Fine grade = 4.697</v>
      </c>
      <c r="L65" s="63"/>
      <c r="M65" s="63" t="b">
        <f>K65='new drop down lookup'!L64</f>
        <v>1</v>
      </c>
      <c r="N65" s="61"/>
      <c r="O65" s="61"/>
      <c r="P65" s="61"/>
      <c r="Q65" s="61"/>
      <c r="S65" s="61"/>
      <c r="T65" s="64"/>
    </row>
    <row r="66" spans="10:20" x14ac:dyDescent="0.35">
      <c r="J66" s="63"/>
      <c r="K66" s="63" t="str">
        <f>'new drop down lookup'!L65</f>
        <v>70 - Fine grade = 4.7273</v>
      </c>
      <c r="L66" s="63"/>
      <c r="M66" s="63" t="b">
        <f>K66='new drop down lookup'!L65</f>
        <v>1</v>
      </c>
      <c r="N66" s="61"/>
      <c r="O66" s="61"/>
      <c r="P66" s="61"/>
      <c r="Q66" s="61"/>
      <c r="S66" s="61"/>
      <c r="T66" s="64"/>
    </row>
    <row r="67" spans="10:20" x14ac:dyDescent="0.35">
      <c r="J67" s="63"/>
      <c r="K67" s="63" t="str">
        <f>'new drop down lookup'!L66</f>
        <v>71 - Fine grade = 4.7576</v>
      </c>
      <c r="L67" s="63"/>
      <c r="M67" s="63" t="b">
        <f>K67='new drop down lookup'!L66</f>
        <v>1</v>
      </c>
      <c r="N67" s="61"/>
      <c r="O67" s="61"/>
      <c r="P67" s="61"/>
      <c r="Q67" s="61"/>
      <c r="S67" s="61"/>
      <c r="T67" s="64"/>
    </row>
    <row r="68" spans="10:20" x14ac:dyDescent="0.35">
      <c r="J68" s="63"/>
      <c r="K68" s="63" t="str">
        <f>'new drop down lookup'!L67</f>
        <v>72 - Fine grade = 4.7879</v>
      </c>
      <c r="L68" s="63"/>
      <c r="M68" s="63" t="b">
        <f>K68='new drop down lookup'!L67</f>
        <v>1</v>
      </c>
      <c r="N68" s="61"/>
      <c r="O68" s="61"/>
      <c r="P68" s="61"/>
      <c r="Q68" s="61"/>
      <c r="S68" s="61"/>
      <c r="T68" s="64"/>
    </row>
    <row r="69" spans="10:20" x14ac:dyDescent="0.35">
      <c r="J69" s="63"/>
      <c r="K69" s="63" t="str">
        <f>'new drop down lookup'!L68</f>
        <v>73 - Fine grade = 4.8182</v>
      </c>
      <c r="L69" s="63"/>
      <c r="M69" s="63" t="b">
        <f>K69='new drop down lookup'!L68</f>
        <v>1</v>
      </c>
      <c r="N69" s="61"/>
      <c r="O69" s="61"/>
      <c r="P69" s="61"/>
      <c r="Q69" s="61"/>
      <c r="S69" s="61"/>
      <c r="T69" s="64"/>
    </row>
    <row r="70" spans="10:20" x14ac:dyDescent="0.35">
      <c r="J70" s="63"/>
      <c r="K70" s="63" t="str">
        <f>'new drop down lookup'!L69</f>
        <v>74 - Fine grade = 4.8485</v>
      </c>
      <c r="L70" s="63"/>
      <c r="M70" s="63" t="b">
        <f>K70='new drop down lookup'!L69</f>
        <v>1</v>
      </c>
      <c r="N70" s="61"/>
      <c r="O70" s="61"/>
      <c r="P70" s="61"/>
      <c r="Q70" s="61"/>
      <c r="S70" s="61"/>
      <c r="T70" s="64"/>
    </row>
    <row r="71" spans="10:20" x14ac:dyDescent="0.35">
      <c r="J71" s="63"/>
      <c r="K71" s="63" t="str">
        <f>'new drop down lookup'!L70</f>
        <v>75 - Fine grade = 4.8788</v>
      </c>
      <c r="L71" s="63"/>
      <c r="M71" s="63" t="b">
        <f>K71='new drop down lookup'!L70</f>
        <v>1</v>
      </c>
      <c r="N71" s="61"/>
      <c r="O71" s="61"/>
      <c r="P71" s="61"/>
      <c r="Q71" s="61"/>
      <c r="S71" s="61"/>
      <c r="T71" s="64"/>
    </row>
    <row r="72" spans="10:20" x14ac:dyDescent="0.35">
      <c r="J72" s="63"/>
      <c r="K72" s="63" t="str">
        <f>'new drop down lookup'!L71</f>
        <v>76 - Fine grade = 4.9091</v>
      </c>
      <c r="L72" s="63"/>
      <c r="M72" s="63" t="b">
        <f>K72='new drop down lookup'!L71</f>
        <v>1</v>
      </c>
      <c r="N72" s="61"/>
      <c r="O72" s="61"/>
      <c r="P72" s="61"/>
      <c r="Q72" s="61"/>
      <c r="S72" s="61"/>
      <c r="T72" s="64"/>
    </row>
    <row r="73" spans="10:20" x14ac:dyDescent="0.35">
      <c r="J73" s="63"/>
      <c r="K73" s="63" t="str">
        <f>'new drop down lookup'!L72</f>
        <v>77 - Fine grade = 4.9394</v>
      </c>
      <c r="L73" s="63"/>
      <c r="M73" s="63" t="b">
        <f>K73='new drop down lookup'!L72</f>
        <v>1</v>
      </c>
      <c r="N73" s="61"/>
      <c r="O73" s="61"/>
      <c r="P73" s="61"/>
      <c r="Q73" s="61"/>
      <c r="S73" s="61"/>
      <c r="T73" s="64"/>
    </row>
    <row r="74" spans="10:20" x14ac:dyDescent="0.35">
      <c r="J74" s="63"/>
      <c r="K74" s="63" t="str">
        <f>'new drop down lookup'!L73</f>
        <v>78 - Fine grade = 4.9697</v>
      </c>
      <c r="L74" s="63"/>
      <c r="M74" s="63" t="b">
        <f>K74='new drop down lookup'!L73</f>
        <v>1</v>
      </c>
      <c r="N74" s="61"/>
      <c r="O74" s="61"/>
      <c r="P74" s="61"/>
      <c r="Q74" s="61"/>
      <c r="S74" s="61"/>
      <c r="T74" s="64"/>
    </row>
    <row r="75" spans="10:20" x14ac:dyDescent="0.35">
      <c r="J75" s="63"/>
      <c r="K75" s="63" t="str">
        <f>'new drop down lookup'!L74</f>
        <v>79 - Fine grade = 5</v>
      </c>
      <c r="L75" s="63"/>
      <c r="M75" s="63" t="b">
        <f>K75='new drop down lookup'!L74</f>
        <v>1</v>
      </c>
      <c r="N75" s="61"/>
      <c r="O75" s="61"/>
      <c r="P75" s="61"/>
      <c r="Q75" s="61"/>
      <c r="S75" s="61"/>
      <c r="T75" s="64"/>
    </row>
    <row r="76" spans="10:20" x14ac:dyDescent="0.35">
      <c r="J76" s="63"/>
      <c r="K76" s="63" t="str">
        <f>'new drop down lookup'!L75</f>
        <v>80 - Fine grade = 5.0455</v>
      </c>
      <c r="L76" s="63"/>
      <c r="M76" s="63" t="b">
        <f>K76='new drop down lookup'!L75</f>
        <v>1</v>
      </c>
      <c r="N76" s="61"/>
      <c r="O76" s="61"/>
      <c r="P76" s="61"/>
      <c r="Q76" s="61"/>
      <c r="S76" s="61"/>
      <c r="T76" s="64"/>
    </row>
    <row r="77" spans="10:20" x14ac:dyDescent="0.35">
      <c r="J77" s="63"/>
      <c r="K77" s="63" t="str">
        <f>'new drop down lookup'!L76</f>
        <v>81 - Fine grade = 5.0909</v>
      </c>
      <c r="L77" s="63"/>
      <c r="M77" s="63" t="b">
        <f>K77='new drop down lookup'!L76</f>
        <v>1</v>
      </c>
      <c r="N77" s="61"/>
      <c r="O77" s="61"/>
      <c r="P77" s="61"/>
      <c r="Q77" s="61"/>
      <c r="S77" s="61"/>
      <c r="T77" s="64"/>
    </row>
    <row r="78" spans="10:20" x14ac:dyDescent="0.35">
      <c r="J78" s="63"/>
      <c r="K78" s="63" t="str">
        <f>'new drop down lookup'!L77</f>
        <v>82 - Fine grade = 5.1364</v>
      </c>
      <c r="L78" s="63"/>
      <c r="M78" s="63" t="b">
        <f>K78='new drop down lookup'!L77</f>
        <v>1</v>
      </c>
      <c r="N78" s="61"/>
      <c r="O78" s="61"/>
      <c r="P78" s="61"/>
      <c r="Q78" s="61"/>
      <c r="S78" s="61"/>
      <c r="T78" s="64"/>
    </row>
    <row r="79" spans="10:20" x14ac:dyDescent="0.35">
      <c r="J79" s="63"/>
      <c r="K79" s="63" t="str">
        <f>'new drop down lookup'!L78</f>
        <v>83 - Fine grade = 5.1818</v>
      </c>
      <c r="L79" s="63"/>
      <c r="M79" s="63" t="b">
        <f>K79='new drop down lookup'!L78</f>
        <v>1</v>
      </c>
      <c r="N79" s="61"/>
      <c r="O79" s="61"/>
      <c r="P79" s="61"/>
      <c r="Q79" s="61"/>
      <c r="S79" s="61"/>
      <c r="T79" s="64"/>
    </row>
    <row r="80" spans="10:20" x14ac:dyDescent="0.35">
      <c r="J80" s="63"/>
      <c r="K80" s="63" t="str">
        <f>'new drop down lookup'!L79</f>
        <v>84 - Fine grade = 5.2273</v>
      </c>
      <c r="L80" s="63"/>
      <c r="M80" s="63" t="b">
        <f>K80='new drop down lookup'!L79</f>
        <v>1</v>
      </c>
      <c r="N80" s="61"/>
      <c r="O80" s="61"/>
      <c r="P80" s="61"/>
      <c r="Q80" s="61"/>
      <c r="S80" s="61"/>
      <c r="T80" s="64"/>
    </row>
    <row r="81" spans="10:20" x14ac:dyDescent="0.35">
      <c r="J81" s="63"/>
      <c r="K81" s="63" t="str">
        <f>'new drop down lookup'!L80</f>
        <v>85 - Fine grade = 5.2727</v>
      </c>
      <c r="L81" s="63"/>
      <c r="M81" s="63" t="b">
        <f>K81='new drop down lookup'!L80</f>
        <v>1</v>
      </c>
      <c r="N81" s="61"/>
      <c r="O81" s="61"/>
      <c r="P81" s="61"/>
      <c r="Q81" s="61"/>
      <c r="S81" s="61"/>
      <c r="T81" s="64"/>
    </row>
    <row r="82" spans="10:20" x14ac:dyDescent="0.35">
      <c r="J82" s="63"/>
      <c r="K82" s="63" t="str">
        <f>'new drop down lookup'!L81</f>
        <v>86 - Fine grade = 5.3182</v>
      </c>
      <c r="L82" s="63"/>
      <c r="M82" s="63" t="b">
        <f>K82='new drop down lookup'!L81</f>
        <v>1</v>
      </c>
      <c r="N82" s="61"/>
      <c r="O82" s="61"/>
      <c r="P82" s="61"/>
      <c r="Q82" s="61"/>
      <c r="S82" s="61"/>
      <c r="T82" s="64"/>
    </row>
    <row r="83" spans="10:20" x14ac:dyDescent="0.35">
      <c r="J83" s="63"/>
      <c r="K83" s="63" t="str">
        <f>'new drop down lookup'!L82</f>
        <v>87 - Fine grade = 5.3636</v>
      </c>
      <c r="L83" s="63"/>
      <c r="M83" s="63" t="b">
        <f>K83='new drop down lookup'!L82</f>
        <v>1</v>
      </c>
      <c r="N83" s="61"/>
      <c r="O83" s="61"/>
      <c r="P83" s="61"/>
      <c r="Q83" s="61"/>
      <c r="S83" s="61"/>
      <c r="T83" s="64"/>
    </row>
    <row r="84" spans="10:20" x14ac:dyDescent="0.35">
      <c r="J84" s="63"/>
      <c r="K84" s="63" t="str">
        <f>'new drop down lookup'!L83</f>
        <v>88 - Fine grade = 5.4091</v>
      </c>
      <c r="L84" s="63"/>
      <c r="M84" s="63" t="b">
        <f>K84='new drop down lookup'!L83</f>
        <v>1</v>
      </c>
      <c r="N84" s="61"/>
      <c r="O84" s="61"/>
      <c r="P84" s="61"/>
      <c r="Q84" s="61"/>
      <c r="S84" s="61"/>
      <c r="T84" s="64"/>
    </row>
    <row r="85" spans="10:20" x14ac:dyDescent="0.35">
      <c r="J85" s="63"/>
      <c r="K85" s="63" t="str">
        <f>'new drop down lookup'!L84</f>
        <v>89 - Fine grade = 5.4545</v>
      </c>
      <c r="L85" s="63"/>
      <c r="M85" s="63" t="b">
        <f>K85='new drop down lookup'!L84</f>
        <v>1</v>
      </c>
      <c r="N85" s="61"/>
      <c r="O85" s="61"/>
      <c r="P85" s="61"/>
      <c r="Q85" s="61"/>
      <c r="S85" s="61"/>
      <c r="T85" s="64"/>
    </row>
    <row r="86" spans="10:20" x14ac:dyDescent="0.35">
      <c r="J86" s="63"/>
      <c r="K86" s="63" t="str">
        <f>'new drop down lookup'!L85</f>
        <v>90 - Fine grade = 5.5</v>
      </c>
      <c r="L86" s="63"/>
      <c r="M86" s="63" t="b">
        <f>K86='new drop down lookup'!L85</f>
        <v>1</v>
      </c>
      <c r="N86" s="61"/>
      <c r="O86" s="61"/>
      <c r="P86" s="61"/>
      <c r="Q86" s="61"/>
      <c r="S86" s="61"/>
      <c r="T86" s="64"/>
    </row>
    <row r="87" spans="10:20" x14ac:dyDescent="0.35">
      <c r="J87" s="63"/>
      <c r="K87" s="63" t="str">
        <f>'new drop down lookup'!L86</f>
        <v>91 - Fine grade = 5.5455</v>
      </c>
      <c r="L87" s="63"/>
      <c r="M87" s="63" t="b">
        <f>K87='new drop down lookup'!L86</f>
        <v>1</v>
      </c>
      <c r="N87" s="61"/>
      <c r="O87" s="61"/>
      <c r="P87" s="61"/>
      <c r="Q87" s="61"/>
      <c r="S87" s="61"/>
      <c r="T87" s="64"/>
    </row>
    <row r="88" spans="10:20" x14ac:dyDescent="0.35">
      <c r="J88" s="63"/>
      <c r="K88" s="63" t="str">
        <f>'new drop down lookup'!L87</f>
        <v>92 - Fine grade = 5.5909</v>
      </c>
      <c r="L88" s="63"/>
      <c r="M88" s="63" t="b">
        <f>K88='new drop down lookup'!L87</f>
        <v>1</v>
      </c>
      <c r="N88" s="61"/>
      <c r="O88" s="61"/>
      <c r="P88" s="61"/>
      <c r="Q88" s="61"/>
      <c r="S88" s="61"/>
      <c r="T88" s="64"/>
    </row>
    <row r="89" spans="10:20" x14ac:dyDescent="0.35">
      <c r="J89" s="63"/>
      <c r="K89" s="63" t="str">
        <f>'new drop down lookup'!L88</f>
        <v>93 - Fine grade = 5.6364</v>
      </c>
      <c r="L89" s="63"/>
      <c r="M89" s="63" t="b">
        <f>K89='new drop down lookup'!L88</f>
        <v>1</v>
      </c>
      <c r="N89" s="61"/>
      <c r="O89" s="61"/>
      <c r="P89" s="61"/>
      <c r="Q89" s="61"/>
      <c r="S89" s="61"/>
      <c r="T89" s="64"/>
    </row>
    <row r="90" spans="10:20" x14ac:dyDescent="0.35">
      <c r="J90" s="63"/>
      <c r="K90" s="63" t="str">
        <f>'new drop down lookup'!L89</f>
        <v>94 - Fine grade = 5.6818</v>
      </c>
      <c r="L90" s="63"/>
      <c r="M90" s="63" t="b">
        <f>K90='new drop down lookup'!L89</f>
        <v>1</v>
      </c>
      <c r="N90" s="61"/>
      <c r="O90" s="61"/>
      <c r="P90" s="61"/>
      <c r="Q90" s="61"/>
      <c r="S90" s="61"/>
      <c r="T90" s="64"/>
    </row>
    <row r="91" spans="10:20" x14ac:dyDescent="0.35">
      <c r="J91" s="63"/>
      <c r="K91" s="63" t="str">
        <f>'new drop down lookup'!L90</f>
        <v>95 - Fine grade = 5.7273</v>
      </c>
      <c r="L91" s="63"/>
      <c r="M91" s="63" t="b">
        <f>K91='new drop down lookup'!L90</f>
        <v>1</v>
      </c>
      <c r="N91" s="61"/>
      <c r="O91" s="61"/>
      <c r="P91" s="61"/>
      <c r="Q91" s="61"/>
      <c r="S91" s="61"/>
      <c r="T91" s="64"/>
    </row>
    <row r="92" spans="10:20" x14ac:dyDescent="0.35">
      <c r="J92" s="63"/>
      <c r="K92" s="63" t="str">
        <f>'new drop down lookup'!L91</f>
        <v>96 - Fine grade = 5.7727</v>
      </c>
      <c r="L92" s="63"/>
      <c r="M92" s="63" t="b">
        <f>K92='new drop down lookup'!L91</f>
        <v>1</v>
      </c>
      <c r="N92" s="61"/>
      <c r="O92" s="61"/>
      <c r="P92" s="61"/>
      <c r="Q92" s="61"/>
      <c r="S92" s="61"/>
      <c r="T92" s="64"/>
    </row>
    <row r="93" spans="10:20" x14ac:dyDescent="0.35">
      <c r="J93" s="61"/>
      <c r="K93" s="63" t="str">
        <f>'new drop down lookup'!L92</f>
        <v>97 - Fine grade = 5.8182</v>
      </c>
      <c r="L93" s="63"/>
      <c r="M93" s="63" t="b">
        <f>K93='new drop down lookup'!L92</f>
        <v>1</v>
      </c>
      <c r="N93" s="61"/>
      <c r="O93" s="61"/>
      <c r="P93" s="61"/>
      <c r="Q93" s="61"/>
      <c r="S93" s="61"/>
      <c r="T93" s="64"/>
    </row>
    <row r="94" spans="10:20" x14ac:dyDescent="0.35">
      <c r="J94" s="61"/>
      <c r="K94" s="63" t="str">
        <f>'new drop down lookup'!L93</f>
        <v>98 - Fine grade = 5.8636</v>
      </c>
      <c r="L94" s="63"/>
      <c r="M94" s="63" t="b">
        <f>K94='new drop down lookup'!L93</f>
        <v>1</v>
      </c>
      <c r="N94" s="61"/>
      <c r="O94" s="61"/>
      <c r="P94" s="61"/>
      <c r="Q94" s="61"/>
      <c r="S94" s="61"/>
      <c r="T94" s="64"/>
    </row>
    <row r="95" spans="10:20" x14ac:dyDescent="0.35">
      <c r="J95" s="61"/>
      <c r="K95" s="63" t="str">
        <f>'new drop down lookup'!L94</f>
        <v>99 - Fine grade = 5.9091</v>
      </c>
      <c r="L95" s="63"/>
      <c r="M95" s="63" t="b">
        <f>K95='new drop down lookup'!L94</f>
        <v>1</v>
      </c>
      <c r="N95" s="61"/>
      <c r="O95" s="61"/>
      <c r="P95" s="61"/>
      <c r="Q95" s="61"/>
      <c r="S95" s="61"/>
      <c r="T95" s="64"/>
    </row>
    <row r="96" spans="10:20" x14ac:dyDescent="0.35">
      <c r="J96" s="61"/>
      <c r="K96" s="63" t="str">
        <f>'new drop down lookup'!L95</f>
        <v>100 - Fine grade = 5.9545</v>
      </c>
      <c r="L96" s="63"/>
      <c r="M96" s="63" t="b">
        <f>K96='new drop down lookup'!L95</f>
        <v>1</v>
      </c>
      <c r="N96" s="61"/>
      <c r="O96" s="61"/>
      <c r="P96" s="61"/>
      <c r="Q96" s="61"/>
      <c r="S96" s="61"/>
      <c r="T96" s="64"/>
    </row>
    <row r="97" spans="11:19" x14ac:dyDescent="0.35">
      <c r="K97" s="277"/>
      <c r="S97" s="61"/>
    </row>
  </sheetData>
  <sheetProtection algorithmName="SHA-512" hashValue="ylGi8XuCU++xRDuPVpe2AlFs7z30+g1V0b+fR2DrN339k7DgTp/QGT7CzlSi4zuDI+oNUzwD5+o4+YuXqOKjWQ==" saltValue="iOEmNi+4NxEyFy3iUkEu8A==" spinCount="100000" sheet="1" objects="1" scenarios="1" selectLockedCells="1"/>
  <mergeCells count="11">
    <mergeCell ref="B35:C35"/>
    <mergeCell ref="B32:C32"/>
    <mergeCell ref="H34:H36"/>
    <mergeCell ref="H30:H32"/>
    <mergeCell ref="B7:C7"/>
    <mergeCell ref="E7:G7"/>
    <mergeCell ref="B18:C18"/>
    <mergeCell ref="B20:C20"/>
    <mergeCell ref="B26:C26"/>
    <mergeCell ref="B11:C11"/>
    <mergeCell ref="B13:C13"/>
  </mergeCells>
  <phoneticPr fontId="4" type="noConversion"/>
  <conditionalFormatting sqref="E13:E14 G13:G14">
    <cfRule type="cellIs" dxfId="9" priority="3" stopIfTrue="1" operator="equal">
      <formula>"-"</formula>
    </cfRule>
  </conditionalFormatting>
  <conditionalFormatting sqref="E18">
    <cfRule type="expression" dxfId="8" priority="4" stopIfTrue="1">
      <formula>AND($E$11&gt;22,ISNUMBER($E$13))</formula>
    </cfRule>
  </conditionalFormatting>
  <conditionalFormatting sqref="G18">
    <cfRule type="expression" dxfId="7" priority="5" stopIfTrue="1">
      <formula>AND(AND($G$11&lt;&gt;$K$11,$G$11&lt;&gt;$K$12,$G$11&lt;&gt;$K$13),ISNUMBER($G$13))</formula>
    </cfRule>
  </conditionalFormatting>
  <conditionalFormatting sqref="G20">
    <cfRule type="expression" dxfId="6" priority="7" stopIfTrue="1">
      <formula>AND(AND($G$11&lt;&gt;$K$11,$G$11&lt;&gt;$K$12,$G$11&lt;&gt;$K$13),ISNUMBER($G$13))</formula>
    </cfRule>
    <cfRule type="cellIs" dxfId="5" priority="8" stopIfTrue="1" operator="equal">
      <formula>"-"</formula>
    </cfRule>
  </conditionalFormatting>
  <conditionalFormatting sqref="E20">
    <cfRule type="expression" dxfId="4" priority="11" stopIfTrue="1">
      <formula>AND($E$11&gt;22,ISNUMBER($E$13))</formula>
    </cfRule>
    <cfRule type="cellIs" dxfId="3" priority="12" stopIfTrue="1" operator="equal">
      <formula>"-"</formula>
    </cfRule>
  </conditionalFormatting>
  <conditionalFormatting sqref="L11:M96">
    <cfRule type="containsText" dxfId="2" priority="2" stopIfTrue="1" operator="containsText" text="FALSE">
      <formula>NOT(ISERROR(SEARCH("FALSE",L11)))</formula>
    </cfRule>
  </conditionalFormatting>
  <conditionalFormatting sqref="L11:M137">
    <cfRule type="containsText" dxfId="1" priority="1" operator="containsText" text="FALSE">
      <formula>NOT(ISERROR(SEARCH("FALSE",L11)))</formula>
    </cfRule>
  </conditionalFormatting>
  <dataValidations count="3">
    <dataValidation type="list" allowBlank="1" showInputMessage="1" showErrorMessage="1" sqref="G18 E18" xr:uid="{00000000-0002-0000-0400-000000000000}">
      <formula1>$N$11:$N$19</formula1>
    </dataValidation>
    <dataValidation type="list" allowBlank="1" showInputMessage="1" showErrorMessage="1" sqref="G11" xr:uid="{00000000-0002-0000-0400-000001000000}">
      <formula1>$K$3:$K$96</formula1>
    </dataValidation>
    <dataValidation type="list" allowBlank="1" showInputMessage="1" showErrorMessage="1" sqref="E11" xr:uid="{00000000-0002-0000-0400-000002000000}">
      <formula1>$J$3:$J$49</formula1>
    </dataValidation>
  </dataValidations>
  <hyperlinks>
    <hyperlink ref="H30:H32" location="'Single Measure Ready Reckoner'!A1" display="To Single Measure Ready Reckoner  ---&gt;" xr:uid="{00000000-0004-0000-0400-000000000000}"/>
    <hyperlink ref="H34:H36" location="'All Measures Ready Reckoner'!A1" display="To All Measures Ready Reckoner ---&gt;" xr:uid="{00000000-0004-0000-0400-000001000000}"/>
  </hyperlinks>
  <pageMargins left="0.75" right="0.75" top="1" bottom="1" header="0.5" footer="0.5"/>
  <pageSetup paperSize="9" scale="7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3366FF"/>
    <pageSetUpPr fitToPage="1"/>
  </sheetPr>
  <dimension ref="A1:AR484"/>
  <sheetViews>
    <sheetView showGridLines="0" showRowColHeaders="0" zoomScale="85" zoomScaleNormal="85" workbookViewId="0"/>
  </sheetViews>
  <sheetFormatPr defaultColWidth="9.1328125" defaultRowHeight="12.75" x14ac:dyDescent="0.35"/>
  <cols>
    <col min="1" max="1" width="2.1328125" style="60" customWidth="1"/>
    <col min="2" max="2" width="3" style="60" customWidth="1"/>
    <col min="3" max="3" width="75.59765625" style="60" customWidth="1"/>
    <col min="4" max="4" width="18" style="60" customWidth="1"/>
    <col min="5" max="5" width="4.265625" style="60" customWidth="1"/>
    <col min="6" max="6" width="16.73046875" style="60" customWidth="1"/>
    <col min="7" max="7" width="10.3984375" style="60" customWidth="1"/>
    <col min="8" max="8" width="14" style="60" customWidth="1"/>
    <col min="9" max="9" width="23.86328125" style="60" customWidth="1"/>
    <col min="10" max="10" width="7.1328125" style="60" customWidth="1"/>
    <col min="11" max="11" width="8.1328125" style="60" customWidth="1"/>
    <col min="12" max="12" width="8" style="60" customWidth="1"/>
    <col min="13" max="13" width="15.59765625" style="60" customWidth="1"/>
    <col min="14" max="15" width="15" style="60" customWidth="1"/>
    <col min="16" max="16" width="3.1328125" style="60" customWidth="1"/>
    <col min="17" max="17" width="3.73046875" style="60" customWidth="1"/>
    <col min="18" max="18" width="9.1328125" style="61"/>
    <col min="19" max="19" width="19.265625" style="61" customWidth="1"/>
    <col min="20" max="21" width="9.1328125" style="62"/>
    <col min="22" max="22" width="9.1328125" style="64"/>
    <col min="23" max="23" width="13.265625" style="61" customWidth="1"/>
    <col min="24" max="24" width="11.86328125" style="86" customWidth="1"/>
    <col min="25" max="25" width="9.1328125" style="61"/>
    <col min="26" max="26" width="9.1328125" style="88"/>
    <col min="27" max="27" width="9.1328125" style="89"/>
    <col min="28" max="28" width="3.3984375" style="272" customWidth="1"/>
    <col min="29" max="29" width="25.73046875" style="272" hidden="1" customWidth="1"/>
    <col min="30" max="30" width="3.3984375" style="272" customWidth="1"/>
    <col min="31" max="32" width="9.1328125" style="88" customWidth="1"/>
    <col min="33" max="33" width="9.1328125" style="272"/>
    <col min="34" max="34" width="20.59765625" style="272" hidden="1" customWidth="1"/>
    <col min="35" max="35" width="9.1328125" style="272" hidden="1" customWidth="1"/>
    <col min="36" max="36" width="11.265625" style="272" hidden="1" customWidth="1"/>
    <col min="37" max="37" width="9.1328125" style="272" hidden="1" customWidth="1"/>
    <col min="38" max="38" width="17.3984375" style="272" hidden="1" customWidth="1"/>
    <col min="39" max="39" width="17" style="272" hidden="1" customWidth="1"/>
    <col min="40" max="40" width="17.265625" style="272" hidden="1" customWidth="1"/>
    <col min="41" max="41" width="9.1328125" style="272"/>
    <col min="42" max="16384" width="9.1328125" style="60"/>
  </cols>
  <sheetData>
    <row r="1" spans="1:44" ht="17.25" customHeight="1" thickBot="1" x14ac:dyDescent="0.4">
      <c r="A1" s="59"/>
      <c r="V1" s="61"/>
      <c r="X1" s="63"/>
      <c r="Y1" s="64"/>
      <c r="Z1" s="64"/>
      <c r="AA1" s="65"/>
    </row>
    <row r="2" spans="1:44" ht="18" customHeight="1" thickBot="1" x14ac:dyDescent="0.65">
      <c r="B2" s="108" t="s">
        <v>86</v>
      </c>
      <c r="C2" s="101"/>
      <c r="D2" s="108"/>
      <c r="E2" s="108"/>
      <c r="F2" s="108"/>
      <c r="G2" s="108"/>
      <c r="H2" s="101"/>
      <c r="I2" s="101"/>
      <c r="K2" s="101"/>
      <c r="L2" s="101"/>
      <c r="M2" s="101"/>
      <c r="N2" s="388" t="s">
        <v>19</v>
      </c>
      <c r="O2" s="389"/>
      <c r="P2" s="156"/>
      <c r="W2" s="64"/>
      <c r="X2" s="211"/>
      <c r="Y2" s="64"/>
      <c r="Z2" s="64"/>
      <c r="AA2" s="65"/>
      <c r="AH2" s="319"/>
      <c r="AI2" s="319" t="s">
        <v>291</v>
      </c>
      <c r="AJ2" s="319"/>
      <c r="AK2" s="319"/>
      <c r="AL2" s="319"/>
      <c r="AM2" s="320"/>
      <c r="AN2" s="320"/>
    </row>
    <row r="3" spans="1:44" ht="15.75" customHeight="1" thickBot="1" x14ac:dyDescent="0.4">
      <c r="B3" s="101"/>
      <c r="C3" s="101"/>
      <c r="D3" s="101"/>
      <c r="E3" s="101"/>
      <c r="F3" s="101"/>
      <c r="G3" s="101"/>
      <c r="H3" s="101"/>
      <c r="I3" s="101"/>
      <c r="N3" s="403" t="s">
        <v>17</v>
      </c>
      <c r="O3" s="404"/>
      <c r="W3" s="64"/>
      <c r="X3" s="63"/>
      <c r="Y3" s="64"/>
      <c r="Z3" s="64"/>
      <c r="AA3" s="65"/>
      <c r="AH3" s="321" t="s">
        <v>295</v>
      </c>
      <c r="AI3" s="322" t="s">
        <v>292</v>
      </c>
      <c r="AJ3" s="322" t="s">
        <v>293</v>
      </c>
      <c r="AK3" s="322" t="s">
        <v>294</v>
      </c>
      <c r="AL3" s="323" t="s">
        <v>297</v>
      </c>
      <c r="AM3" s="324" t="s">
        <v>298</v>
      </c>
      <c r="AN3" s="324" t="s">
        <v>299</v>
      </c>
    </row>
    <row r="4" spans="1:44" ht="15.75" customHeight="1" thickBot="1" x14ac:dyDescent="0.45">
      <c r="B4" s="102" t="s">
        <v>78</v>
      </c>
      <c r="C4" s="109"/>
      <c r="D4" s="104"/>
      <c r="E4" s="101"/>
      <c r="F4" s="101"/>
      <c r="G4" s="101"/>
      <c r="H4" s="101"/>
      <c r="I4" s="101"/>
      <c r="K4" s="101"/>
      <c r="L4" s="101"/>
      <c r="M4" s="101"/>
      <c r="N4" s="409" t="s">
        <v>21</v>
      </c>
      <c r="O4" s="410"/>
      <c r="W4" s="64"/>
      <c r="X4" s="63"/>
      <c r="Y4" s="64"/>
      <c r="Z4" s="64"/>
      <c r="AA4" s="65"/>
      <c r="AH4" s="321" t="s">
        <v>272</v>
      </c>
      <c r="AI4" s="321">
        <v>0</v>
      </c>
      <c r="AJ4" s="321">
        <v>4.25</v>
      </c>
      <c r="AK4" s="321" t="str">
        <f>IF(AND('Key stage 2 Data Input'!F$35&gt;=AI4,'Key stage 2 Data Input'!F$35&lt;AJ4),"Y","-")</f>
        <v>-</v>
      </c>
      <c r="AL4" s="321"/>
      <c r="AM4" s="321"/>
      <c r="AN4" s="325"/>
    </row>
    <row r="5" spans="1:44" ht="15.75" customHeight="1" thickBot="1" x14ac:dyDescent="0.45">
      <c r="B5" s="102" t="s">
        <v>79</v>
      </c>
      <c r="C5" s="109"/>
      <c r="D5" s="101"/>
      <c r="E5" s="101"/>
      <c r="F5" s="101"/>
      <c r="G5" s="101"/>
      <c r="H5" s="101"/>
      <c r="I5" s="101"/>
      <c r="K5" s="101"/>
      <c r="L5" s="101"/>
      <c r="M5" s="101"/>
      <c r="N5" s="405" t="s">
        <v>16</v>
      </c>
      <c r="O5" s="406"/>
      <c r="W5" s="64"/>
      <c r="X5" s="63"/>
      <c r="Y5" s="64"/>
      <c r="Z5" s="64"/>
      <c r="AA5" s="65"/>
      <c r="AH5" s="321" t="s">
        <v>275</v>
      </c>
      <c r="AI5" s="321">
        <v>4.25</v>
      </c>
      <c r="AJ5" s="321">
        <v>4.3499999999999996</v>
      </c>
      <c r="AK5" s="321" t="str">
        <f>IF(AND('Key stage 2 Data Input'!F$35&gt;=AI5,'Key stage 2 Data Input'!F$35&lt;AJ5),"Y","-")</f>
        <v>-</v>
      </c>
      <c r="AL5" s="326">
        <f>'Model values'!C27</f>
        <v>34.200000000000003</v>
      </c>
      <c r="AM5" s="327">
        <f>'PAG Limits '!F11</f>
        <v>-3.5273278227724298</v>
      </c>
      <c r="AN5" s="327" t="str">
        <f>IF(ISNUMBER($G$28),IF($G$28&lt;$AM5,AM5,$G$28),"Pupil Excluded")</f>
        <v>Pupil Excluded</v>
      </c>
      <c r="AQ5" s="159"/>
      <c r="AR5" s="159"/>
    </row>
    <row r="6" spans="1:44" ht="15.75" customHeight="1" thickBot="1" x14ac:dyDescent="0.45">
      <c r="B6" s="66"/>
      <c r="K6" s="101"/>
      <c r="L6" s="101"/>
      <c r="M6" s="101"/>
      <c r="N6" s="407" t="s">
        <v>64</v>
      </c>
      <c r="O6" s="408"/>
      <c r="W6" s="64"/>
      <c r="X6" s="63"/>
      <c r="Y6" s="64"/>
      <c r="Z6" s="64"/>
      <c r="AA6" s="65"/>
      <c r="AH6" s="321" t="s">
        <v>276</v>
      </c>
      <c r="AI6" s="321">
        <v>4.3499999999999996</v>
      </c>
      <c r="AJ6" s="321">
        <v>4.4499999999999993</v>
      </c>
      <c r="AK6" s="321" t="str">
        <f>IF(AND('Key stage 2 Data Input'!F$35&gt;=AI6,'Key stage 2 Data Input'!F$35&lt;AJ6),"Y","-")</f>
        <v>-</v>
      </c>
      <c r="AL6" s="326">
        <f>'Model values'!C28</f>
        <v>36.020000000000003</v>
      </c>
      <c r="AM6" s="327">
        <f>'PAG Limits '!F12</f>
        <v>-3.5903245543201199</v>
      </c>
      <c r="AN6" s="327" t="str">
        <f t="shared" ref="AN6:AN20" si="0">IF(ISNUMBER($G$28),IF($G$28&lt;$AM6,AM6,$G$28),"Pupil Excluded")</f>
        <v>Pupil Excluded</v>
      </c>
      <c r="AQ6" s="159"/>
      <c r="AR6" s="159"/>
    </row>
    <row r="7" spans="1:44" ht="18.75" customHeight="1" x14ac:dyDescent="0.5">
      <c r="B7" s="111" t="s">
        <v>60</v>
      </c>
      <c r="C7" s="110"/>
      <c r="D7" s="71" t="s">
        <v>43</v>
      </c>
      <c r="E7" s="67"/>
      <c r="F7" s="67"/>
      <c r="G7" s="157"/>
      <c r="H7" s="157"/>
      <c r="I7" s="157"/>
      <c r="J7" s="67"/>
      <c r="K7" s="67"/>
      <c r="L7" s="67"/>
      <c r="M7" s="67"/>
      <c r="S7" s="68"/>
      <c r="W7" s="64"/>
      <c r="X7" s="63"/>
      <c r="Y7" s="64"/>
      <c r="Z7" s="64"/>
      <c r="AA7" s="65"/>
      <c r="AH7" s="321" t="s">
        <v>277</v>
      </c>
      <c r="AI7" s="321">
        <v>4.4499999999999993</v>
      </c>
      <c r="AJ7" s="321">
        <v>4.5499999999999989</v>
      </c>
      <c r="AK7" s="321" t="str">
        <f>IF(AND('Key stage 2 Data Input'!F$35&gt;=AI7,'Key stage 2 Data Input'!F$35&lt;AJ7),"Y","-")</f>
        <v>-</v>
      </c>
      <c r="AL7" s="326">
        <f>'Model values'!C29</f>
        <v>37.68</v>
      </c>
      <c r="AM7" s="327">
        <f>'PAG Limits '!F13</f>
        <v>-3.61057400003665</v>
      </c>
      <c r="AN7" s="327" t="str">
        <f t="shared" si="0"/>
        <v>Pupil Excluded</v>
      </c>
      <c r="AQ7" s="159"/>
      <c r="AR7" s="159"/>
    </row>
    <row r="8" spans="1:44" ht="6" customHeight="1" thickBot="1" x14ac:dyDescent="0.55000000000000004">
      <c r="B8" s="111"/>
      <c r="C8" s="110"/>
      <c r="D8" s="71"/>
      <c r="E8" s="67"/>
      <c r="F8" s="67"/>
      <c r="G8" s="157"/>
      <c r="H8" s="157"/>
      <c r="I8" s="157"/>
      <c r="J8" s="67"/>
      <c r="K8" s="67"/>
      <c r="L8" s="67"/>
      <c r="M8" s="67"/>
      <c r="P8" s="67"/>
      <c r="W8" s="64"/>
      <c r="X8" s="63"/>
      <c r="Y8" s="64"/>
      <c r="Z8" s="64"/>
      <c r="AA8" s="65"/>
      <c r="AC8" s="315" t="s">
        <v>54</v>
      </c>
      <c r="AH8" s="321" t="s">
        <v>278</v>
      </c>
      <c r="AI8" s="321">
        <v>4.5499999999999989</v>
      </c>
      <c r="AJ8" s="321">
        <v>4.6499999999999986</v>
      </c>
      <c r="AK8" s="321" t="str">
        <f>IF(AND('Key stage 2 Data Input'!F$35&gt;=AI8,'Key stage 2 Data Input'!F$35&lt;AJ8),"Y","-")</f>
        <v>-</v>
      </c>
      <c r="AL8" s="326">
        <f>'Model values'!C30</f>
        <v>39.76</v>
      </c>
      <c r="AM8" s="327">
        <f>'PAG Limits '!F14</f>
        <v>-3.64594521821319</v>
      </c>
      <c r="AN8" s="327" t="str">
        <f t="shared" si="0"/>
        <v>Pupil Excluded</v>
      </c>
      <c r="AQ8" s="159"/>
      <c r="AR8" s="159"/>
    </row>
    <row r="9" spans="1:44" ht="43.5" customHeight="1" thickBot="1" x14ac:dyDescent="0.45">
      <c r="B9" s="367" t="s">
        <v>63</v>
      </c>
      <c r="C9" s="367"/>
      <c r="D9" s="71"/>
      <c r="E9" s="67"/>
      <c r="F9" s="67"/>
      <c r="G9" s="390" t="s">
        <v>54</v>
      </c>
      <c r="H9" s="391"/>
      <c r="I9" s="392"/>
      <c r="J9" s="67"/>
      <c r="K9" s="67"/>
      <c r="L9" s="67"/>
      <c r="M9" s="67"/>
      <c r="N9" s="393" t="str">
        <f>"List of Qualifications"</f>
        <v>List of Qualifications</v>
      </c>
      <c r="O9" s="394"/>
      <c r="P9" s="67"/>
      <c r="Q9" s="67"/>
      <c r="W9" s="64"/>
      <c r="X9" s="63"/>
      <c r="Y9" s="64"/>
      <c r="Z9" s="64"/>
      <c r="AA9" s="65"/>
      <c r="AC9" s="318" t="s">
        <v>65</v>
      </c>
      <c r="AH9" s="321" t="s">
        <v>279</v>
      </c>
      <c r="AI9" s="321">
        <v>4.6499999999999986</v>
      </c>
      <c r="AJ9" s="321">
        <v>4.7499999999999982</v>
      </c>
      <c r="AK9" s="321" t="str">
        <f>IF(AND('Key stage 2 Data Input'!F$35&gt;=AI9,'Key stage 2 Data Input'!F$35&lt;AJ9),"Y","-")</f>
        <v>-</v>
      </c>
      <c r="AL9" s="326">
        <f>'Model values'!C31</f>
        <v>41.93</v>
      </c>
      <c r="AM9" s="327">
        <f>'PAG Limits '!F15</f>
        <v>-3.6805993959018202</v>
      </c>
      <c r="AN9" s="327" t="str">
        <f t="shared" si="0"/>
        <v>Pupil Excluded</v>
      </c>
      <c r="AQ9" s="159"/>
      <c r="AR9" s="159"/>
    </row>
    <row r="10" spans="1:44" ht="18" customHeight="1" thickBot="1" x14ac:dyDescent="0.45">
      <c r="B10" s="72"/>
      <c r="C10" s="67"/>
      <c r="D10" s="71"/>
      <c r="E10" s="67"/>
      <c r="F10" s="67"/>
      <c r="G10" s="73"/>
      <c r="H10" s="73"/>
      <c r="I10" s="73"/>
      <c r="J10" s="67"/>
      <c r="K10" s="67"/>
      <c r="L10" s="67"/>
      <c r="M10" s="67"/>
      <c r="N10" s="395"/>
      <c r="O10" s="396"/>
      <c r="P10" s="67"/>
      <c r="Q10" s="67"/>
      <c r="W10" s="64"/>
      <c r="X10" s="63"/>
      <c r="Y10" s="64"/>
      <c r="Z10" s="64"/>
      <c r="AA10" s="65"/>
      <c r="AC10" s="318" t="s">
        <v>100</v>
      </c>
      <c r="AH10" s="321" t="s">
        <v>280</v>
      </c>
      <c r="AI10" s="321">
        <v>4.7499999999999982</v>
      </c>
      <c r="AJ10" s="321">
        <v>4.8499999999999979</v>
      </c>
      <c r="AK10" s="321" t="str">
        <f>IF(AND('Key stage 2 Data Input'!F$35&gt;=AI10,'Key stage 2 Data Input'!F$35&lt;AJ10),"Y","-")</f>
        <v>-</v>
      </c>
      <c r="AL10" s="326">
        <f>'Model values'!C32</f>
        <v>44.25</v>
      </c>
      <c r="AM10" s="327">
        <f>'PAG Limits '!F16</f>
        <v>-3.6854713803021899</v>
      </c>
      <c r="AN10" s="327" t="str">
        <f t="shared" si="0"/>
        <v>Pupil Excluded</v>
      </c>
      <c r="AQ10" s="159"/>
      <c r="AR10" s="159"/>
    </row>
    <row r="11" spans="1:44" ht="21.75" customHeight="1" x14ac:dyDescent="0.5">
      <c r="B11" s="111" t="s">
        <v>61</v>
      </c>
      <c r="C11" s="67"/>
      <c r="D11" s="71"/>
      <c r="E11" s="67"/>
      <c r="F11" s="67"/>
      <c r="G11" s="73"/>
      <c r="H11" s="73"/>
      <c r="I11" s="73"/>
      <c r="J11" s="67"/>
      <c r="K11" s="67"/>
      <c r="L11" s="67"/>
      <c r="M11" s="67"/>
      <c r="N11" s="158"/>
      <c r="O11" s="158"/>
      <c r="P11" s="67"/>
      <c r="Q11" s="67"/>
      <c r="W11" s="64"/>
      <c r="X11" s="63"/>
      <c r="Y11" s="64"/>
      <c r="Z11" s="64"/>
      <c r="AA11" s="65"/>
      <c r="AC11" s="318" t="s">
        <v>101</v>
      </c>
      <c r="AH11" s="321" t="s">
        <v>281</v>
      </c>
      <c r="AI11" s="321">
        <v>4.8499999999999979</v>
      </c>
      <c r="AJ11" s="321">
        <v>4.9499999999999975</v>
      </c>
      <c r="AK11" s="321" t="str">
        <f>IF(AND('Key stage 2 Data Input'!F$35&gt;=AI11,'Key stage 2 Data Input'!F$35&lt;AJ11),"Y","-")</f>
        <v>-</v>
      </c>
      <c r="AL11" s="326">
        <f>'Model values'!C33</f>
        <v>46.51</v>
      </c>
      <c r="AM11" s="327">
        <f>'PAG Limits '!F17</f>
        <v>-3.7281102762921701</v>
      </c>
      <c r="AN11" s="327" t="str">
        <f t="shared" si="0"/>
        <v>Pupil Excluded</v>
      </c>
      <c r="AQ11" s="159"/>
      <c r="AR11" s="159"/>
    </row>
    <row r="12" spans="1:44" ht="10.5" customHeight="1" thickBot="1" x14ac:dyDescent="0.55000000000000004">
      <c r="B12" s="111"/>
      <c r="C12" s="67"/>
      <c r="D12" s="71"/>
      <c r="E12" s="67"/>
      <c r="F12" s="67"/>
      <c r="G12" s="73"/>
      <c r="H12" s="73"/>
      <c r="I12" s="73"/>
      <c r="J12" s="67"/>
      <c r="K12" s="67"/>
      <c r="L12" s="67"/>
      <c r="M12" s="67"/>
      <c r="N12" s="67"/>
      <c r="O12" s="67"/>
      <c r="P12" s="67"/>
      <c r="Q12" s="67"/>
      <c r="W12" s="64"/>
      <c r="X12" s="63"/>
      <c r="Y12" s="64"/>
      <c r="Z12" s="64"/>
      <c r="AA12" s="65"/>
      <c r="AC12" s="318" t="s">
        <v>102</v>
      </c>
      <c r="AH12" s="321" t="s">
        <v>282</v>
      </c>
      <c r="AI12" s="321">
        <v>4.9499999999999975</v>
      </c>
      <c r="AJ12" s="321">
        <v>5.0499999999999972</v>
      </c>
      <c r="AK12" s="321" t="str">
        <f>IF(AND('Key stage 2 Data Input'!F$35&gt;=AI12,'Key stage 2 Data Input'!F$35&lt;AJ12),"Y","-")</f>
        <v>-</v>
      </c>
      <c r="AL12" s="326">
        <f>'Model values'!C34</f>
        <v>49.19</v>
      </c>
      <c r="AM12" s="327">
        <f>'PAG Limits '!F18</f>
        <v>-3.73598660475231</v>
      </c>
      <c r="AN12" s="327" t="str">
        <f t="shared" si="0"/>
        <v>Pupil Excluded</v>
      </c>
      <c r="AQ12" s="159"/>
      <c r="AR12" s="159"/>
    </row>
    <row r="13" spans="1:44" ht="18" customHeight="1" x14ac:dyDescent="0.35">
      <c r="B13" s="372" t="s">
        <v>80</v>
      </c>
      <c r="C13" s="373"/>
      <c r="D13" s="67"/>
      <c r="E13" s="67"/>
      <c r="F13" s="67"/>
      <c r="G13" s="378"/>
      <c r="H13" s="379"/>
      <c r="I13" s="380"/>
      <c r="J13" s="107" t="str">
        <f>IF(ISNUMBER(G13),ROUND(G13,2),"")</f>
        <v/>
      </c>
      <c r="K13" s="67"/>
      <c r="L13" s="67"/>
      <c r="M13" s="75"/>
      <c r="N13" s="397" t="s">
        <v>59</v>
      </c>
      <c r="O13" s="398"/>
      <c r="P13" s="67"/>
      <c r="Q13" s="67"/>
      <c r="W13" s="64"/>
      <c r="X13" s="63"/>
      <c r="Y13" s="64"/>
      <c r="Z13" s="64"/>
      <c r="AA13" s="65"/>
      <c r="AC13" s="318" t="s">
        <v>104</v>
      </c>
      <c r="AH13" s="321" t="s">
        <v>283</v>
      </c>
      <c r="AI13" s="321">
        <v>5.0499999999999972</v>
      </c>
      <c r="AJ13" s="321">
        <v>5.15</v>
      </c>
      <c r="AK13" s="321" t="str">
        <f>IF(AND('Key stage 2 Data Input'!F$35&gt;=AI13,'Key stage 2 Data Input'!F$35&lt;AJ13),"Y","-")</f>
        <v>-</v>
      </c>
      <c r="AL13" s="326">
        <f>'Model values'!C35</f>
        <v>52.05</v>
      </c>
      <c r="AM13" s="327">
        <f>'PAG Limits '!F19</f>
        <v>-3.70201055837782</v>
      </c>
      <c r="AN13" s="327" t="str">
        <f t="shared" si="0"/>
        <v>Pupil Excluded</v>
      </c>
      <c r="AQ13" s="159"/>
      <c r="AR13" s="159"/>
    </row>
    <row r="14" spans="1:44" ht="18" customHeight="1" thickBot="1" x14ac:dyDescent="0.55000000000000004">
      <c r="B14" s="373"/>
      <c r="C14" s="373"/>
      <c r="D14" s="67"/>
      <c r="E14" s="76"/>
      <c r="F14" s="76"/>
      <c r="G14" s="381"/>
      <c r="H14" s="382"/>
      <c r="I14" s="383"/>
      <c r="J14" s="67"/>
      <c r="K14" s="67"/>
      <c r="L14" s="67"/>
      <c r="M14" s="75"/>
      <c r="N14" s="399"/>
      <c r="O14" s="400"/>
      <c r="P14" s="67"/>
      <c r="Q14" s="67"/>
      <c r="W14" s="64"/>
      <c r="X14" s="63"/>
      <c r="Y14" s="64"/>
      <c r="Z14" s="64"/>
      <c r="AA14" s="65"/>
      <c r="AH14" s="321" t="s">
        <v>284</v>
      </c>
      <c r="AI14" s="321">
        <v>5.1499999999999968</v>
      </c>
      <c r="AJ14" s="321">
        <v>5.2499999999999964</v>
      </c>
      <c r="AK14" s="321" t="str">
        <f>IF(AND('Key stage 2 Data Input'!F$35&gt;=AI14,'Key stage 2 Data Input'!F$35&lt;AJ14),"Y","-")</f>
        <v>-</v>
      </c>
      <c r="AL14" s="326">
        <f>'Model values'!C36</f>
        <v>54.85</v>
      </c>
      <c r="AM14" s="327">
        <f>'PAG Limits '!F20</f>
        <v>-3.75866231537558</v>
      </c>
      <c r="AN14" s="327" t="str">
        <f t="shared" si="0"/>
        <v>Pupil Excluded</v>
      </c>
      <c r="AQ14" s="159"/>
      <c r="AR14" s="159"/>
    </row>
    <row r="15" spans="1:44" ht="18" customHeight="1" thickBot="1" x14ac:dyDescent="0.45">
      <c r="B15" s="74"/>
      <c r="C15" s="77"/>
      <c r="D15" s="69"/>
      <c r="E15" s="67"/>
      <c r="F15" s="67"/>
      <c r="G15" s="78"/>
      <c r="H15" s="67"/>
      <c r="I15" s="78"/>
      <c r="J15" s="78"/>
      <c r="K15" s="67"/>
      <c r="L15" s="79"/>
      <c r="M15" s="67"/>
      <c r="N15" s="401"/>
      <c r="O15" s="402"/>
      <c r="P15" s="67"/>
      <c r="Q15" s="67"/>
      <c r="R15" s="68"/>
      <c r="W15" s="64"/>
      <c r="X15" s="63"/>
      <c r="Y15" s="64"/>
      <c r="Z15" s="64"/>
      <c r="AA15" s="65"/>
      <c r="AH15" s="321" t="s">
        <v>285</v>
      </c>
      <c r="AI15" s="321">
        <v>5.2499999999999964</v>
      </c>
      <c r="AJ15" s="321">
        <v>5.3499999999999961</v>
      </c>
      <c r="AK15" s="321" t="str">
        <f>IF(AND('Key stage 2 Data Input'!F$35&gt;=AI15,'Key stage 2 Data Input'!F$35&lt;AJ15),"Y","-")</f>
        <v>-</v>
      </c>
      <c r="AL15" s="326">
        <f>'Model values'!C37</f>
        <v>58.09</v>
      </c>
      <c r="AM15" s="327">
        <f>'PAG Limits '!F21</f>
        <v>-3.6835981815082102</v>
      </c>
      <c r="AN15" s="327" t="str">
        <f t="shared" si="0"/>
        <v>Pupil Excluded</v>
      </c>
      <c r="AQ15" s="159"/>
      <c r="AR15" s="159"/>
    </row>
    <row r="16" spans="1:44" ht="18" customHeight="1" x14ac:dyDescent="0.5">
      <c r="B16" s="113" t="s">
        <v>62</v>
      </c>
      <c r="C16" s="101"/>
      <c r="D16" s="114"/>
      <c r="E16" s="101"/>
      <c r="F16" s="101"/>
      <c r="G16" s="101"/>
      <c r="P16" s="67"/>
      <c r="Q16" s="67"/>
      <c r="W16" s="64"/>
      <c r="X16" s="63"/>
      <c r="Y16" s="64"/>
      <c r="Z16" s="64"/>
      <c r="AA16" s="65"/>
      <c r="AH16" s="321" t="s">
        <v>286</v>
      </c>
      <c r="AI16" s="321">
        <v>5.3499999999999961</v>
      </c>
      <c r="AJ16" s="321">
        <v>5.4499999999999957</v>
      </c>
      <c r="AK16" s="321" t="str">
        <f>IF(AND('Key stage 2 Data Input'!F$35&gt;=AI16,'Key stage 2 Data Input'!F$35&lt;AJ16),"Y","-")</f>
        <v>-</v>
      </c>
      <c r="AL16" s="326">
        <f>'Model values'!C38</f>
        <v>61.6</v>
      </c>
      <c r="AM16" s="327">
        <f>'PAG Limits '!F22</f>
        <v>-3.6273966592354099</v>
      </c>
      <c r="AN16" s="327" t="str">
        <f t="shared" si="0"/>
        <v>Pupil Excluded</v>
      </c>
      <c r="AQ16" s="159"/>
      <c r="AR16" s="159"/>
    </row>
    <row r="17" spans="1:44" ht="6.75" customHeight="1" x14ac:dyDescent="0.5">
      <c r="B17" s="115"/>
      <c r="C17" s="101"/>
      <c r="D17" s="101"/>
      <c r="E17" s="100"/>
      <c r="F17" s="100"/>
      <c r="G17" s="101"/>
      <c r="L17" s="80"/>
      <c r="M17" s="67"/>
      <c r="N17" s="67"/>
      <c r="O17" s="67"/>
      <c r="P17" s="67"/>
      <c r="Q17" s="67"/>
      <c r="W17" s="64"/>
      <c r="X17" s="63"/>
      <c r="Y17" s="64"/>
      <c r="Z17" s="64"/>
      <c r="AA17" s="65"/>
      <c r="AH17" s="321" t="s">
        <v>287</v>
      </c>
      <c r="AI17" s="321">
        <v>5.4499999999999957</v>
      </c>
      <c r="AJ17" s="321">
        <v>5.5499999999999954</v>
      </c>
      <c r="AK17" s="321" t="str">
        <f>IF(AND('Key stage 2 Data Input'!F$35&gt;=AI17,'Key stage 2 Data Input'!F$35&lt;AJ17),"Y","-")</f>
        <v>-</v>
      </c>
      <c r="AL17" s="326">
        <f>'Model values'!C39</f>
        <v>65.28</v>
      </c>
      <c r="AM17" s="327">
        <f>'PAG Limits '!F23</f>
        <v>-3.53348658913364</v>
      </c>
      <c r="AN17" s="327" t="str">
        <f t="shared" si="0"/>
        <v>Pupil Excluded</v>
      </c>
      <c r="AQ17" s="159"/>
      <c r="AR17" s="159"/>
    </row>
    <row r="18" spans="1:44" ht="24" customHeight="1" x14ac:dyDescent="0.4">
      <c r="B18" s="116" t="s">
        <v>81</v>
      </c>
      <c r="C18" s="101"/>
      <c r="D18" s="101"/>
      <c r="E18" s="101"/>
      <c r="F18" s="101"/>
      <c r="G18" s="101"/>
      <c r="H18" s="82"/>
      <c r="L18" s="67"/>
      <c r="M18" s="67"/>
      <c r="N18" s="67"/>
      <c r="O18" s="67"/>
      <c r="W18" s="64"/>
      <c r="X18" s="63"/>
      <c r="Y18" s="64"/>
      <c r="Z18" s="64"/>
      <c r="AA18" s="65"/>
      <c r="AH18" s="321" t="s">
        <v>288</v>
      </c>
      <c r="AI18" s="321">
        <v>5.5499999999999954</v>
      </c>
      <c r="AJ18" s="321">
        <v>5.649999999999995</v>
      </c>
      <c r="AK18" s="321" t="str">
        <f>IF(AND('Key stage 2 Data Input'!F$35&gt;=AI18,'Key stage 2 Data Input'!F$35&lt;AJ18),"Y","-")</f>
        <v>-</v>
      </c>
      <c r="AL18" s="326">
        <f>'Model values'!C40</f>
        <v>69.67</v>
      </c>
      <c r="AM18" s="327">
        <f>'PAG Limits '!F24</f>
        <v>-3.3787448050813702</v>
      </c>
      <c r="AN18" s="327" t="str">
        <f t="shared" si="0"/>
        <v>Pupil Excluded</v>
      </c>
      <c r="AQ18" s="159"/>
      <c r="AR18" s="159"/>
    </row>
    <row r="19" spans="1:44" ht="13.5" customHeight="1" thickBot="1" x14ac:dyDescent="0.45">
      <c r="B19" s="81"/>
      <c r="H19" s="82"/>
      <c r="P19" s="67"/>
      <c r="W19" s="64"/>
      <c r="X19" s="63"/>
      <c r="Y19" s="64"/>
      <c r="Z19" s="64"/>
      <c r="AA19" s="65"/>
      <c r="AH19" s="321" t="s">
        <v>289</v>
      </c>
      <c r="AI19" s="321">
        <v>5.65</v>
      </c>
      <c r="AJ19" s="321">
        <v>5.75</v>
      </c>
      <c r="AK19" s="321" t="str">
        <f>IF(AND('Key stage 2 Data Input'!F$35&gt;=AI19,'Key stage 2 Data Input'!F$35&lt;AJ19),"Y","-")</f>
        <v>-</v>
      </c>
      <c r="AL19" s="326">
        <f>'Model values'!C41</f>
        <v>74.31</v>
      </c>
      <c r="AM19" s="327">
        <f>'PAG Limits '!F25</f>
        <v>-3.07259908824029</v>
      </c>
      <c r="AN19" s="327" t="str">
        <f t="shared" si="0"/>
        <v>Pupil Excluded</v>
      </c>
      <c r="AQ19" s="159"/>
      <c r="AR19" s="159"/>
    </row>
    <row r="20" spans="1:44" ht="31.5" customHeight="1" thickBot="1" x14ac:dyDescent="0.4">
      <c r="A20" s="101"/>
      <c r="B20" s="115"/>
      <c r="C20" s="101"/>
      <c r="D20" s="117" t="s">
        <v>36</v>
      </c>
      <c r="E20" s="118"/>
      <c r="F20" s="119"/>
      <c r="G20" s="375" t="s">
        <v>41</v>
      </c>
      <c r="H20" s="376"/>
      <c r="I20" s="377"/>
      <c r="L20" s="67"/>
      <c r="M20" s="67"/>
      <c r="N20" s="67"/>
      <c r="O20" s="67"/>
      <c r="P20" s="67"/>
      <c r="W20" s="64"/>
      <c r="X20" s="63"/>
      <c r="Y20" s="64"/>
      <c r="Z20" s="64"/>
      <c r="AA20" s="65"/>
      <c r="AH20" s="321" t="s">
        <v>290</v>
      </c>
      <c r="AI20" s="321">
        <v>5.75</v>
      </c>
      <c r="AJ20" s="321">
        <v>9999999999</v>
      </c>
      <c r="AK20" s="321" t="str">
        <f>IF(AND('Key stage 2 Data Input'!F$35&gt;=AI20,'Key stage 2 Data Input'!F$35&lt;AJ20),"Y","-")</f>
        <v>-</v>
      </c>
      <c r="AL20" s="326">
        <f>'Model values'!C42</f>
        <v>79.19</v>
      </c>
      <c r="AM20" s="327">
        <f>'PAG Limits '!F26</f>
        <v>-2.68503314607511</v>
      </c>
      <c r="AN20" s="327" t="str">
        <f t="shared" si="0"/>
        <v>Pupil Excluded</v>
      </c>
      <c r="AQ20" s="159"/>
      <c r="AR20" s="159"/>
    </row>
    <row r="21" spans="1:44" ht="16.5" customHeight="1" thickBot="1" x14ac:dyDescent="0.45">
      <c r="A21" s="101"/>
      <c r="B21" s="115"/>
      <c r="C21" s="101"/>
      <c r="D21" s="120"/>
      <c r="E21" s="120"/>
      <c r="F21" s="121"/>
      <c r="G21" s="120"/>
      <c r="H21" s="120"/>
      <c r="I21" s="101"/>
      <c r="L21" s="67"/>
      <c r="M21" s="67"/>
      <c r="N21" s="67"/>
      <c r="O21" s="67"/>
      <c r="W21" s="64"/>
      <c r="X21" s="63"/>
      <c r="Y21" s="64"/>
      <c r="Z21" s="64"/>
      <c r="AA21" s="65"/>
      <c r="AH21" s="267"/>
      <c r="AI21" s="266"/>
      <c r="AJ21" s="266"/>
      <c r="AK21" s="266"/>
      <c r="AL21" s="268"/>
      <c r="AM21" s="269"/>
      <c r="AN21" s="269"/>
    </row>
    <row r="22" spans="1:44" ht="42.75" customHeight="1" thickBot="1" x14ac:dyDescent="0.4">
      <c r="A22" s="101"/>
      <c r="B22" s="122" t="s">
        <v>144</v>
      </c>
      <c r="C22" s="122"/>
      <c r="D22" s="178" t="str">
        <f>IF('Key stage 2 Data Input'!E32="Pupil","-",ROUND('Key stage 2 Data Input'!F35,1))</f>
        <v>-</v>
      </c>
      <c r="E22" s="101"/>
      <c r="F22" s="101"/>
      <c r="G22" s="385" t="str">
        <f>IF(D22="-","-",IF(G9=AC8,"Please select the progress measure you wish to use",IF(G9=Coefficients!C3,VLOOKUP($D$22,Coefficients!$B$4:$G$39,2,FALSE),IF(G9=Coefficients!D3,VLOOKUP($D$22,Coefficients!$B$4:$G$39,3,FALSE),IF(G9=Coefficients!E3,VLOOKUP($D$22,Coefficients!$B$4:$G$39,4,FALSE),IF(G9=Coefficients!F3,VLOOKUP($D$22,Coefficients!$B$4:$G$39,5,FALSE),IF(G9=Coefficients!G3,VLOOKUP($D$22,Coefficients!$B$4:$G$39,6,FALSE)&amp; " Points")))))))</f>
        <v>-</v>
      </c>
      <c r="H22" s="386"/>
      <c r="I22" s="387"/>
      <c r="L22" s="67"/>
      <c r="M22" s="67"/>
      <c r="N22" s="67"/>
      <c r="O22" s="67"/>
      <c r="P22" s="67"/>
      <c r="W22" s="64"/>
      <c r="X22" s="63"/>
      <c r="Y22" s="64"/>
      <c r="Z22" s="64"/>
      <c r="AA22" s="65"/>
    </row>
    <row r="23" spans="1:44" ht="20.25" customHeight="1" x14ac:dyDescent="0.35">
      <c r="B23" s="83"/>
      <c r="C23" s="83"/>
      <c r="D23" s="84"/>
      <c r="H23" s="90" t="e">
        <f>VALUE(LEFT(G22,5))</f>
        <v>#VALUE!</v>
      </c>
      <c r="L23" s="67"/>
      <c r="M23" s="67"/>
      <c r="N23" s="67"/>
      <c r="O23" s="67"/>
      <c r="P23" s="67"/>
      <c r="W23" s="64"/>
      <c r="X23" s="63"/>
      <c r="Y23" s="64"/>
      <c r="Z23" s="64"/>
      <c r="AA23" s="65"/>
    </row>
    <row r="24" spans="1:44" ht="21.75" customHeight="1" x14ac:dyDescent="0.5">
      <c r="B24" s="123" t="s">
        <v>93</v>
      </c>
      <c r="C24" s="110"/>
      <c r="D24" s="110"/>
      <c r="E24" s="110"/>
      <c r="F24" s="110"/>
      <c r="G24" s="110"/>
      <c r="H24" s="110"/>
      <c r="I24" s="110"/>
      <c r="J24" s="110"/>
      <c r="L24" s="67"/>
      <c r="M24" s="67"/>
      <c r="N24" s="67"/>
      <c r="O24" s="67"/>
      <c r="P24" s="67"/>
      <c r="W24" s="64"/>
      <c r="X24" s="63"/>
      <c r="Y24" s="64"/>
      <c r="Z24" s="64"/>
      <c r="AA24" s="65"/>
    </row>
    <row r="25" spans="1:44" ht="8.25" customHeight="1" thickBot="1" x14ac:dyDescent="0.4">
      <c r="B25" s="112"/>
      <c r="C25" s="110"/>
      <c r="D25" s="110"/>
      <c r="E25" s="110"/>
      <c r="F25" s="110"/>
      <c r="G25" s="110"/>
      <c r="H25" s="110"/>
      <c r="I25" s="110"/>
      <c r="J25" s="110"/>
      <c r="L25" s="67"/>
      <c r="M25" s="67"/>
      <c r="N25" s="67"/>
      <c r="O25" s="67"/>
      <c r="P25" s="67"/>
      <c r="W25" s="64"/>
      <c r="X25" s="63"/>
      <c r="Y25" s="64"/>
      <c r="Z25" s="64"/>
      <c r="AA25" s="65"/>
    </row>
    <row r="26" spans="1:44" ht="27.75" customHeight="1" thickBot="1" x14ac:dyDescent="0.4">
      <c r="B26" s="368" t="s">
        <v>94</v>
      </c>
      <c r="C26" s="368"/>
      <c r="D26" s="110"/>
      <c r="E26" s="110"/>
      <c r="F26" s="124" t="s">
        <v>20</v>
      </c>
      <c r="G26" s="369" t="str">
        <f>IF(OR(G22="-",ISBLANK(G13)),"-",ROUND(G13-H23,2))</f>
        <v>-</v>
      </c>
      <c r="H26" s="370"/>
      <c r="I26" s="371"/>
      <c r="J26" s="110"/>
      <c r="L26" s="67"/>
      <c r="M26" s="67"/>
      <c r="N26" s="67"/>
      <c r="O26" s="67"/>
      <c r="P26" s="67"/>
      <c r="W26" s="64"/>
      <c r="X26" s="63"/>
      <c r="Y26" s="64"/>
      <c r="Z26" s="64"/>
      <c r="AA26" s="65"/>
    </row>
    <row r="27" spans="1:44" ht="14.25" customHeight="1" thickBot="1" x14ac:dyDescent="0.4">
      <c r="B27" s="110"/>
      <c r="C27" s="110"/>
      <c r="D27" s="110"/>
      <c r="E27" s="110"/>
      <c r="F27" s="110"/>
      <c r="G27" s="110"/>
      <c r="H27" s="125"/>
      <c r="I27" s="110"/>
      <c r="J27" s="110"/>
      <c r="L27" s="67"/>
      <c r="M27" s="67"/>
      <c r="N27" s="67"/>
      <c r="O27" s="67"/>
      <c r="P27" s="67"/>
      <c r="W27" s="64"/>
      <c r="X27" s="63"/>
      <c r="Y27" s="64"/>
      <c r="Z27" s="64"/>
      <c r="AA27" s="65"/>
    </row>
    <row r="28" spans="1:44" ht="28.5" customHeight="1" thickBot="1" x14ac:dyDescent="0.4">
      <c r="B28" s="368" t="s">
        <v>95</v>
      </c>
      <c r="C28" s="368"/>
      <c r="D28" s="110"/>
      <c r="E28" s="110"/>
      <c r="F28" s="124" t="s">
        <v>20</v>
      </c>
      <c r="G28" s="369" t="str">
        <f>IF(G26="-","-",IF(G9=Coefficients!C3,G26/10,IF(G9=Coefficients!D3,G26/2,IF(G9=Coefficients!E3,G26/2, IF(G9=Coefficients!F3,G26/3,IF(G9=Coefficients!G3,G26/3))))))</f>
        <v>-</v>
      </c>
      <c r="H28" s="370"/>
      <c r="I28" s="371"/>
      <c r="J28" s="110"/>
      <c r="L28" s="67"/>
      <c r="M28" s="67"/>
      <c r="N28" s="67"/>
      <c r="O28" s="67"/>
      <c r="P28" s="67"/>
      <c r="W28" s="64"/>
      <c r="X28" s="63"/>
      <c r="Y28" s="64"/>
      <c r="Z28" s="64"/>
      <c r="AA28" s="65"/>
    </row>
    <row r="29" spans="1:44" ht="12.75" customHeight="1" x14ac:dyDescent="0.35">
      <c r="B29" s="67"/>
      <c r="C29" s="67"/>
      <c r="D29" s="67"/>
      <c r="E29" s="67"/>
      <c r="F29" s="67"/>
      <c r="G29" s="247"/>
      <c r="H29" s="70"/>
      <c r="I29" s="67"/>
      <c r="J29" s="67"/>
      <c r="L29" s="67"/>
      <c r="M29" s="67"/>
      <c r="N29" s="67"/>
      <c r="O29" s="67"/>
      <c r="P29" s="67"/>
      <c r="W29" s="64"/>
      <c r="X29" s="63"/>
      <c r="Y29" s="64"/>
      <c r="Z29" s="64"/>
      <c r="AA29" s="65"/>
    </row>
    <row r="30" spans="1:44" ht="33.75" customHeight="1" x14ac:dyDescent="0.35">
      <c r="B30" s="374" t="s">
        <v>300</v>
      </c>
      <c r="C30" s="374"/>
      <c r="F30" s="124" t="s">
        <v>20</v>
      </c>
      <c r="G30" s="384" t="str">
        <f>IF(G$28="-","-",IF($G$9=$AC$9,IF($D$22&lt;4.25,$G$28,VLOOKUP("Y",$AK$4:$AN$20,4,FALSE)),G$28))</f>
        <v>-</v>
      </c>
      <c r="H30" s="384"/>
      <c r="I30" s="384"/>
      <c r="L30" s="67"/>
      <c r="M30" s="67"/>
      <c r="N30" s="67"/>
      <c r="O30" s="67"/>
      <c r="P30" s="67"/>
      <c r="W30" s="64"/>
      <c r="X30" s="63"/>
      <c r="Y30" s="64"/>
      <c r="Z30" s="64"/>
      <c r="AA30" s="65"/>
    </row>
    <row r="31" spans="1:44" ht="16.5" customHeight="1" thickBot="1" x14ac:dyDescent="0.4">
      <c r="P31" s="67"/>
      <c r="W31" s="64"/>
      <c r="X31" s="63"/>
      <c r="Y31" s="64"/>
      <c r="Z31" s="64"/>
      <c r="AA31" s="65"/>
    </row>
    <row r="32" spans="1:44" ht="18" customHeight="1" x14ac:dyDescent="0.35">
      <c r="C32" s="352" t="s">
        <v>91</v>
      </c>
      <c r="D32" s="177"/>
      <c r="G32" s="361" t="s">
        <v>92</v>
      </c>
      <c r="H32" s="362"/>
      <c r="I32" s="363"/>
      <c r="M32" s="67"/>
      <c r="P32" s="67"/>
      <c r="W32" s="64"/>
      <c r="X32" s="63"/>
      <c r="Y32" s="64"/>
      <c r="Z32" s="64"/>
      <c r="AA32" s="65"/>
    </row>
    <row r="33" spans="3:27" ht="33.75" customHeight="1" thickBot="1" x14ac:dyDescent="0.4">
      <c r="C33" s="354"/>
      <c r="D33" s="177"/>
      <c r="G33" s="364"/>
      <c r="H33" s="365"/>
      <c r="I33" s="366"/>
      <c r="M33" s="67"/>
      <c r="W33" s="64"/>
      <c r="X33" s="63"/>
      <c r="Y33" s="64"/>
      <c r="Z33" s="64"/>
      <c r="AA33" s="65"/>
    </row>
    <row r="34" spans="3:27" ht="24" customHeight="1" x14ac:dyDescent="0.35">
      <c r="K34" s="87"/>
      <c r="M34" s="67"/>
      <c r="W34" s="64"/>
      <c r="X34" s="63"/>
      <c r="Y34" s="64"/>
      <c r="Z34" s="64"/>
      <c r="AA34" s="65"/>
    </row>
    <row r="35" spans="3:27" ht="24.75" customHeight="1" x14ac:dyDescent="0.35">
      <c r="G35" s="262"/>
      <c r="K35" s="87"/>
      <c r="M35" s="67"/>
      <c r="W35" s="64"/>
      <c r="X35" s="63"/>
      <c r="Y35" s="64"/>
      <c r="Z35" s="64"/>
      <c r="AA35" s="65"/>
    </row>
    <row r="36" spans="3:27" ht="22.5" customHeight="1" x14ac:dyDescent="0.5">
      <c r="L36" s="85"/>
      <c r="M36" s="67"/>
      <c r="N36" s="52"/>
      <c r="O36" s="53"/>
      <c r="W36" s="64"/>
      <c r="X36" s="63"/>
      <c r="Y36" s="64"/>
      <c r="Z36" s="64"/>
      <c r="AA36" s="65"/>
    </row>
    <row r="37" spans="3:27" ht="15.75" customHeight="1" x14ac:dyDescent="0.5">
      <c r="L37" s="85"/>
      <c r="M37" s="67"/>
      <c r="N37" s="52"/>
      <c r="O37" s="53"/>
      <c r="W37" s="64"/>
      <c r="Y37" s="64"/>
      <c r="Z37" s="64"/>
      <c r="AA37" s="65"/>
    </row>
    <row r="38" spans="3:27" ht="8.25" customHeight="1" x14ac:dyDescent="0.5">
      <c r="L38" s="85"/>
      <c r="M38" s="67"/>
      <c r="N38" s="53"/>
      <c r="O38" s="53"/>
      <c r="P38" s="53"/>
      <c r="W38" s="64"/>
      <c r="Y38" s="64"/>
      <c r="Z38" s="64"/>
      <c r="AA38" s="65"/>
    </row>
    <row r="39" spans="3:27" ht="8.25" customHeight="1" x14ac:dyDescent="0.5">
      <c r="P39" s="53"/>
      <c r="W39" s="64"/>
      <c r="Y39" s="64"/>
      <c r="Z39" s="64"/>
      <c r="AA39" s="65"/>
    </row>
    <row r="40" spans="3:27" ht="33" customHeight="1" x14ac:dyDescent="0.5">
      <c r="P40" s="53"/>
      <c r="W40" s="64"/>
      <c r="Y40" s="64"/>
      <c r="Z40" s="64"/>
      <c r="AA40" s="65"/>
    </row>
    <row r="41" spans="3:27" ht="42" customHeight="1" x14ac:dyDescent="0.35">
      <c r="W41" s="64"/>
      <c r="Y41" s="64"/>
      <c r="Z41" s="64"/>
      <c r="AA41" s="65"/>
    </row>
    <row r="42" spans="3:27" ht="19.5" customHeight="1" x14ac:dyDescent="0.35">
      <c r="W42" s="64"/>
      <c r="Y42" s="64"/>
      <c r="Z42" s="64"/>
      <c r="AA42" s="65"/>
    </row>
    <row r="43" spans="3:27" ht="21" customHeight="1" x14ac:dyDescent="0.35">
      <c r="W43" s="64"/>
      <c r="Y43" s="64"/>
      <c r="Z43" s="64"/>
      <c r="AA43" s="65"/>
    </row>
    <row r="44" spans="3:27" x14ac:dyDescent="0.35">
      <c r="W44" s="64"/>
      <c r="Y44" s="64"/>
      <c r="Z44" s="64"/>
      <c r="AA44" s="65"/>
    </row>
    <row r="45" spans="3:27" x14ac:dyDescent="0.35">
      <c r="W45" s="64"/>
      <c r="Y45" s="64"/>
      <c r="Z45" s="64"/>
      <c r="AA45" s="65"/>
    </row>
    <row r="46" spans="3:27" x14ac:dyDescent="0.35">
      <c r="W46" s="64"/>
      <c r="Y46" s="64"/>
      <c r="Z46" s="64"/>
      <c r="AA46" s="65"/>
    </row>
    <row r="47" spans="3:27" x14ac:dyDescent="0.35">
      <c r="V47" s="61"/>
      <c r="Y47" s="64"/>
      <c r="Z47" s="64"/>
      <c r="AA47" s="65"/>
    </row>
    <row r="48" spans="3:27" x14ac:dyDescent="0.35">
      <c r="V48" s="61"/>
      <c r="Y48" s="64"/>
      <c r="Z48" s="64"/>
      <c r="AA48" s="65"/>
    </row>
    <row r="49" spans="22:27" x14ac:dyDescent="0.35">
      <c r="V49" s="61"/>
      <c r="Y49" s="64"/>
      <c r="Z49" s="64"/>
      <c r="AA49" s="65"/>
    </row>
    <row r="50" spans="22:27" x14ac:dyDescent="0.35">
      <c r="V50" s="61"/>
      <c r="Y50" s="64"/>
      <c r="Z50" s="64"/>
      <c r="AA50" s="65"/>
    </row>
    <row r="51" spans="22:27" x14ac:dyDescent="0.35">
      <c r="V51" s="61"/>
      <c r="Y51" s="64"/>
      <c r="Z51" s="64"/>
      <c r="AA51" s="65"/>
    </row>
    <row r="52" spans="22:27" x14ac:dyDescent="0.35">
      <c r="V52" s="61"/>
      <c r="Y52" s="64"/>
      <c r="Z52" s="64"/>
      <c r="AA52" s="65"/>
    </row>
    <row r="53" spans="22:27" x14ac:dyDescent="0.35">
      <c r="V53" s="61"/>
      <c r="Y53" s="64"/>
      <c r="Z53" s="64"/>
      <c r="AA53" s="65"/>
    </row>
    <row r="54" spans="22:27" x14ac:dyDescent="0.35">
      <c r="V54" s="61"/>
      <c r="Y54" s="64"/>
      <c r="Z54" s="64"/>
      <c r="AA54" s="65"/>
    </row>
    <row r="55" spans="22:27" x14ac:dyDescent="0.35">
      <c r="V55" s="61"/>
      <c r="Y55" s="64"/>
      <c r="Z55" s="64"/>
      <c r="AA55" s="65"/>
    </row>
    <row r="56" spans="22:27" x14ac:dyDescent="0.35">
      <c r="V56" s="61"/>
      <c r="Y56" s="64"/>
      <c r="Z56" s="64"/>
      <c r="AA56" s="65"/>
    </row>
    <row r="57" spans="22:27" x14ac:dyDescent="0.35">
      <c r="V57" s="61"/>
      <c r="Y57" s="64"/>
      <c r="Z57" s="64"/>
      <c r="AA57" s="65"/>
    </row>
    <row r="58" spans="22:27" x14ac:dyDescent="0.35">
      <c r="V58" s="61"/>
      <c r="Y58" s="64"/>
      <c r="Z58" s="64"/>
      <c r="AA58" s="65"/>
    </row>
    <row r="59" spans="22:27" x14ac:dyDescent="0.35">
      <c r="V59" s="61"/>
      <c r="Y59" s="64"/>
      <c r="Z59" s="64"/>
      <c r="AA59" s="65"/>
    </row>
    <row r="60" spans="22:27" x14ac:dyDescent="0.35">
      <c r="V60" s="61"/>
      <c r="Y60" s="64"/>
      <c r="Z60" s="64"/>
      <c r="AA60" s="65"/>
    </row>
    <row r="61" spans="22:27" x14ac:dyDescent="0.35">
      <c r="V61" s="61"/>
      <c r="Y61" s="64"/>
      <c r="Z61" s="64"/>
      <c r="AA61" s="65"/>
    </row>
    <row r="62" spans="22:27" x14ac:dyDescent="0.35">
      <c r="V62" s="61"/>
      <c r="Y62" s="64"/>
      <c r="Z62" s="64"/>
      <c r="AA62" s="65"/>
    </row>
    <row r="63" spans="22:27" x14ac:dyDescent="0.35">
      <c r="V63" s="61"/>
      <c r="Y63" s="64"/>
      <c r="Z63" s="64"/>
      <c r="AA63" s="65"/>
    </row>
    <row r="64" spans="22:27" x14ac:dyDescent="0.35">
      <c r="V64" s="61"/>
      <c r="Y64" s="64"/>
      <c r="Z64" s="64"/>
      <c r="AA64" s="65"/>
    </row>
    <row r="65" spans="22:27" x14ac:dyDescent="0.35">
      <c r="V65" s="61"/>
      <c r="Y65" s="64"/>
      <c r="Z65" s="64"/>
      <c r="AA65" s="65"/>
    </row>
    <row r="66" spans="22:27" x14ac:dyDescent="0.35">
      <c r="V66" s="61"/>
      <c r="Y66" s="64"/>
      <c r="Z66" s="64"/>
      <c r="AA66" s="65"/>
    </row>
    <row r="67" spans="22:27" x14ac:dyDescent="0.35">
      <c r="V67" s="61"/>
      <c r="Y67" s="64"/>
      <c r="Z67" s="64"/>
      <c r="AA67" s="65"/>
    </row>
    <row r="68" spans="22:27" x14ac:dyDescent="0.35">
      <c r="V68" s="61"/>
      <c r="Y68" s="64"/>
      <c r="Z68" s="64"/>
      <c r="AA68" s="65"/>
    </row>
    <row r="69" spans="22:27" x14ac:dyDescent="0.35">
      <c r="V69" s="61"/>
      <c r="Y69" s="64"/>
      <c r="Z69" s="64"/>
      <c r="AA69" s="65"/>
    </row>
    <row r="70" spans="22:27" x14ac:dyDescent="0.35">
      <c r="V70" s="61"/>
      <c r="Y70" s="64"/>
      <c r="Z70" s="64"/>
      <c r="AA70" s="65"/>
    </row>
    <row r="71" spans="22:27" x14ac:dyDescent="0.35">
      <c r="V71" s="61"/>
      <c r="Y71" s="64"/>
      <c r="Z71" s="64"/>
      <c r="AA71" s="65"/>
    </row>
    <row r="72" spans="22:27" x14ac:dyDescent="0.35">
      <c r="V72" s="61"/>
    </row>
    <row r="73" spans="22:27" x14ac:dyDescent="0.35">
      <c r="V73" s="61"/>
    </row>
    <row r="74" spans="22:27" x14ac:dyDescent="0.35">
      <c r="V74" s="61"/>
    </row>
    <row r="75" spans="22:27" x14ac:dyDescent="0.35">
      <c r="V75" s="61"/>
    </row>
    <row r="76" spans="22:27" x14ac:dyDescent="0.35">
      <c r="V76" s="61"/>
    </row>
    <row r="77" spans="22:27" x14ac:dyDescent="0.35">
      <c r="V77" s="61"/>
    </row>
    <row r="78" spans="22:27" x14ac:dyDescent="0.35">
      <c r="V78" s="61"/>
    </row>
    <row r="79" spans="22:27" x14ac:dyDescent="0.35">
      <c r="V79" s="61"/>
    </row>
    <row r="80" spans="22:27" x14ac:dyDescent="0.35">
      <c r="V80" s="61"/>
    </row>
    <row r="81" spans="22:22" x14ac:dyDescent="0.35">
      <c r="V81" s="61"/>
    </row>
    <row r="82" spans="22:22" x14ac:dyDescent="0.35">
      <c r="V82" s="61"/>
    </row>
    <row r="83" spans="22:22" x14ac:dyDescent="0.35">
      <c r="V83" s="61"/>
    </row>
    <row r="84" spans="22:22" x14ac:dyDescent="0.35">
      <c r="V84" s="61"/>
    </row>
    <row r="85" spans="22:22" x14ac:dyDescent="0.35">
      <c r="V85" s="61"/>
    </row>
    <row r="86" spans="22:22" x14ac:dyDescent="0.35">
      <c r="V86" s="61"/>
    </row>
    <row r="87" spans="22:22" x14ac:dyDescent="0.35">
      <c r="V87" s="61"/>
    </row>
    <row r="88" spans="22:22" x14ac:dyDescent="0.35">
      <c r="V88" s="61"/>
    </row>
    <row r="89" spans="22:22" x14ac:dyDescent="0.35">
      <c r="V89" s="61"/>
    </row>
    <row r="90" spans="22:22" x14ac:dyDescent="0.35">
      <c r="V90" s="61"/>
    </row>
    <row r="91" spans="22:22" x14ac:dyDescent="0.35">
      <c r="V91" s="61"/>
    </row>
    <row r="92" spans="22:22" x14ac:dyDescent="0.35">
      <c r="V92" s="61"/>
    </row>
    <row r="93" spans="22:22" x14ac:dyDescent="0.35">
      <c r="V93" s="61"/>
    </row>
    <row r="94" spans="22:22" x14ac:dyDescent="0.35">
      <c r="V94" s="61"/>
    </row>
    <row r="95" spans="22:22" x14ac:dyDescent="0.35">
      <c r="V95" s="61"/>
    </row>
    <row r="96" spans="22:22" x14ac:dyDescent="0.35">
      <c r="V96" s="61"/>
    </row>
    <row r="97" spans="22:22" x14ac:dyDescent="0.35">
      <c r="V97" s="61"/>
    </row>
    <row r="98" spans="22:22" x14ac:dyDescent="0.35">
      <c r="V98" s="61"/>
    </row>
    <row r="99" spans="22:22" x14ac:dyDescent="0.35">
      <c r="V99" s="61"/>
    </row>
    <row r="100" spans="22:22" x14ac:dyDescent="0.35">
      <c r="V100" s="61"/>
    </row>
    <row r="101" spans="22:22" x14ac:dyDescent="0.35">
      <c r="V101" s="61"/>
    </row>
    <row r="102" spans="22:22" x14ac:dyDescent="0.35">
      <c r="V102" s="61"/>
    </row>
    <row r="103" spans="22:22" x14ac:dyDescent="0.35">
      <c r="V103" s="61"/>
    </row>
    <row r="104" spans="22:22" x14ac:dyDescent="0.35">
      <c r="V104" s="61"/>
    </row>
    <row r="105" spans="22:22" x14ac:dyDescent="0.35">
      <c r="V105" s="61"/>
    </row>
    <row r="106" spans="22:22" x14ac:dyDescent="0.35">
      <c r="V106" s="61"/>
    </row>
    <row r="107" spans="22:22" x14ac:dyDescent="0.35">
      <c r="V107" s="61"/>
    </row>
    <row r="108" spans="22:22" x14ac:dyDescent="0.35">
      <c r="V108" s="61"/>
    </row>
    <row r="109" spans="22:22" x14ac:dyDescent="0.35">
      <c r="V109" s="61"/>
    </row>
    <row r="110" spans="22:22" x14ac:dyDescent="0.35">
      <c r="V110" s="61"/>
    </row>
    <row r="111" spans="22:22" x14ac:dyDescent="0.35">
      <c r="V111" s="61"/>
    </row>
    <row r="112" spans="22:22" x14ac:dyDescent="0.35">
      <c r="V112" s="61"/>
    </row>
    <row r="113" spans="22:22" x14ac:dyDescent="0.35">
      <c r="V113" s="61"/>
    </row>
    <row r="114" spans="22:22" x14ac:dyDescent="0.35">
      <c r="V114" s="61"/>
    </row>
    <row r="115" spans="22:22" x14ac:dyDescent="0.35">
      <c r="V115" s="61"/>
    </row>
    <row r="116" spans="22:22" x14ac:dyDescent="0.35">
      <c r="V116" s="61"/>
    </row>
    <row r="117" spans="22:22" x14ac:dyDescent="0.35">
      <c r="V117" s="61"/>
    </row>
    <row r="118" spans="22:22" x14ac:dyDescent="0.35">
      <c r="V118" s="61"/>
    </row>
    <row r="119" spans="22:22" x14ac:dyDescent="0.35">
      <c r="V119" s="61"/>
    </row>
    <row r="120" spans="22:22" x14ac:dyDescent="0.35">
      <c r="V120" s="61"/>
    </row>
    <row r="121" spans="22:22" x14ac:dyDescent="0.35">
      <c r="V121" s="61"/>
    </row>
    <row r="122" spans="22:22" x14ac:dyDescent="0.35">
      <c r="V122" s="61"/>
    </row>
    <row r="123" spans="22:22" x14ac:dyDescent="0.35">
      <c r="V123" s="61"/>
    </row>
    <row r="124" spans="22:22" x14ac:dyDescent="0.35">
      <c r="V124" s="61"/>
    </row>
    <row r="125" spans="22:22" x14ac:dyDescent="0.35">
      <c r="V125" s="61"/>
    </row>
    <row r="126" spans="22:22" x14ac:dyDescent="0.35">
      <c r="V126" s="61"/>
    </row>
    <row r="127" spans="22:22" x14ac:dyDescent="0.35">
      <c r="V127" s="61"/>
    </row>
    <row r="128" spans="22:22" x14ac:dyDescent="0.35">
      <c r="V128" s="61"/>
    </row>
    <row r="129" spans="22:22" x14ac:dyDescent="0.35">
      <c r="V129" s="61"/>
    </row>
    <row r="130" spans="22:22" x14ac:dyDescent="0.35">
      <c r="V130" s="61"/>
    </row>
    <row r="131" spans="22:22" x14ac:dyDescent="0.35">
      <c r="V131" s="61"/>
    </row>
    <row r="132" spans="22:22" x14ac:dyDescent="0.35">
      <c r="V132" s="61"/>
    </row>
    <row r="133" spans="22:22" x14ac:dyDescent="0.35">
      <c r="V133" s="61"/>
    </row>
    <row r="134" spans="22:22" x14ac:dyDescent="0.35">
      <c r="V134" s="61"/>
    </row>
    <row r="135" spans="22:22" x14ac:dyDescent="0.35">
      <c r="V135" s="61"/>
    </row>
    <row r="136" spans="22:22" x14ac:dyDescent="0.35">
      <c r="V136" s="61"/>
    </row>
    <row r="137" spans="22:22" x14ac:dyDescent="0.35">
      <c r="V137" s="61"/>
    </row>
    <row r="138" spans="22:22" x14ac:dyDescent="0.35">
      <c r="V138" s="61"/>
    </row>
    <row r="139" spans="22:22" x14ac:dyDescent="0.35">
      <c r="V139" s="61"/>
    </row>
    <row r="140" spans="22:22" x14ac:dyDescent="0.35">
      <c r="V140" s="61"/>
    </row>
    <row r="141" spans="22:22" x14ac:dyDescent="0.35">
      <c r="V141" s="61"/>
    </row>
    <row r="142" spans="22:22" x14ac:dyDescent="0.35">
      <c r="V142" s="61"/>
    </row>
    <row r="143" spans="22:22" x14ac:dyDescent="0.35">
      <c r="V143" s="61"/>
    </row>
    <row r="144" spans="22:22" x14ac:dyDescent="0.35">
      <c r="V144" s="61"/>
    </row>
    <row r="145" spans="22:22" x14ac:dyDescent="0.35">
      <c r="V145" s="61"/>
    </row>
    <row r="146" spans="22:22" x14ac:dyDescent="0.35">
      <c r="V146" s="61"/>
    </row>
    <row r="147" spans="22:22" x14ac:dyDescent="0.35">
      <c r="V147" s="61"/>
    </row>
    <row r="148" spans="22:22" x14ac:dyDescent="0.35">
      <c r="V148" s="61"/>
    </row>
    <row r="149" spans="22:22" x14ac:dyDescent="0.35">
      <c r="V149" s="61"/>
    </row>
    <row r="150" spans="22:22" x14ac:dyDescent="0.35">
      <c r="V150" s="61"/>
    </row>
    <row r="151" spans="22:22" x14ac:dyDescent="0.35">
      <c r="V151" s="61"/>
    </row>
    <row r="152" spans="22:22" x14ac:dyDescent="0.35">
      <c r="V152" s="61"/>
    </row>
    <row r="153" spans="22:22" x14ac:dyDescent="0.35">
      <c r="V153" s="61"/>
    </row>
    <row r="154" spans="22:22" x14ac:dyDescent="0.35">
      <c r="V154" s="61"/>
    </row>
    <row r="155" spans="22:22" x14ac:dyDescent="0.35">
      <c r="V155" s="61"/>
    </row>
    <row r="156" spans="22:22" x14ac:dyDescent="0.35">
      <c r="V156" s="61"/>
    </row>
    <row r="157" spans="22:22" x14ac:dyDescent="0.35">
      <c r="V157" s="61"/>
    </row>
    <row r="158" spans="22:22" x14ac:dyDescent="0.35">
      <c r="V158" s="61"/>
    </row>
    <row r="159" spans="22:22" x14ac:dyDescent="0.35">
      <c r="V159" s="61"/>
    </row>
    <row r="160" spans="22:22" x14ac:dyDescent="0.35">
      <c r="V160" s="61"/>
    </row>
    <row r="161" spans="22:22" x14ac:dyDescent="0.35">
      <c r="V161" s="61"/>
    </row>
    <row r="162" spans="22:22" x14ac:dyDescent="0.35">
      <c r="V162" s="61"/>
    </row>
    <row r="163" spans="22:22" x14ac:dyDescent="0.35">
      <c r="V163" s="61"/>
    </row>
    <row r="164" spans="22:22" x14ac:dyDescent="0.35">
      <c r="V164" s="61"/>
    </row>
    <row r="165" spans="22:22" x14ac:dyDescent="0.35">
      <c r="V165" s="61"/>
    </row>
    <row r="166" spans="22:22" x14ac:dyDescent="0.35">
      <c r="V166" s="61"/>
    </row>
    <row r="167" spans="22:22" x14ac:dyDescent="0.35">
      <c r="V167" s="61"/>
    </row>
    <row r="168" spans="22:22" x14ac:dyDescent="0.35">
      <c r="V168" s="61"/>
    </row>
    <row r="169" spans="22:22" x14ac:dyDescent="0.35">
      <c r="V169" s="61"/>
    </row>
    <row r="170" spans="22:22" x14ac:dyDescent="0.35">
      <c r="V170" s="61"/>
    </row>
    <row r="171" spans="22:22" x14ac:dyDescent="0.35">
      <c r="V171" s="61"/>
    </row>
    <row r="172" spans="22:22" x14ac:dyDescent="0.35">
      <c r="V172" s="61"/>
    </row>
    <row r="173" spans="22:22" x14ac:dyDescent="0.35">
      <c r="V173" s="61"/>
    </row>
    <row r="174" spans="22:22" x14ac:dyDescent="0.35">
      <c r="V174" s="61"/>
    </row>
    <row r="175" spans="22:22" x14ac:dyDescent="0.35">
      <c r="V175" s="61"/>
    </row>
    <row r="176" spans="22:22" x14ac:dyDescent="0.35">
      <c r="V176" s="61"/>
    </row>
    <row r="177" spans="22:22" x14ac:dyDescent="0.35">
      <c r="V177" s="61"/>
    </row>
    <row r="178" spans="22:22" x14ac:dyDescent="0.35">
      <c r="V178" s="61"/>
    </row>
    <row r="179" spans="22:22" x14ac:dyDescent="0.35">
      <c r="V179" s="61"/>
    </row>
    <row r="180" spans="22:22" x14ac:dyDescent="0.35">
      <c r="V180" s="61"/>
    </row>
    <row r="181" spans="22:22" x14ac:dyDescent="0.35">
      <c r="V181" s="61"/>
    </row>
    <row r="182" spans="22:22" x14ac:dyDescent="0.35">
      <c r="V182" s="61"/>
    </row>
    <row r="183" spans="22:22" x14ac:dyDescent="0.35">
      <c r="V183" s="61"/>
    </row>
    <row r="184" spans="22:22" x14ac:dyDescent="0.35">
      <c r="V184" s="61"/>
    </row>
    <row r="185" spans="22:22" x14ac:dyDescent="0.35">
      <c r="V185" s="61"/>
    </row>
    <row r="186" spans="22:22" x14ac:dyDescent="0.35">
      <c r="V186" s="61"/>
    </row>
    <row r="187" spans="22:22" x14ac:dyDescent="0.35">
      <c r="V187" s="61"/>
    </row>
    <row r="188" spans="22:22" x14ac:dyDescent="0.35">
      <c r="V188" s="61"/>
    </row>
    <row r="189" spans="22:22" x14ac:dyDescent="0.35">
      <c r="V189" s="61"/>
    </row>
    <row r="190" spans="22:22" x14ac:dyDescent="0.35">
      <c r="V190" s="61"/>
    </row>
    <row r="191" spans="22:22" x14ac:dyDescent="0.35">
      <c r="V191" s="61"/>
    </row>
    <row r="192" spans="22:22" x14ac:dyDescent="0.35">
      <c r="V192" s="61"/>
    </row>
    <row r="193" spans="22:22" x14ac:dyDescent="0.35">
      <c r="V193" s="61"/>
    </row>
    <row r="194" spans="22:22" x14ac:dyDescent="0.35">
      <c r="V194" s="61"/>
    </row>
    <row r="195" spans="22:22" x14ac:dyDescent="0.35">
      <c r="V195" s="61"/>
    </row>
    <row r="196" spans="22:22" x14ac:dyDescent="0.35">
      <c r="V196" s="61"/>
    </row>
    <row r="197" spans="22:22" x14ac:dyDescent="0.35">
      <c r="V197" s="61"/>
    </row>
    <row r="198" spans="22:22" x14ac:dyDescent="0.35">
      <c r="V198" s="61"/>
    </row>
    <row r="199" spans="22:22" x14ac:dyDescent="0.35">
      <c r="V199" s="61"/>
    </row>
    <row r="200" spans="22:22" x14ac:dyDescent="0.35">
      <c r="V200" s="61"/>
    </row>
    <row r="201" spans="22:22" x14ac:dyDescent="0.35">
      <c r="V201" s="61"/>
    </row>
    <row r="202" spans="22:22" x14ac:dyDescent="0.35">
      <c r="V202" s="61"/>
    </row>
    <row r="203" spans="22:22" x14ac:dyDescent="0.35">
      <c r="V203" s="61"/>
    </row>
    <row r="204" spans="22:22" x14ac:dyDescent="0.35">
      <c r="V204" s="61"/>
    </row>
    <row r="205" spans="22:22" x14ac:dyDescent="0.35">
      <c r="V205" s="61"/>
    </row>
    <row r="206" spans="22:22" x14ac:dyDescent="0.35">
      <c r="V206" s="61"/>
    </row>
    <row r="207" spans="22:22" x14ac:dyDescent="0.35">
      <c r="V207" s="61"/>
    </row>
    <row r="208" spans="22:22" x14ac:dyDescent="0.35">
      <c r="V208" s="61"/>
    </row>
    <row r="209" spans="22:22" x14ac:dyDescent="0.35">
      <c r="V209" s="61"/>
    </row>
    <row r="210" spans="22:22" x14ac:dyDescent="0.35">
      <c r="V210" s="61"/>
    </row>
    <row r="211" spans="22:22" x14ac:dyDescent="0.35">
      <c r="V211" s="61"/>
    </row>
    <row r="212" spans="22:22" x14ac:dyDescent="0.35">
      <c r="V212" s="61"/>
    </row>
    <row r="213" spans="22:22" x14ac:dyDescent="0.35">
      <c r="V213" s="61"/>
    </row>
    <row r="214" spans="22:22" x14ac:dyDescent="0.35">
      <c r="V214" s="61"/>
    </row>
    <row r="215" spans="22:22" x14ac:dyDescent="0.35">
      <c r="V215" s="61"/>
    </row>
    <row r="216" spans="22:22" x14ac:dyDescent="0.35">
      <c r="V216" s="61"/>
    </row>
    <row r="217" spans="22:22" x14ac:dyDescent="0.35">
      <c r="V217" s="61"/>
    </row>
    <row r="218" spans="22:22" x14ac:dyDescent="0.35">
      <c r="V218" s="61"/>
    </row>
    <row r="219" spans="22:22" x14ac:dyDescent="0.35">
      <c r="V219" s="61"/>
    </row>
    <row r="220" spans="22:22" x14ac:dyDescent="0.35">
      <c r="V220" s="61"/>
    </row>
    <row r="221" spans="22:22" x14ac:dyDescent="0.35">
      <c r="V221" s="61"/>
    </row>
    <row r="222" spans="22:22" x14ac:dyDescent="0.35">
      <c r="V222" s="61"/>
    </row>
    <row r="223" spans="22:22" x14ac:dyDescent="0.35">
      <c r="V223" s="61"/>
    </row>
    <row r="224" spans="22:22" x14ac:dyDescent="0.35">
      <c r="V224" s="61"/>
    </row>
    <row r="225" spans="22:22" x14ac:dyDescent="0.35">
      <c r="V225" s="61"/>
    </row>
    <row r="226" spans="22:22" x14ac:dyDescent="0.35">
      <c r="V226" s="61"/>
    </row>
    <row r="227" spans="22:22" x14ac:dyDescent="0.35">
      <c r="V227" s="61"/>
    </row>
    <row r="228" spans="22:22" x14ac:dyDescent="0.35">
      <c r="V228" s="61"/>
    </row>
    <row r="229" spans="22:22" x14ac:dyDescent="0.35">
      <c r="V229" s="61"/>
    </row>
    <row r="230" spans="22:22" x14ac:dyDescent="0.35">
      <c r="V230" s="61"/>
    </row>
    <row r="231" spans="22:22" x14ac:dyDescent="0.35">
      <c r="V231" s="61"/>
    </row>
    <row r="232" spans="22:22" x14ac:dyDescent="0.35">
      <c r="V232" s="61"/>
    </row>
    <row r="233" spans="22:22" x14ac:dyDescent="0.35">
      <c r="V233" s="61"/>
    </row>
    <row r="234" spans="22:22" x14ac:dyDescent="0.35">
      <c r="V234" s="61"/>
    </row>
    <row r="235" spans="22:22" x14ac:dyDescent="0.35">
      <c r="V235" s="61"/>
    </row>
    <row r="236" spans="22:22" x14ac:dyDescent="0.35">
      <c r="V236" s="61"/>
    </row>
    <row r="237" spans="22:22" x14ac:dyDescent="0.35">
      <c r="V237" s="61"/>
    </row>
    <row r="238" spans="22:22" x14ac:dyDescent="0.35">
      <c r="V238" s="61"/>
    </row>
    <row r="239" spans="22:22" x14ac:dyDescent="0.35">
      <c r="V239" s="61"/>
    </row>
    <row r="240" spans="22:22" x14ac:dyDescent="0.35">
      <c r="V240" s="61"/>
    </row>
    <row r="241" spans="22:22" x14ac:dyDescent="0.35">
      <c r="V241" s="61"/>
    </row>
    <row r="242" spans="22:22" x14ac:dyDescent="0.35">
      <c r="V242" s="61"/>
    </row>
    <row r="243" spans="22:22" x14ac:dyDescent="0.35">
      <c r="V243" s="61"/>
    </row>
    <row r="244" spans="22:22" x14ac:dyDescent="0.35">
      <c r="V244" s="61"/>
    </row>
    <row r="245" spans="22:22" x14ac:dyDescent="0.35">
      <c r="V245" s="61"/>
    </row>
    <row r="246" spans="22:22" x14ac:dyDescent="0.35">
      <c r="V246" s="61"/>
    </row>
    <row r="247" spans="22:22" x14ac:dyDescent="0.35">
      <c r="V247" s="61"/>
    </row>
    <row r="248" spans="22:22" x14ac:dyDescent="0.35">
      <c r="V248" s="61"/>
    </row>
    <row r="249" spans="22:22" x14ac:dyDescent="0.35">
      <c r="V249" s="61"/>
    </row>
    <row r="250" spans="22:22" x14ac:dyDescent="0.35">
      <c r="V250" s="61"/>
    </row>
    <row r="251" spans="22:22" x14ac:dyDescent="0.35">
      <c r="V251" s="61"/>
    </row>
    <row r="252" spans="22:22" x14ac:dyDescent="0.35">
      <c r="V252" s="61"/>
    </row>
    <row r="253" spans="22:22" x14ac:dyDescent="0.35">
      <c r="V253" s="61"/>
    </row>
    <row r="254" spans="22:22" x14ac:dyDescent="0.35">
      <c r="V254" s="61"/>
    </row>
    <row r="255" spans="22:22" x14ac:dyDescent="0.35">
      <c r="V255" s="61"/>
    </row>
    <row r="256" spans="22:22" x14ac:dyDescent="0.35">
      <c r="V256" s="61"/>
    </row>
    <row r="257" spans="22:22" x14ac:dyDescent="0.35">
      <c r="V257" s="61"/>
    </row>
    <row r="258" spans="22:22" x14ac:dyDescent="0.35">
      <c r="V258" s="61"/>
    </row>
    <row r="259" spans="22:22" x14ac:dyDescent="0.35">
      <c r="V259" s="61"/>
    </row>
    <row r="260" spans="22:22" x14ac:dyDescent="0.35">
      <c r="V260" s="61"/>
    </row>
    <row r="261" spans="22:22" x14ac:dyDescent="0.35">
      <c r="V261" s="61"/>
    </row>
    <row r="262" spans="22:22" x14ac:dyDescent="0.35">
      <c r="V262" s="61"/>
    </row>
    <row r="263" spans="22:22" x14ac:dyDescent="0.35">
      <c r="V263" s="61"/>
    </row>
    <row r="264" spans="22:22" x14ac:dyDescent="0.35">
      <c r="V264" s="61"/>
    </row>
    <row r="265" spans="22:22" x14ac:dyDescent="0.35">
      <c r="V265" s="61"/>
    </row>
    <row r="266" spans="22:22" x14ac:dyDescent="0.35">
      <c r="V266" s="61"/>
    </row>
    <row r="267" spans="22:22" x14ac:dyDescent="0.35">
      <c r="V267" s="61"/>
    </row>
    <row r="268" spans="22:22" x14ac:dyDescent="0.35">
      <c r="V268" s="61"/>
    </row>
    <row r="269" spans="22:22" x14ac:dyDescent="0.35">
      <c r="V269" s="61"/>
    </row>
    <row r="270" spans="22:22" x14ac:dyDescent="0.35">
      <c r="V270" s="61"/>
    </row>
    <row r="271" spans="22:22" x14ac:dyDescent="0.35">
      <c r="V271" s="61"/>
    </row>
    <row r="272" spans="22:22" x14ac:dyDescent="0.35">
      <c r="V272" s="61"/>
    </row>
    <row r="273" spans="22:22" x14ac:dyDescent="0.35">
      <c r="V273" s="61"/>
    </row>
    <row r="274" spans="22:22" x14ac:dyDescent="0.35">
      <c r="V274" s="61"/>
    </row>
    <row r="275" spans="22:22" x14ac:dyDescent="0.35">
      <c r="V275" s="61"/>
    </row>
    <row r="276" spans="22:22" x14ac:dyDescent="0.35">
      <c r="V276" s="61"/>
    </row>
    <row r="277" spans="22:22" x14ac:dyDescent="0.35">
      <c r="V277" s="61"/>
    </row>
    <row r="278" spans="22:22" x14ac:dyDescent="0.35">
      <c r="V278" s="61"/>
    </row>
    <row r="279" spans="22:22" x14ac:dyDescent="0.35">
      <c r="V279" s="61"/>
    </row>
    <row r="280" spans="22:22" x14ac:dyDescent="0.35">
      <c r="V280" s="61"/>
    </row>
    <row r="281" spans="22:22" x14ac:dyDescent="0.35">
      <c r="V281" s="61"/>
    </row>
    <row r="282" spans="22:22" x14ac:dyDescent="0.35">
      <c r="V282" s="61"/>
    </row>
    <row r="283" spans="22:22" x14ac:dyDescent="0.35">
      <c r="V283" s="61"/>
    </row>
    <row r="284" spans="22:22" x14ac:dyDescent="0.35">
      <c r="V284" s="61"/>
    </row>
    <row r="285" spans="22:22" x14ac:dyDescent="0.35">
      <c r="V285" s="61"/>
    </row>
    <row r="286" spans="22:22" x14ac:dyDescent="0.35">
      <c r="V286" s="61"/>
    </row>
    <row r="287" spans="22:22" x14ac:dyDescent="0.35">
      <c r="V287" s="61"/>
    </row>
    <row r="288" spans="22:22" x14ac:dyDescent="0.35">
      <c r="V288" s="61"/>
    </row>
    <row r="289" spans="22:22" x14ac:dyDescent="0.35">
      <c r="V289" s="61"/>
    </row>
    <row r="290" spans="22:22" x14ac:dyDescent="0.35">
      <c r="V290" s="61"/>
    </row>
    <row r="291" spans="22:22" x14ac:dyDescent="0.35">
      <c r="V291" s="61"/>
    </row>
    <row r="292" spans="22:22" x14ac:dyDescent="0.35">
      <c r="V292" s="61"/>
    </row>
    <row r="293" spans="22:22" x14ac:dyDescent="0.35">
      <c r="V293" s="61"/>
    </row>
    <row r="294" spans="22:22" x14ac:dyDescent="0.35">
      <c r="V294" s="61"/>
    </row>
    <row r="295" spans="22:22" x14ac:dyDescent="0.35">
      <c r="V295" s="61"/>
    </row>
    <row r="296" spans="22:22" x14ac:dyDescent="0.35">
      <c r="V296" s="61"/>
    </row>
    <row r="297" spans="22:22" x14ac:dyDescent="0.35">
      <c r="V297" s="61"/>
    </row>
    <row r="298" spans="22:22" x14ac:dyDescent="0.35">
      <c r="V298" s="61"/>
    </row>
    <row r="299" spans="22:22" x14ac:dyDescent="0.35">
      <c r="V299" s="61"/>
    </row>
    <row r="300" spans="22:22" x14ac:dyDescent="0.35">
      <c r="V300" s="61"/>
    </row>
    <row r="301" spans="22:22" x14ac:dyDescent="0.35">
      <c r="V301" s="61"/>
    </row>
    <row r="302" spans="22:22" x14ac:dyDescent="0.35">
      <c r="V302" s="61"/>
    </row>
    <row r="303" spans="22:22" x14ac:dyDescent="0.35">
      <c r="V303" s="61"/>
    </row>
    <row r="304" spans="22:22" x14ac:dyDescent="0.35">
      <c r="V304" s="61"/>
    </row>
    <row r="305" spans="22:22" x14ac:dyDescent="0.35">
      <c r="V305" s="61"/>
    </row>
    <row r="306" spans="22:22" x14ac:dyDescent="0.35">
      <c r="V306" s="61"/>
    </row>
    <row r="307" spans="22:22" x14ac:dyDescent="0.35">
      <c r="V307" s="61"/>
    </row>
    <row r="308" spans="22:22" x14ac:dyDescent="0.35">
      <c r="V308" s="61"/>
    </row>
    <row r="309" spans="22:22" x14ac:dyDescent="0.35">
      <c r="V309" s="61"/>
    </row>
    <row r="310" spans="22:22" x14ac:dyDescent="0.35">
      <c r="V310" s="61"/>
    </row>
    <row r="311" spans="22:22" x14ac:dyDescent="0.35">
      <c r="V311" s="61"/>
    </row>
    <row r="312" spans="22:22" x14ac:dyDescent="0.35">
      <c r="V312" s="61"/>
    </row>
    <row r="313" spans="22:22" x14ac:dyDescent="0.35">
      <c r="V313" s="61"/>
    </row>
    <row r="314" spans="22:22" x14ac:dyDescent="0.35">
      <c r="V314" s="61"/>
    </row>
    <row r="315" spans="22:22" x14ac:dyDescent="0.35">
      <c r="V315" s="61"/>
    </row>
    <row r="316" spans="22:22" x14ac:dyDescent="0.35">
      <c r="V316" s="61"/>
    </row>
    <row r="317" spans="22:22" x14ac:dyDescent="0.35">
      <c r="V317" s="61"/>
    </row>
    <row r="318" spans="22:22" x14ac:dyDescent="0.35">
      <c r="V318" s="61"/>
    </row>
    <row r="319" spans="22:22" x14ac:dyDescent="0.35">
      <c r="V319" s="61"/>
    </row>
    <row r="320" spans="22:22" x14ac:dyDescent="0.35">
      <c r="V320" s="61"/>
    </row>
    <row r="321" spans="22:22" x14ac:dyDescent="0.35">
      <c r="V321" s="61"/>
    </row>
    <row r="322" spans="22:22" x14ac:dyDescent="0.35">
      <c r="V322" s="61"/>
    </row>
    <row r="323" spans="22:22" x14ac:dyDescent="0.35">
      <c r="V323" s="61"/>
    </row>
    <row r="324" spans="22:22" x14ac:dyDescent="0.35">
      <c r="V324" s="61"/>
    </row>
    <row r="325" spans="22:22" x14ac:dyDescent="0.35">
      <c r="V325" s="61"/>
    </row>
    <row r="326" spans="22:22" x14ac:dyDescent="0.35">
      <c r="V326" s="61"/>
    </row>
    <row r="327" spans="22:22" x14ac:dyDescent="0.35">
      <c r="V327" s="61"/>
    </row>
    <row r="328" spans="22:22" x14ac:dyDescent="0.35">
      <c r="V328" s="61"/>
    </row>
    <row r="329" spans="22:22" x14ac:dyDescent="0.35">
      <c r="V329" s="61"/>
    </row>
    <row r="330" spans="22:22" x14ac:dyDescent="0.35">
      <c r="V330" s="61"/>
    </row>
    <row r="331" spans="22:22" x14ac:dyDescent="0.35">
      <c r="V331" s="61"/>
    </row>
    <row r="332" spans="22:22" x14ac:dyDescent="0.35">
      <c r="V332" s="61"/>
    </row>
    <row r="333" spans="22:22" x14ac:dyDescent="0.35">
      <c r="V333" s="61"/>
    </row>
    <row r="334" spans="22:22" x14ac:dyDescent="0.35">
      <c r="V334" s="61"/>
    </row>
    <row r="335" spans="22:22" x14ac:dyDescent="0.35">
      <c r="V335" s="61"/>
    </row>
    <row r="336" spans="22:22" x14ac:dyDescent="0.35">
      <c r="V336" s="61"/>
    </row>
    <row r="337" spans="22:22" x14ac:dyDescent="0.35">
      <c r="V337" s="61"/>
    </row>
    <row r="338" spans="22:22" x14ac:dyDescent="0.35">
      <c r="V338" s="61"/>
    </row>
    <row r="339" spans="22:22" x14ac:dyDescent="0.35">
      <c r="V339" s="61"/>
    </row>
    <row r="340" spans="22:22" x14ac:dyDescent="0.35">
      <c r="V340" s="61"/>
    </row>
    <row r="341" spans="22:22" x14ac:dyDescent="0.35">
      <c r="V341" s="61"/>
    </row>
    <row r="342" spans="22:22" x14ac:dyDescent="0.35">
      <c r="V342" s="61"/>
    </row>
    <row r="343" spans="22:22" x14ac:dyDescent="0.35">
      <c r="V343" s="61"/>
    </row>
    <row r="344" spans="22:22" x14ac:dyDescent="0.35">
      <c r="V344" s="61"/>
    </row>
    <row r="345" spans="22:22" x14ac:dyDescent="0.35">
      <c r="V345" s="61"/>
    </row>
    <row r="346" spans="22:22" x14ac:dyDescent="0.35">
      <c r="V346" s="61"/>
    </row>
    <row r="347" spans="22:22" x14ac:dyDescent="0.35">
      <c r="V347" s="61"/>
    </row>
    <row r="348" spans="22:22" x14ac:dyDescent="0.35">
      <c r="V348" s="61"/>
    </row>
    <row r="349" spans="22:22" x14ac:dyDescent="0.35">
      <c r="V349" s="61"/>
    </row>
    <row r="350" spans="22:22" x14ac:dyDescent="0.35">
      <c r="V350" s="61"/>
    </row>
    <row r="351" spans="22:22" x14ac:dyDescent="0.35">
      <c r="V351" s="61"/>
    </row>
    <row r="352" spans="22:22" x14ac:dyDescent="0.35">
      <c r="V352" s="61"/>
    </row>
    <row r="353" spans="22:22" x14ac:dyDescent="0.35">
      <c r="V353" s="61"/>
    </row>
    <row r="354" spans="22:22" x14ac:dyDescent="0.35">
      <c r="V354" s="61"/>
    </row>
    <row r="355" spans="22:22" x14ac:dyDescent="0.35">
      <c r="V355" s="61"/>
    </row>
    <row r="356" spans="22:22" x14ac:dyDescent="0.35">
      <c r="V356" s="61"/>
    </row>
    <row r="357" spans="22:22" x14ac:dyDescent="0.35">
      <c r="V357" s="61"/>
    </row>
    <row r="358" spans="22:22" x14ac:dyDescent="0.35">
      <c r="V358" s="61"/>
    </row>
    <row r="359" spans="22:22" x14ac:dyDescent="0.35">
      <c r="V359" s="61"/>
    </row>
    <row r="360" spans="22:22" x14ac:dyDescent="0.35">
      <c r="V360" s="61"/>
    </row>
    <row r="361" spans="22:22" x14ac:dyDescent="0.35">
      <c r="V361" s="61"/>
    </row>
    <row r="362" spans="22:22" x14ac:dyDescent="0.35">
      <c r="V362" s="61"/>
    </row>
    <row r="363" spans="22:22" x14ac:dyDescent="0.35">
      <c r="V363" s="61"/>
    </row>
    <row r="364" spans="22:22" x14ac:dyDescent="0.35">
      <c r="V364" s="61"/>
    </row>
    <row r="365" spans="22:22" x14ac:dyDescent="0.35">
      <c r="V365" s="61"/>
    </row>
    <row r="366" spans="22:22" x14ac:dyDescent="0.35">
      <c r="V366" s="61"/>
    </row>
    <row r="367" spans="22:22" x14ac:dyDescent="0.35">
      <c r="V367" s="61"/>
    </row>
    <row r="368" spans="22:22" x14ac:dyDescent="0.35">
      <c r="V368" s="61"/>
    </row>
    <row r="369" spans="22:22" x14ac:dyDescent="0.35">
      <c r="V369" s="61"/>
    </row>
    <row r="370" spans="22:22" x14ac:dyDescent="0.35">
      <c r="V370" s="61"/>
    </row>
    <row r="371" spans="22:22" x14ac:dyDescent="0.35">
      <c r="V371" s="61"/>
    </row>
    <row r="372" spans="22:22" x14ac:dyDescent="0.35">
      <c r="V372" s="61"/>
    </row>
    <row r="373" spans="22:22" x14ac:dyDescent="0.35">
      <c r="V373" s="61"/>
    </row>
    <row r="374" spans="22:22" x14ac:dyDescent="0.35">
      <c r="V374" s="61"/>
    </row>
    <row r="375" spans="22:22" x14ac:dyDescent="0.35">
      <c r="V375" s="61"/>
    </row>
    <row r="376" spans="22:22" x14ac:dyDescent="0.35">
      <c r="V376" s="61"/>
    </row>
    <row r="377" spans="22:22" x14ac:dyDescent="0.35">
      <c r="V377" s="61"/>
    </row>
    <row r="378" spans="22:22" x14ac:dyDescent="0.35">
      <c r="V378" s="61"/>
    </row>
    <row r="379" spans="22:22" x14ac:dyDescent="0.35">
      <c r="V379" s="61"/>
    </row>
    <row r="380" spans="22:22" x14ac:dyDescent="0.35">
      <c r="V380" s="61"/>
    </row>
    <row r="381" spans="22:22" x14ac:dyDescent="0.35">
      <c r="V381" s="61"/>
    </row>
    <row r="382" spans="22:22" x14ac:dyDescent="0.35">
      <c r="V382" s="61"/>
    </row>
    <row r="383" spans="22:22" x14ac:dyDescent="0.35">
      <c r="V383" s="61"/>
    </row>
    <row r="384" spans="22:22" x14ac:dyDescent="0.35">
      <c r="V384" s="61"/>
    </row>
    <row r="385" spans="22:22" x14ac:dyDescent="0.35">
      <c r="V385" s="61"/>
    </row>
    <row r="386" spans="22:22" x14ac:dyDescent="0.35">
      <c r="V386" s="61"/>
    </row>
    <row r="387" spans="22:22" x14ac:dyDescent="0.35">
      <c r="V387" s="61"/>
    </row>
    <row r="388" spans="22:22" x14ac:dyDescent="0.35">
      <c r="V388" s="61"/>
    </row>
    <row r="389" spans="22:22" x14ac:dyDescent="0.35">
      <c r="V389" s="61"/>
    </row>
    <row r="390" spans="22:22" x14ac:dyDescent="0.35">
      <c r="V390" s="61"/>
    </row>
    <row r="391" spans="22:22" x14ac:dyDescent="0.35">
      <c r="V391" s="61"/>
    </row>
    <row r="392" spans="22:22" x14ac:dyDescent="0.35">
      <c r="V392" s="61"/>
    </row>
    <row r="393" spans="22:22" x14ac:dyDescent="0.35">
      <c r="V393" s="61"/>
    </row>
    <row r="394" spans="22:22" x14ac:dyDescent="0.35">
      <c r="V394" s="61"/>
    </row>
    <row r="395" spans="22:22" x14ac:dyDescent="0.35">
      <c r="V395" s="61"/>
    </row>
    <row r="396" spans="22:22" x14ac:dyDescent="0.35">
      <c r="V396" s="61"/>
    </row>
    <row r="397" spans="22:22" x14ac:dyDescent="0.35">
      <c r="V397" s="61"/>
    </row>
    <row r="398" spans="22:22" x14ac:dyDescent="0.35">
      <c r="V398" s="61"/>
    </row>
    <row r="399" spans="22:22" x14ac:dyDescent="0.35">
      <c r="V399" s="61"/>
    </row>
    <row r="400" spans="22:22" x14ac:dyDescent="0.35">
      <c r="V400" s="61"/>
    </row>
    <row r="401" spans="22:22" x14ac:dyDescent="0.35">
      <c r="V401" s="61"/>
    </row>
    <row r="402" spans="22:22" x14ac:dyDescent="0.35">
      <c r="V402" s="61"/>
    </row>
    <row r="403" spans="22:22" x14ac:dyDescent="0.35">
      <c r="V403" s="61"/>
    </row>
    <row r="404" spans="22:22" x14ac:dyDescent="0.35">
      <c r="V404" s="61"/>
    </row>
    <row r="405" spans="22:22" x14ac:dyDescent="0.35">
      <c r="V405" s="61"/>
    </row>
    <row r="406" spans="22:22" x14ac:dyDescent="0.35">
      <c r="V406" s="61"/>
    </row>
    <row r="407" spans="22:22" x14ac:dyDescent="0.35">
      <c r="V407" s="61"/>
    </row>
    <row r="408" spans="22:22" x14ac:dyDescent="0.35">
      <c r="V408" s="61"/>
    </row>
    <row r="409" spans="22:22" x14ac:dyDescent="0.35">
      <c r="V409" s="61"/>
    </row>
    <row r="410" spans="22:22" x14ac:dyDescent="0.35">
      <c r="V410" s="61"/>
    </row>
    <row r="411" spans="22:22" x14ac:dyDescent="0.35">
      <c r="V411" s="61"/>
    </row>
    <row r="412" spans="22:22" x14ac:dyDescent="0.35">
      <c r="V412" s="61"/>
    </row>
    <row r="413" spans="22:22" x14ac:dyDescent="0.35">
      <c r="V413" s="61"/>
    </row>
    <row r="414" spans="22:22" x14ac:dyDescent="0.35">
      <c r="V414" s="61"/>
    </row>
    <row r="415" spans="22:22" x14ac:dyDescent="0.35">
      <c r="V415" s="61"/>
    </row>
    <row r="416" spans="22:22" x14ac:dyDescent="0.35">
      <c r="V416" s="61"/>
    </row>
    <row r="417" spans="22:22" x14ac:dyDescent="0.35">
      <c r="V417" s="61"/>
    </row>
    <row r="418" spans="22:22" x14ac:dyDescent="0.35">
      <c r="V418" s="61"/>
    </row>
    <row r="419" spans="22:22" x14ac:dyDescent="0.35">
      <c r="V419" s="61"/>
    </row>
    <row r="420" spans="22:22" x14ac:dyDescent="0.35">
      <c r="V420" s="61"/>
    </row>
    <row r="421" spans="22:22" x14ac:dyDescent="0.35">
      <c r="V421" s="61"/>
    </row>
    <row r="422" spans="22:22" x14ac:dyDescent="0.35">
      <c r="V422" s="61"/>
    </row>
    <row r="423" spans="22:22" x14ac:dyDescent="0.35">
      <c r="V423" s="61"/>
    </row>
    <row r="424" spans="22:22" x14ac:dyDescent="0.35">
      <c r="V424" s="61"/>
    </row>
    <row r="425" spans="22:22" x14ac:dyDescent="0.35">
      <c r="V425" s="61"/>
    </row>
    <row r="426" spans="22:22" x14ac:dyDescent="0.35">
      <c r="V426" s="61"/>
    </row>
    <row r="427" spans="22:22" x14ac:dyDescent="0.35">
      <c r="V427" s="61"/>
    </row>
    <row r="428" spans="22:22" x14ac:dyDescent="0.35">
      <c r="V428" s="61"/>
    </row>
    <row r="429" spans="22:22" x14ac:dyDescent="0.35">
      <c r="V429" s="61"/>
    </row>
    <row r="430" spans="22:22" x14ac:dyDescent="0.35">
      <c r="V430" s="61"/>
    </row>
    <row r="431" spans="22:22" x14ac:dyDescent="0.35">
      <c r="V431" s="61"/>
    </row>
    <row r="432" spans="22:22" x14ac:dyDescent="0.35">
      <c r="V432" s="61"/>
    </row>
    <row r="433" spans="22:22" x14ac:dyDescent="0.35">
      <c r="V433" s="61"/>
    </row>
    <row r="434" spans="22:22" x14ac:dyDescent="0.35">
      <c r="V434" s="61"/>
    </row>
    <row r="435" spans="22:22" x14ac:dyDescent="0.35">
      <c r="V435" s="61"/>
    </row>
    <row r="436" spans="22:22" x14ac:dyDescent="0.35">
      <c r="V436" s="61"/>
    </row>
    <row r="437" spans="22:22" x14ac:dyDescent="0.35">
      <c r="V437" s="61"/>
    </row>
    <row r="438" spans="22:22" x14ac:dyDescent="0.35">
      <c r="V438" s="61"/>
    </row>
    <row r="439" spans="22:22" x14ac:dyDescent="0.35">
      <c r="V439" s="61"/>
    </row>
    <row r="440" spans="22:22" x14ac:dyDescent="0.35">
      <c r="V440" s="61"/>
    </row>
    <row r="441" spans="22:22" x14ac:dyDescent="0.35">
      <c r="V441" s="61"/>
    </row>
    <row r="442" spans="22:22" x14ac:dyDescent="0.35">
      <c r="V442" s="61"/>
    </row>
    <row r="443" spans="22:22" x14ac:dyDescent="0.35">
      <c r="V443" s="61"/>
    </row>
    <row r="444" spans="22:22" x14ac:dyDescent="0.35">
      <c r="V444" s="61"/>
    </row>
    <row r="445" spans="22:22" x14ac:dyDescent="0.35">
      <c r="V445" s="61"/>
    </row>
    <row r="446" spans="22:22" x14ac:dyDescent="0.35">
      <c r="V446" s="61"/>
    </row>
    <row r="447" spans="22:22" x14ac:dyDescent="0.35">
      <c r="V447" s="61"/>
    </row>
    <row r="448" spans="22:22" x14ac:dyDescent="0.35">
      <c r="V448" s="61"/>
    </row>
    <row r="449" spans="22:22" x14ac:dyDescent="0.35">
      <c r="V449" s="61"/>
    </row>
    <row r="450" spans="22:22" x14ac:dyDescent="0.35">
      <c r="V450" s="61"/>
    </row>
    <row r="451" spans="22:22" x14ac:dyDescent="0.35">
      <c r="V451" s="61"/>
    </row>
    <row r="452" spans="22:22" x14ac:dyDescent="0.35">
      <c r="V452" s="61"/>
    </row>
    <row r="453" spans="22:22" x14ac:dyDescent="0.35">
      <c r="V453" s="61"/>
    </row>
    <row r="454" spans="22:22" x14ac:dyDescent="0.35">
      <c r="V454" s="61"/>
    </row>
    <row r="455" spans="22:22" x14ac:dyDescent="0.35">
      <c r="V455" s="61"/>
    </row>
    <row r="456" spans="22:22" x14ac:dyDescent="0.35">
      <c r="V456" s="61"/>
    </row>
    <row r="457" spans="22:22" x14ac:dyDescent="0.35">
      <c r="V457" s="61"/>
    </row>
    <row r="458" spans="22:22" x14ac:dyDescent="0.35">
      <c r="V458" s="61"/>
    </row>
    <row r="459" spans="22:22" x14ac:dyDescent="0.35">
      <c r="V459" s="61"/>
    </row>
    <row r="460" spans="22:22" x14ac:dyDescent="0.35">
      <c r="V460" s="61"/>
    </row>
    <row r="461" spans="22:22" x14ac:dyDescent="0.35">
      <c r="V461" s="61"/>
    </row>
    <row r="462" spans="22:22" x14ac:dyDescent="0.35">
      <c r="V462" s="61"/>
    </row>
    <row r="463" spans="22:22" x14ac:dyDescent="0.35">
      <c r="V463" s="61"/>
    </row>
    <row r="464" spans="22:22" x14ac:dyDescent="0.35">
      <c r="V464" s="61"/>
    </row>
    <row r="465" spans="22:22" x14ac:dyDescent="0.35">
      <c r="V465" s="61"/>
    </row>
    <row r="466" spans="22:22" x14ac:dyDescent="0.35">
      <c r="V466" s="61"/>
    </row>
    <row r="467" spans="22:22" x14ac:dyDescent="0.35">
      <c r="V467" s="61"/>
    </row>
    <row r="468" spans="22:22" x14ac:dyDescent="0.35">
      <c r="V468" s="61"/>
    </row>
    <row r="469" spans="22:22" x14ac:dyDescent="0.35">
      <c r="V469" s="61"/>
    </row>
    <row r="470" spans="22:22" x14ac:dyDescent="0.35">
      <c r="V470" s="61"/>
    </row>
    <row r="471" spans="22:22" x14ac:dyDescent="0.35">
      <c r="V471" s="61"/>
    </row>
    <row r="472" spans="22:22" x14ac:dyDescent="0.35">
      <c r="V472" s="61"/>
    </row>
    <row r="473" spans="22:22" x14ac:dyDescent="0.35">
      <c r="V473" s="61"/>
    </row>
    <row r="474" spans="22:22" x14ac:dyDescent="0.35">
      <c r="V474" s="61"/>
    </row>
    <row r="475" spans="22:22" x14ac:dyDescent="0.35">
      <c r="V475" s="61"/>
    </row>
    <row r="476" spans="22:22" x14ac:dyDescent="0.35">
      <c r="V476" s="61"/>
    </row>
    <row r="477" spans="22:22" x14ac:dyDescent="0.35">
      <c r="V477" s="61"/>
    </row>
    <row r="478" spans="22:22" x14ac:dyDescent="0.35">
      <c r="V478" s="61"/>
    </row>
    <row r="479" spans="22:22" x14ac:dyDescent="0.35">
      <c r="V479" s="61"/>
    </row>
    <row r="480" spans="22:22" x14ac:dyDescent="0.35">
      <c r="V480" s="61"/>
    </row>
    <row r="481" spans="22:22" x14ac:dyDescent="0.35">
      <c r="V481" s="61"/>
    </row>
    <row r="482" spans="22:22" x14ac:dyDescent="0.35">
      <c r="V482" s="61"/>
    </row>
    <row r="483" spans="22:22" x14ac:dyDescent="0.35">
      <c r="V483" s="61"/>
    </row>
    <row r="484" spans="22:22" x14ac:dyDescent="0.35">
      <c r="V484" s="61"/>
    </row>
  </sheetData>
  <sheetProtection algorithmName="SHA-512" hashValue="uqzJlM8+6SrKRkT4UfwyMJCbY4IpCixeqXoxI3BLsKghAUN8VUMH6eTo57Yz0byazza2wnOqg2c3g8hpDYyopg==" saltValue="REaX4sGe4mgd/RWYofFAOg==" spinCount="100000" sheet="1" objects="1" scenarios="1" selectLockedCells="1"/>
  <mergeCells count="21">
    <mergeCell ref="N2:O2"/>
    <mergeCell ref="G9:I9"/>
    <mergeCell ref="N9:O10"/>
    <mergeCell ref="N13:O15"/>
    <mergeCell ref="N3:O3"/>
    <mergeCell ref="N5:O5"/>
    <mergeCell ref="N6:O6"/>
    <mergeCell ref="N4:O4"/>
    <mergeCell ref="G32:I33"/>
    <mergeCell ref="C32:C33"/>
    <mergeCell ref="B9:C9"/>
    <mergeCell ref="B26:C26"/>
    <mergeCell ref="B28:C28"/>
    <mergeCell ref="G28:I28"/>
    <mergeCell ref="B13:C14"/>
    <mergeCell ref="B30:C30"/>
    <mergeCell ref="G20:I20"/>
    <mergeCell ref="G13:I14"/>
    <mergeCell ref="G30:I30"/>
    <mergeCell ref="G26:I26"/>
    <mergeCell ref="G22:I22"/>
  </mergeCells>
  <phoneticPr fontId="4" type="noConversion"/>
  <dataValidations count="2">
    <dataValidation type="decimal" allowBlank="1" showInputMessage="1" showErrorMessage="1" error="Please enter a valid attainment 8 score" sqref="G13:I14" xr:uid="{00000000-0002-0000-0500-000000000000}">
      <formula1>0</formula1>
      <formula2>95</formula2>
    </dataValidation>
    <dataValidation type="list" allowBlank="1" showInputMessage="1" showErrorMessage="1" sqref="G9:I9" xr:uid="{00000000-0002-0000-0500-000001000000}">
      <formula1>$AC$8:$AC$13</formula1>
    </dataValidation>
  </dataValidations>
  <hyperlinks>
    <hyperlink ref="G32:G33" location="'All Measures Ready Reckoner'!A1" display="To All Measures Ready Reckoner ---&gt;" xr:uid="{00000000-0004-0000-0500-000000000000}"/>
    <hyperlink ref="C32:C33" location="'Key stage 2 Data Input'!A1" display="'Key stage 2 Data Input'!A1" xr:uid="{00000000-0004-0000-0500-000001000000}"/>
    <hyperlink ref="G32:I33" location="'All Measures Ready Reckoner'!A1" display="To All Measures Ready Reckoner ---&gt;" xr:uid="{00000000-0004-0000-0500-000002000000}"/>
    <hyperlink ref="N13:O15" r:id="rId1" display="Qualifications which count towards the EBacc" xr:uid="{00000000-0004-0000-0500-000003000000}"/>
    <hyperlink ref="N9:O10" r:id="rId2" display="https://www.gov.uk/government/publications/2018-performance-tables-discount-codes" xr:uid="{00000000-0004-0000-0500-000004000000}"/>
  </hyperlinks>
  <pageMargins left="0.75" right="0.75" top="1" bottom="1" header="0.5" footer="0.5"/>
  <pageSetup paperSize="9" scale="67" orientation="landscape" r:id="rId3"/>
  <headerFooter alignWithMargins="0"/>
  <rowBreaks count="1" manualBreakCount="1">
    <brk id="41" max="16383" man="1"/>
  </rowBreaks>
  <ignoredErrors>
    <ignoredError sqref="N9" unlockedFormula="1"/>
  </ignoredErrors>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indexed="48"/>
    <pageSetUpPr fitToPage="1"/>
  </sheetPr>
  <dimension ref="B1:AH26"/>
  <sheetViews>
    <sheetView showGridLines="0" showRowColHeaders="0" zoomScale="95" zoomScaleNormal="90" workbookViewId="0">
      <selection activeCell="L12" sqref="L12"/>
    </sheetView>
  </sheetViews>
  <sheetFormatPr defaultColWidth="9.1328125" defaultRowHeight="12.75" x14ac:dyDescent="0.35"/>
  <cols>
    <col min="1" max="1" width="1.73046875" style="159" customWidth="1"/>
    <col min="2" max="2" width="40.86328125" style="159" customWidth="1"/>
    <col min="3" max="3" width="2.1328125" style="159" customWidth="1"/>
    <col min="4" max="4" width="19.73046875" style="159" customWidth="1"/>
    <col min="5" max="5" width="3.3984375" style="159" customWidth="1"/>
    <col min="6" max="6" width="19.73046875" style="159" customWidth="1"/>
    <col min="7" max="7" width="3.3984375" style="159" customWidth="1"/>
    <col min="8" max="8" width="19.73046875" style="159" customWidth="1"/>
    <col min="9" max="9" width="3.3984375" style="159" customWidth="1"/>
    <col min="10" max="10" width="19.73046875" style="159" customWidth="1"/>
    <col min="11" max="11" width="3.3984375" style="159" customWidth="1"/>
    <col min="12" max="12" width="19.73046875" style="159" customWidth="1"/>
    <col min="13" max="13" width="3.3984375" style="159" customWidth="1"/>
    <col min="14" max="14" width="19.73046875" style="159" customWidth="1"/>
    <col min="15" max="16" width="9.1328125" style="159"/>
    <col min="17" max="25" width="14.1328125" style="159" customWidth="1"/>
    <col min="26" max="26" width="14.1328125" style="265" customWidth="1"/>
    <col min="27" max="27" width="28.73046875" style="265" hidden="1" customWidth="1"/>
    <col min="28" max="29" width="18.73046875" style="265" hidden="1" customWidth="1"/>
    <col min="30" max="30" width="15.86328125" style="265" hidden="1" customWidth="1"/>
    <col min="31" max="31" width="19.3984375" style="265" hidden="1" customWidth="1"/>
    <col min="32" max="33" width="14.1328125" style="265" hidden="1" customWidth="1"/>
    <col min="34" max="34" width="9.1328125" style="265"/>
    <col min="35" max="16384" width="9.1328125" style="159"/>
  </cols>
  <sheetData>
    <row r="1" spans="2:33" ht="18.75" customHeight="1" thickBot="1" x14ac:dyDescent="0.4">
      <c r="S1" s="160"/>
    </row>
    <row r="2" spans="2:33" ht="20.25" customHeight="1" thickBot="1" x14ac:dyDescent="0.55000000000000004">
      <c r="B2" s="161" t="s">
        <v>87</v>
      </c>
      <c r="N2" s="411" t="s">
        <v>19</v>
      </c>
      <c r="O2" s="412"/>
      <c r="S2" s="160"/>
      <c r="AA2" s="319"/>
      <c r="AB2" s="319" t="s">
        <v>291</v>
      </c>
      <c r="AC2" s="319"/>
      <c r="AD2" s="319"/>
      <c r="AE2" s="319"/>
      <c r="AF2" s="320"/>
      <c r="AG2" s="320"/>
    </row>
    <row r="3" spans="2:33" ht="38.65" thickBot="1" x14ac:dyDescent="0.4">
      <c r="M3" s="162"/>
      <c r="N3" s="413" t="s">
        <v>17</v>
      </c>
      <c r="O3" s="414"/>
      <c r="S3" s="160"/>
      <c r="AA3" s="321" t="s">
        <v>295</v>
      </c>
      <c r="AB3" s="322" t="s">
        <v>292</v>
      </c>
      <c r="AC3" s="322" t="s">
        <v>293</v>
      </c>
      <c r="AD3" s="322" t="s">
        <v>294</v>
      </c>
      <c r="AE3" s="323" t="s">
        <v>297</v>
      </c>
      <c r="AF3" s="324" t="s">
        <v>298</v>
      </c>
      <c r="AG3" s="324" t="s">
        <v>299</v>
      </c>
    </row>
    <row r="4" spans="2:33" ht="15.4" thickBot="1" x14ac:dyDescent="0.45">
      <c r="B4" s="163" t="s">
        <v>88</v>
      </c>
      <c r="N4" s="415" t="s">
        <v>16</v>
      </c>
      <c r="O4" s="416"/>
      <c r="S4" s="164"/>
      <c r="T4" s="164"/>
      <c r="U4" s="164"/>
      <c r="V4" s="164"/>
      <c r="AA4" s="328" t="s">
        <v>272</v>
      </c>
      <c r="AB4" s="321">
        <v>0</v>
      </c>
      <c r="AC4" s="321">
        <v>4.25</v>
      </c>
      <c r="AD4" s="321" t="str">
        <f>IF(AND('Key stage 2 Data Input'!F$35&gt;=AB4,'Key stage 2 Data Input'!F$35&lt;AC4),"Y","-")</f>
        <v>-</v>
      </c>
      <c r="AE4" s="321"/>
      <c r="AF4" s="321"/>
      <c r="AG4" s="325"/>
    </row>
    <row r="5" spans="2:33" ht="15.4" thickBot="1" x14ac:dyDescent="0.45">
      <c r="B5" s="163" t="s">
        <v>302</v>
      </c>
      <c r="N5" s="417" t="s">
        <v>82</v>
      </c>
      <c r="O5" s="418"/>
      <c r="S5" s="164"/>
      <c r="T5" s="164"/>
      <c r="U5" s="164"/>
      <c r="V5" s="164"/>
      <c r="AA5" s="328" t="s">
        <v>275</v>
      </c>
      <c r="AB5" s="321">
        <v>4.25</v>
      </c>
      <c r="AC5" s="321">
        <v>4.3499999999999996</v>
      </c>
      <c r="AD5" s="321" t="str">
        <f>IF(AND('Key stage 2 Data Input'!F$35&gt;=AB5,'Key stage 2 Data Input'!F$35&lt;AC5),"Y","-")</f>
        <v>-</v>
      </c>
      <c r="AE5" s="326">
        <f>'Model values'!C27</f>
        <v>34.200000000000003</v>
      </c>
      <c r="AF5" s="327">
        <f>'PAG Limits '!F11</f>
        <v>-3.5273278227724298</v>
      </c>
      <c r="AG5" s="327" t="str">
        <f>IF(ISNUMBER($D$16),IF($D$16&lt;$AF5,AF5,$D$16),"Pupil Excluded")</f>
        <v>Pupil Excluded</v>
      </c>
    </row>
    <row r="6" spans="2:33" ht="15" x14ac:dyDescent="0.4">
      <c r="B6" s="163" t="s">
        <v>89</v>
      </c>
      <c r="S6" s="165"/>
      <c r="T6" s="164"/>
      <c r="U6" s="164"/>
      <c r="V6" s="164"/>
      <c r="AA6" s="328" t="s">
        <v>276</v>
      </c>
      <c r="AB6" s="321">
        <v>4.3499999999999996</v>
      </c>
      <c r="AC6" s="321">
        <v>4.4499999999999993</v>
      </c>
      <c r="AD6" s="321" t="str">
        <f>IF(AND('Key stage 2 Data Input'!F$35&gt;=AB6,'Key stage 2 Data Input'!F$35&lt;AC6),"Y","-")</f>
        <v>-</v>
      </c>
      <c r="AE6" s="326">
        <f>'Model values'!C28</f>
        <v>36.020000000000003</v>
      </c>
      <c r="AF6" s="327">
        <f>'PAG Limits '!F12</f>
        <v>-3.5903245543201199</v>
      </c>
      <c r="AG6" s="327" t="str">
        <f>IF(ISNUMBER($D$16),IF($D$16&lt;$AF6,AF6,$D$16),"Pupil Excluded")</f>
        <v>Pupil Excluded</v>
      </c>
    </row>
    <row r="7" spans="2:33" ht="10.5" customHeight="1" x14ac:dyDescent="0.35">
      <c r="R7" s="166"/>
      <c r="S7" s="164"/>
      <c r="T7" s="164"/>
      <c r="U7" s="164"/>
      <c r="AA7" s="328" t="s">
        <v>277</v>
      </c>
      <c r="AB7" s="321">
        <v>4.4499999999999993</v>
      </c>
      <c r="AC7" s="321">
        <v>4.5499999999999989</v>
      </c>
      <c r="AD7" s="321" t="str">
        <f>IF(AND('Key stage 2 Data Input'!F$35&gt;=AB7,'Key stage 2 Data Input'!F$35&lt;AC7),"Y","-")</f>
        <v>-</v>
      </c>
      <c r="AE7" s="326">
        <f>'Model values'!C29</f>
        <v>37.68</v>
      </c>
      <c r="AF7" s="327">
        <f>'PAG Limits '!F13</f>
        <v>-3.61057400003665</v>
      </c>
      <c r="AG7" s="327" t="str">
        <f t="shared" ref="AG7:AG18" si="0">IF(ISNUMBER($D$16),IF($D$16&lt;$AF7,AF7,$D$16),"Pupil Excluded")</f>
        <v>Pupil Excluded</v>
      </c>
    </row>
    <row r="8" spans="2:33" ht="45" customHeight="1" x14ac:dyDescent="0.45">
      <c r="D8" s="425" t="s">
        <v>90</v>
      </c>
      <c r="E8" s="425"/>
      <c r="F8" s="425"/>
      <c r="G8" s="425"/>
      <c r="H8" s="425"/>
      <c r="I8" s="425"/>
      <c r="J8" s="425"/>
      <c r="K8" s="425"/>
      <c r="L8" s="425"/>
      <c r="M8" s="167"/>
      <c r="N8" s="167"/>
      <c r="R8" s="166"/>
      <c r="S8" s="164"/>
      <c r="T8" s="164"/>
      <c r="U8" s="164"/>
      <c r="AA8" s="328" t="s">
        <v>278</v>
      </c>
      <c r="AB8" s="321">
        <v>4.5499999999999989</v>
      </c>
      <c r="AC8" s="321">
        <v>4.6499999999999986</v>
      </c>
      <c r="AD8" s="321" t="str">
        <f>IF(AND('Key stage 2 Data Input'!F$35&gt;=AB8,'Key stage 2 Data Input'!F$35&lt;AC8),"Y","-")</f>
        <v>-</v>
      </c>
      <c r="AE8" s="326">
        <f>'Model values'!C30</f>
        <v>39.76</v>
      </c>
      <c r="AF8" s="327">
        <f>'PAG Limits '!F14</f>
        <v>-3.64594521821319</v>
      </c>
      <c r="AG8" s="327" t="str">
        <f t="shared" si="0"/>
        <v>Pupil Excluded</v>
      </c>
    </row>
    <row r="9" spans="2:33" ht="18.75" customHeight="1" thickBot="1" x14ac:dyDescent="0.4">
      <c r="R9" s="168"/>
      <c r="AA9" s="328" t="s">
        <v>279</v>
      </c>
      <c r="AB9" s="321">
        <v>4.6499999999999986</v>
      </c>
      <c r="AC9" s="321">
        <v>4.7499999999999982</v>
      </c>
      <c r="AD9" s="321" t="str">
        <f>IF(AND('Key stage 2 Data Input'!F$35&gt;=AB9,'Key stage 2 Data Input'!F$35&lt;AC9),"Y","-")</f>
        <v>-</v>
      </c>
      <c r="AE9" s="326">
        <f>'Model values'!C31</f>
        <v>41.93</v>
      </c>
      <c r="AF9" s="327">
        <f>'PAG Limits '!F15</f>
        <v>-3.6805993959018202</v>
      </c>
      <c r="AG9" s="327" t="str">
        <f t="shared" si="0"/>
        <v>Pupil Excluded</v>
      </c>
    </row>
    <row r="10" spans="2:33" ht="63.75" customHeight="1" thickBot="1" x14ac:dyDescent="0.4">
      <c r="C10" s="169"/>
      <c r="D10" s="170" t="s">
        <v>65</v>
      </c>
      <c r="E10" s="171"/>
      <c r="F10" s="170" t="s">
        <v>100</v>
      </c>
      <c r="G10" s="171"/>
      <c r="H10" s="170" t="s">
        <v>105</v>
      </c>
      <c r="I10" s="171"/>
      <c r="J10" s="170" t="s">
        <v>102</v>
      </c>
      <c r="L10" s="170" t="s">
        <v>104</v>
      </c>
      <c r="AA10" s="328" t="s">
        <v>280</v>
      </c>
      <c r="AB10" s="321">
        <v>4.7499999999999982</v>
      </c>
      <c r="AC10" s="321">
        <v>4.8499999999999979</v>
      </c>
      <c r="AD10" s="321" t="str">
        <f>IF(AND('Key stage 2 Data Input'!F$35&gt;=AB10,'Key stage 2 Data Input'!F$35&lt;AC10),"Y","-")</f>
        <v>-</v>
      </c>
      <c r="AE10" s="326">
        <f>'Model values'!C32</f>
        <v>44.25</v>
      </c>
      <c r="AF10" s="327">
        <f>'PAG Limits '!F16</f>
        <v>-3.6854713803021899</v>
      </c>
      <c r="AG10" s="327" t="str">
        <f t="shared" si="0"/>
        <v>Pupil Excluded</v>
      </c>
    </row>
    <row r="11" spans="2:33" ht="50.25" customHeight="1" thickBot="1" x14ac:dyDescent="0.4">
      <c r="B11" s="172"/>
      <c r="AA11" s="328" t="s">
        <v>281</v>
      </c>
      <c r="AB11" s="321">
        <v>4.8499999999999979</v>
      </c>
      <c r="AC11" s="321">
        <v>4.9499999999999975</v>
      </c>
      <c r="AD11" s="321" t="str">
        <f>IF(AND('Key stage 2 Data Input'!F$35&gt;=AB11,'Key stage 2 Data Input'!F$35&lt;AC11),"Y","-")</f>
        <v>-</v>
      </c>
      <c r="AE11" s="326">
        <f>'Model values'!C33</f>
        <v>46.51</v>
      </c>
      <c r="AF11" s="327">
        <f>'PAG Limits '!F17</f>
        <v>-3.7281102762921701</v>
      </c>
      <c r="AG11" s="327" t="str">
        <f t="shared" si="0"/>
        <v>Pupil Excluded</v>
      </c>
    </row>
    <row r="12" spans="2:33" ht="50.25" customHeight="1" thickBot="1" x14ac:dyDescent="0.4">
      <c r="B12" s="173" t="s">
        <v>83</v>
      </c>
      <c r="D12" s="179"/>
      <c r="F12" s="179"/>
      <c r="H12" s="179"/>
      <c r="J12" s="179"/>
      <c r="L12" s="179"/>
      <c r="AA12" s="328" t="s">
        <v>282</v>
      </c>
      <c r="AB12" s="321">
        <v>4.9499999999999975</v>
      </c>
      <c r="AC12" s="321">
        <v>5.0499999999999972</v>
      </c>
      <c r="AD12" s="321" t="str">
        <f>IF(AND('Key stage 2 Data Input'!F$35&gt;=AB12,'Key stage 2 Data Input'!F$35&lt;AC12),"Y","-")</f>
        <v>-</v>
      </c>
      <c r="AE12" s="326">
        <f>'Model values'!C34</f>
        <v>49.19</v>
      </c>
      <c r="AF12" s="327">
        <f>'PAG Limits '!F18</f>
        <v>-3.73598660475231</v>
      </c>
      <c r="AG12" s="327" t="str">
        <f t="shared" si="0"/>
        <v>Pupil Excluded</v>
      </c>
    </row>
    <row r="13" spans="2:33" ht="50.25" customHeight="1" thickBot="1" x14ac:dyDescent="0.4">
      <c r="B13" s="174"/>
      <c r="D13" s="175"/>
      <c r="F13" s="175"/>
      <c r="H13" s="175"/>
      <c r="J13" s="175"/>
      <c r="L13" s="175"/>
      <c r="AA13" s="328" t="s">
        <v>283</v>
      </c>
      <c r="AB13" s="321">
        <v>5.0499999999999972</v>
      </c>
      <c r="AC13" s="321">
        <v>5.15</v>
      </c>
      <c r="AD13" s="321" t="str">
        <f>IF(AND('Key stage 2 Data Input'!F$35&gt;=AB13,'Key stage 2 Data Input'!F$35&lt;AC13),"Y","-")</f>
        <v>-</v>
      </c>
      <c r="AE13" s="326">
        <f>'Model values'!C35</f>
        <v>52.05</v>
      </c>
      <c r="AF13" s="327">
        <f>'PAG Limits '!F19</f>
        <v>-3.70201055837782</v>
      </c>
      <c r="AG13" s="327" t="str">
        <f t="shared" si="0"/>
        <v>Pupil Excluded</v>
      </c>
    </row>
    <row r="14" spans="2:33" ht="50.25" customHeight="1" thickBot="1" x14ac:dyDescent="0.4">
      <c r="B14" s="176" t="s">
        <v>84</v>
      </c>
      <c r="D14" s="220" t="str">
        <f>IF(ISERROR(VLOOKUP('Single Measure Ready Reckoner'!$D$22,Coefficients!$B$4:$G$37,2,FALSE)),"-",VLOOKUP('Single Measure Ready Reckoner'!$D$22,Coefficients!$B$4:$G$37,2,FALSE))</f>
        <v>-</v>
      </c>
      <c r="F14" s="220" t="str">
        <f>IF(ISERROR(VLOOKUP('Single Measure Ready Reckoner'!$D$22,Coefficients!$B$4:$G$37,3,FALSE)),"-",VLOOKUP('Single Measure Ready Reckoner'!$D$22,Coefficients!$B$4:$G$37,3,FALSE))</f>
        <v>-</v>
      </c>
      <c r="H14" s="220" t="str">
        <f>IF(ISERROR(VLOOKUP('Single Measure Ready Reckoner'!$D$22,Coefficients!$B$4:$G$37,4,FALSE)),"-",VLOOKUP('Single Measure Ready Reckoner'!$D$22,Coefficients!$B$4:$G$37,4,FALSE))</f>
        <v>-</v>
      </c>
      <c r="J14" s="220" t="str">
        <f>IF(ISERROR(VLOOKUP('Single Measure Ready Reckoner'!$D$22,Coefficients!$B$4:$G$37,5,FALSE)),"-",VLOOKUP('Single Measure Ready Reckoner'!$D$22,Coefficients!$B$4:$G$37,5,FALSE))</f>
        <v>-</v>
      </c>
      <c r="L14" s="220" t="str">
        <f>IF(ISERROR(VLOOKUP('Single Measure Ready Reckoner'!$D$22,Coefficients!$B$4:$G$37,6,FALSE)),"-",VLOOKUP('Single Measure Ready Reckoner'!$D$22,Coefficients!$B$4:$G$37,6,FALSE))</f>
        <v>-</v>
      </c>
      <c r="AA14" s="328" t="s">
        <v>284</v>
      </c>
      <c r="AB14" s="321">
        <v>5.1499999999999968</v>
      </c>
      <c r="AC14" s="321">
        <v>5.2499999999999964</v>
      </c>
      <c r="AD14" s="321" t="str">
        <f>IF(AND('Key stage 2 Data Input'!F$35&gt;=AB14,'Key stage 2 Data Input'!F$35&lt;AC14),"Y","-")</f>
        <v>-</v>
      </c>
      <c r="AE14" s="326">
        <f>'Model values'!C36</f>
        <v>54.85</v>
      </c>
      <c r="AF14" s="327">
        <f>'PAG Limits '!F20</f>
        <v>-3.75866231537558</v>
      </c>
      <c r="AG14" s="327" t="str">
        <f t="shared" si="0"/>
        <v>Pupil Excluded</v>
      </c>
    </row>
    <row r="15" spans="2:33" ht="50.25" customHeight="1" thickBot="1" x14ac:dyDescent="0.4">
      <c r="B15" s="174"/>
      <c r="D15" s="175">
        <f>IF(ISERROR(ROUND(V2+($S3*V3)+($S4*V4)+($S5*V5)+($S6*V6)+($R7*U7),6)),"-",ROUND(V2+($S3*V3)+($S4*V4)+($S5*V5)+($S6*V6)+($R7*U7),6))</f>
        <v>0</v>
      </c>
      <c r="F15" s="175">
        <f>IF(ISERROR(ROUND(W2+($S3*W3)+($S4*W4)+($S5*W5)+($S6*W6)+($R7*V7),6)),"-",ROUND(W2+($S3*W3)+($S4*W4)+($S5*W5)+($S6*W6)+($R7*V7),6))</f>
        <v>0</v>
      </c>
      <c r="H15" s="175">
        <f>IF(ISERROR(ROUND(X2+($S3*X3)+($S4*X4)+($S5*X5)+($S6*X6)+($R7*W7),6)),"-",ROUND(X2+($S3*X3)+($S4*X4)+($S5*X5)+($S6*X6)+($R7*W7),6))</f>
        <v>0</v>
      </c>
      <c r="J15" s="175"/>
      <c r="L15" s="175"/>
      <c r="AA15" s="328" t="s">
        <v>285</v>
      </c>
      <c r="AB15" s="321">
        <v>5.2499999999999964</v>
      </c>
      <c r="AC15" s="321">
        <v>5.3499999999999961</v>
      </c>
      <c r="AD15" s="321" t="str">
        <f>IF(AND('Key stage 2 Data Input'!F$35&gt;=AB15,'Key stage 2 Data Input'!F$35&lt;AC15),"Y","-")</f>
        <v>-</v>
      </c>
      <c r="AE15" s="326">
        <f>'Model values'!C37</f>
        <v>58.09</v>
      </c>
      <c r="AF15" s="327">
        <f>'PAG Limits '!F21</f>
        <v>-3.6835981815082102</v>
      </c>
      <c r="AG15" s="327" t="str">
        <f t="shared" si="0"/>
        <v>Pupil Excluded</v>
      </c>
    </row>
    <row r="16" spans="2:33" ht="50.25" customHeight="1" thickBot="1" x14ac:dyDescent="0.4">
      <c r="B16" s="173" t="s">
        <v>96</v>
      </c>
      <c r="D16" s="261" t="str">
        <f>IF(ISBLANK(D12),"-",IF(ISERROR(D12-D14),"Pupil Excluded",ROUND((D12-D14)/10,2)))</f>
        <v>-</v>
      </c>
      <c r="F16" s="180" t="str">
        <f>IF(ISBLANK(F12),"-",IF(ISERROR(F12-F14),"Pupil Excluded",ROUND((F12-F14)/2,2)))</f>
        <v>-</v>
      </c>
      <c r="H16" s="180" t="str">
        <f>IF(ISBLANK(H12),"-",IF(ISERROR(H12-H14),"Pupil Excluded",ROUND((H12-H14)/2,2)))</f>
        <v>-</v>
      </c>
      <c r="J16" s="180" t="str">
        <f>IF(ISBLANK(J12),"-",IF(ISERROR(J12-J14),"Pupil Excluded",ROUND((J12-J14)/3,2)))</f>
        <v>-</v>
      </c>
      <c r="L16" s="180" t="str">
        <f>IF(ISBLANK(L12),"-",IF(ISERROR(L12-L14),"Pupil Excluded",ROUND((L12-L14)/3,2)))</f>
        <v>-</v>
      </c>
      <c r="AA16" s="328" t="s">
        <v>286</v>
      </c>
      <c r="AB16" s="321">
        <v>5.3499999999999961</v>
      </c>
      <c r="AC16" s="321">
        <v>5.4499999999999957</v>
      </c>
      <c r="AD16" s="321" t="str">
        <f>IF(AND('Key stage 2 Data Input'!F$35&gt;=AB16,'Key stage 2 Data Input'!F$35&lt;AC16),"Y","-")</f>
        <v>-</v>
      </c>
      <c r="AE16" s="326">
        <f>'Model values'!C38</f>
        <v>61.6</v>
      </c>
      <c r="AF16" s="327">
        <f>'PAG Limits '!F22</f>
        <v>-3.6273966592354099</v>
      </c>
      <c r="AG16" s="327" t="str">
        <f t="shared" si="0"/>
        <v>Pupil Excluded</v>
      </c>
    </row>
    <row r="17" spans="2:33" ht="50.45" customHeight="1" thickBot="1" x14ac:dyDescent="0.4">
      <c r="AA17" s="328" t="s">
        <v>287</v>
      </c>
      <c r="AB17" s="321">
        <v>5.4499999999999957</v>
      </c>
      <c r="AC17" s="321">
        <v>5.5499999999999954</v>
      </c>
      <c r="AD17" s="321" t="str">
        <f>IF(AND('Key stage 2 Data Input'!F$35&gt;=AB17,'Key stage 2 Data Input'!F$35&lt;AC17),"Y","-")</f>
        <v>-</v>
      </c>
      <c r="AE17" s="326">
        <f>'Model values'!C39</f>
        <v>65.28</v>
      </c>
      <c r="AF17" s="327">
        <f>'PAG Limits '!F23</f>
        <v>-3.53348658913364</v>
      </c>
      <c r="AG17" s="327" t="str">
        <f t="shared" si="0"/>
        <v>Pupil Excluded</v>
      </c>
    </row>
    <row r="18" spans="2:33" ht="50.45" customHeight="1" thickBot="1" x14ac:dyDescent="0.4">
      <c r="B18" s="173" t="s">
        <v>296</v>
      </c>
      <c r="D18" s="261" t="str">
        <f>IF(ISBLANK(D12),"-",IF('Single Measure Ready Reckoner'!D$22&lt;4.25,'All Measures Ready Reckoner'!D$16,VLOOKUP("Y",$AD$4:$AG$20,4,FALSE)))</f>
        <v>-</v>
      </c>
      <c r="AA18" s="328" t="s">
        <v>288</v>
      </c>
      <c r="AB18" s="321">
        <v>5.5499999999999954</v>
      </c>
      <c r="AC18" s="321">
        <v>5.649999999999995</v>
      </c>
      <c r="AD18" s="321" t="str">
        <f>IF(AND('Key stage 2 Data Input'!F$35&gt;=AB18,'Key stage 2 Data Input'!F$35&lt;AC18),"Y","-")</f>
        <v>-</v>
      </c>
      <c r="AE18" s="326">
        <f>'Model values'!C40</f>
        <v>69.67</v>
      </c>
      <c r="AF18" s="327">
        <f>'PAG Limits '!F24</f>
        <v>-3.3787448050813702</v>
      </c>
      <c r="AG18" s="327" t="str">
        <f t="shared" si="0"/>
        <v>Pupil Excluded</v>
      </c>
    </row>
    <row r="19" spans="2:33" ht="18.75" customHeight="1" thickBot="1" x14ac:dyDescent="0.4">
      <c r="B19" s="173"/>
      <c r="D19" s="263"/>
      <c r="AA19" s="328" t="s">
        <v>289</v>
      </c>
      <c r="AB19" s="321">
        <v>5.649999999999995</v>
      </c>
      <c r="AC19" s="321">
        <v>5.7499999999999947</v>
      </c>
      <c r="AD19" s="321" t="str">
        <f>IF(AND('Key stage 2 Data Input'!F$35&gt;=AB19,'Key stage 2 Data Input'!F$35&lt;AC19),"Y","-")</f>
        <v>-</v>
      </c>
      <c r="AE19" s="326">
        <f>'Model values'!C41</f>
        <v>74.31</v>
      </c>
      <c r="AF19" s="327">
        <f>'PAG Limits '!F25</f>
        <v>-3.07259908824029</v>
      </c>
      <c r="AG19" s="327" t="str">
        <f>IF(ISNUMBER($D$16),IF($D$16&lt;$AF19,AF19,$D$16),"Pupil Excluded")</f>
        <v>Pupil Excluded</v>
      </c>
    </row>
    <row r="20" spans="2:33" ht="20.25" customHeight="1" x14ac:dyDescent="0.35">
      <c r="L20" s="419" t="s">
        <v>85</v>
      </c>
      <c r="M20" s="420"/>
      <c r="N20" s="421"/>
      <c r="AA20" s="328" t="s">
        <v>290</v>
      </c>
      <c r="AB20" s="321">
        <v>5.7499999999999947</v>
      </c>
      <c r="AC20" s="321"/>
      <c r="AD20" s="321" t="str">
        <f>IF('Key stage 2 Data Input'!F$35&gt;=AB20,"Y","-")</f>
        <v>Y</v>
      </c>
      <c r="AE20" s="326">
        <f>'Model values'!C42</f>
        <v>79.19</v>
      </c>
      <c r="AF20" s="327">
        <f>'PAG Limits '!F26</f>
        <v>-2.68503314607511</v>
      </c>
      <c r="AG20" s="327" t="str">
        <f>IF(ISNUMBER($D$16),IF($D$16&lt;$AF20,AF20,$D$16),"Pupil Excluded")</f>
        <v>Pupil Excluded</v>
      </c>
    </row>
    <row r="21" spans="2:33" ht="20.25" customHeight="1" thickBot="1" x14ac:dyDescent="0.4">
      <c r="L21" s="422"/>
      <c r="M21" s="423"/>
      <c r="N21" s="424"/>
      <c r="AA21" s="267"/>
      <c r="AB21" s="266"/>
      <c r="AC21" s="266"/>
      <c r="AD21" s="266"/>
      <c r="AE21" s="268"/>
      <c r="AF21" s="269"/>
      <c r="AG21" s="269"/>
    </row>
    <row r="22" spans="2:33" x14ac:dyDescent="0.35">
      <c r="AA22" s="270"/>
      <c r="AB22" s="270"/>
      <c r="AC22" s="270"/>
      <c r="AD22" s="270"/>
      <c r="AE22" s="270"/>
    </row>
    <row r="23" spans="2:33" x14ac:dyDescent="0.35">
      <c r="AA23" s="270"/>
      <c r="AB23" s="270"/>
      <c r="AC23" s="270"/>
      <c r="AD23" s="270"/>
      <c r="AE23" s="270"/>
    </row>
    <row r="24" spans="2:33" x14ac:dyDescent="0.35">
      <c r="AA24" s="270"/>
      <c r="AB24" s="270"/>
      <c r="AC24" s="270"/>
      <c r="AD24" s="270"/>
      <c r="AE24" s="270"/>
    </row>
    <row r="25" spans="2:33" x14ac:dyDescent="0.35">
      <c r="AA25" s="270"/>
      <c r="AB25" s="270"/>
      <c r="AC25" s="270"/>
      <c r="AD25" s="270"/>
      <c r="AE25" s="270"/>
    </row>
    <row r="26" spans="2:33" x14ac:dyDescent="0.35">
      <c r="AA26" s="270"/>
      <c r="AB26" s="270"/>
      <c r="AC26" s="270"/>
      <c r="AD26" s="270"/>
      <c r="AE26" s="270"/>
    </row>
  </sheetData>
  <sheetProtection algorithmName="SHA-512" hashValue="MexxRjI0zt+UfXjC2jMGfjnvv88L5bEQSThcbIari53VtBUWrxoDIFwUkNEIClWnsGEKOfTpWDStf0VLuwPNMg==" saltValue="+2ZQuy+OmNRUrs2UwFCErQ==" spinCount="100000" sheet="1" objects="1" scenarios="1" selectLockedCells="1"/>
  <mergeCells count="6">
    <mergeCell ref="N2:O2"/>
    <mergeCell ref="N3:O3"/>
    <mergeCell ref="N4:O4"/>
    <mergeCell ref="N5:O5"/>
    <mergeCell ref="L20:N21"/>
    <mergeCell ref="D8:L8"/>
  </mergeCells>
  <dataValidations count="2">
    <dataValidation type="decimal" allowBlank="1" showInputMessage="1" showErrorMessage="1" sqref="D12" xr:uid="{00000000-0002-0000-0600-000000000000}">
      <formula1>0</formula1>
      <formula2>95</formula2>
    </dataValidation>
    <dataValidation type="decimal" allowBlank="1" showInputMessage="1" showErrorMessage="1" sqref="F12 H12 J12 L12" xr:uid="{00000000-0002-0000-0600-000001000000}">
      <formula1>0</formula1>
      <formula2>30</formula2>
    </dataValidation>
  </dataValidations>
  <hyperlinks>
    <hyperlink ref="L20:L21" location="'1 Measure Ready Reckoner'!A1" display="To Single Measure Ready Reckoner  ---&gt;" xr:uid="{00000000-0004-0000-0600-000000000000}"/>
    <hyperlink ref="L20:M21" location="'All Measures Ready Reckoner'!D12" display="To All Measures Ready Reckoner  ---&gt;" xr:uid="{00000000-0004-0000-0600-000001000000}"/>
    <hyperlink ref="L20:N21" location="'Single Measure Ready Reckoner'!D12" display="Back to Single Measure Ready Reckoner  &lt;---" xr:uid="{00000000-0004-0000-0600-000002000000}"/>
  </hyperlinks>
  <pageMargins left="0.75" right="0.75" top="1" bottom="1" header="0.5" footer="0.5"/>
  <pageSetup paperSize="9" scale="74"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B1:R74"/>
  <sheetViews>
    <sheetView workbookViewId="0">
      <selection activeCell="C2" sqref="C2"/>
    </sheetView>
  </sheetViews>
  <sheetFormatPr defaultRowHeight="12.75" x14ac:dyDescent="0.35"/>
  <cols>
    <col min="2" max="2" width="19.73046875" bestFit="1" customWidth="1"/>
    <col min="3" max="5" width="13.73046875" customWidth="1"/>
    <col min="6" max="6" width="21.86328125" customWidth="1"/>
    <col min="7" max="7" width="21.1328125" customWidth="1"/>
    <col min="8" max="8" width="12.73046875" customWidth="1"/>
    <col min="9" max="9" width="14.265625" customWidth="1"/>
    <col min="11" max="11" width="13.1328125" customWidth="1"/>
    <col min="15" max="15" width="10.73046875" customWidth="1"/>
    <col min="16" max="16" width="12.3984375" customWidth="1"/>
    <col min="17" max="17" width="11.265625" customWidth="1"/>
    <col min="18" max="18" width="12.1328125" customWidth="1"/>
  </cols>
  <sheetData>
    <row r="1" spans="2:18" ht="13.15" x14ac:dyDescent="0.4">
      <c r="B1" s="226" t="s">
        <v>347</v>
      </c>
      <c r="C1" s="226"/>
      <c r="D1" s="226"/>
      <c r="E1" s="226"/>
      <c r="F1" s="226"/>
      <c r="G1" s="225"/>
      <c r="H1" s="225"/>
      <c r="I1" s="225"/>
      <c r="K1" s="226" t="s">
        <v>262</v>
      </c>
      <c r="L1" s="226"/>
      <c r="M1" s="226"/>
      <c r="N1" s="226"/>
      <c r="O1" s="226"/>
      <c r="P1" s="226"/>
      <c r="Q1" s="226"/>
      <c r="R1" s="226"/>
    </row>
    <row r="3" spans="2:18" ht="25.5" x14ac:dyDescent="0.35">
      <c r="B3" s="222" t="s">
        <v>40</v>
      </c>
      <c r="C3" s="223" t="s">
        <v>65</v>
      </c>
      <c r="D3" s="223" t="s">
        <v>100</v>
      </c>
      <c r="E3" s="222" t="s">
        <v>101</v>
      </c>
      <c r="F3" s="222" t="s">
        <v>102</v>
      </c>
      <c r="G3" s="224" t="s">
        <v>104</v>
      </c>
      <c r="H3" t="s">
        <v>260</v>
      </c>
      <c r="I3" t="s">
        <v>261</v>
      </c>
      <c r="K3" s="227" t="s">
        <v>254</v>
      </c>
      <c r="L3" s="227" t="s">
        <v>255</v>
      </c>
      <c r="M3" s="227" t="s">
        <v>256</v>
      </c>
      <c r="N3" s="227" t="s">
        <v>257</v>
      </c>
      <c r="O3" s="227" t="s">
        <v>258</v>
      </c>
      <c r="P3" s="227" t="s">
        <v>259</v>
      </c>
      <c r="Q3" s="228" t="s">
        <v>260</v>
      </c>
      <c r="R3" s="228" t="s">
        <v>261</v>
      </c>
    </row>
    <row r="4" spans="2:18" x14ac:dyDescent="0.35">
      <c r="B4" s="58">
        <v>1.5</v>
      </c>
      <c r="C4" s="57">
        <v>15.13</v>
      </c>
      <c r="D4" s="57">
        <v>3.28</v>
      </c>
      <c r="E4" s="57">
        <v>2.25</v>
      </c>
      <c r="F4" s="57">
        <v>4.29</v>
      </c>
      <c r="G4" s="57">
        <v>5.31</v>
      </c>
      <c r="H4" s="57">
        <v>3.64</v>
      </c>
      <c r="I4" s="57">
        <v>1.67</v>
      </c>
      <c r="K4">
        <v>1.5</v>
      </c>
      <c r="L4">
        <v>13.65</v>
      </c>
      <c r="M4">
        <v>2.99</v>
      </c>
      <c r="N4">
        <v>1.92</v>
      </c>
      <c r="O4">
        <v>3.7</v>
      </c>
      <c r="P4">
        <v>5.04</v>
      </c>
      <c r="Q4">
        <v>3.45</v>
      </c>
      <c r="R4">
        <v>1.59</v>
      </c>
    </row>
    <row r="5" spans="2:18" x14ac:dyDescent="0.35">
      <c r="B5" s="58">
        <v>2</v>
      </c>
      <c r="C5" s="57">
        <v>17.239999999999998</v>
      </c>
      <c r="D5" s="57">
        <v>3.93</v>
      </c>
      <c r="E5" s="57">
        <v>2.52</v>
      </c>
      <c r="F5" s="57">
        <v>4.63</v>
      </c>
      <c r="G5" s="57">
        <v>6.17</v>
      </c>
      <c r="H5" s="57">
        <v>3.87</v>
      </c>
      <c r="I5" s="57">
        <v>2.2999999999999998</v>
      </c>
      <c r="K5">
        <v>2</v>
      </c>
      <c r="L5">
        <v>15.83</v>
      </c>
      <c r="M5">
        <v>3.58</v>
      </c>
      <c r="N5">
        <v>2.29</v>
      </c>
      <c r="O5">
        <v>4.26</v>
      </c>
      <c r="P5">
        <v>5.7</v>
      </c>
      <c r="Q5">
        <v>3.77</v>
      </c>
      <c r="R5">
        <v>1.93</v>
      </c>
    </row>
    <row r="6" spans="2:18" x14ac:dyDescent="0.35">
      <c r="B6" s="58">
        <v>2.5</v>
      </c>
      <c r="C6" s="57">
        <v>17.489999999999998</v>
      </c>
      <c r="D6" s="57">
        <v>4.28</v>
      </c>
      <c r="E6" s="57">
        <v>2.29</v>
      </c>
      <c r="F6" s="57">
        <v>4.5599999999999996</v>
      </c>
      <c r="G6" s="57">
        <v>6.36</v>
      </c>
      <c r="H6" s="57">
        <v>4.12</v>
      </c>
      <c r="I6" s="57">
        <v>2.2400000000000002</v>
      </c>
      <c r="K6">
        <v>2.5</v>
      </c>
      <c r="L6">
        <v>17.5</v>
      </c>
      <c r="M6">
        <v>4.29</v>
      </c>
      <c r="N6">
        <v>2.2999999999999998</v>
      </c>
      <c r="O6">
        <v>4.4800000000000004</v>
      </c>
      <c r="P6">
        <v>6.43</v>
      </c>
      <c r="Q6">
        <v>4.4800000000000004</v>
      </c>
      <c r="R6">
        <v>1.95</v>
      </c>
    </row>
    <row r="7" spans="2:18" x14ac:dyDescent="0.35">
      <c r="B7" s="58">
        <v>2.8</v>
      </c>
      <c r="C7" s="57">
        <v>18.29</v>
      </c>
      <c r="D7" s="57">
        <v>4.6100000000000003</v>
      </c>
      <c r="E7" s="57">
        <v>2.48</v>
      </c>
      <c r="F7" s="57">
        <v>4.53</v>
      </c>
      <c r="G7" s="57">
        <v>6.66</v>
      </c>
      <c r="H7" s="57">
        <v>4.16</v>
      </c>
      <c r="I7" s="57">
        <v>2.5</v>
      </c>
      <c r="K7">
        <v>2.8</v>
      </c>
      <c r="L7">
        <v>19</v>
      </c>
      <c r="M7">
        <v>4.6900000000000004</v>
      </c>
      <c r="N7">
        <v>2.66</v>
      </c>
      <c r="O7">
        <v>4.6900000000000004</v>
      </c>
      <c r="P7">
        <v>6.96</v>
      </c>
      <c r="Q7">
        <v>4.7</v>
      </c>
      <c r="R7">
        <v>2.2599999999999998</v>
      </c>
    </row>
    <row r="8" spans="2:18" x14ac:dyDescent="0.35">
      <c r="B8" s="58">
        <v>2.9</v>
      </c>
      <c r="C8" s="57">
        <v>19.809999999999999</v>
      </c>
      <c r="D8" s="57">
        <v>4.7699999999999996</v>
      </c>
      <c r="E8" s="57">
        <v>3.04</v>
      </c>
      <c r="F8" s="57">
        <v>4.97</v>
      </c>
      <c r="G8" s="57">
        <v>7.01</v>
      </c>
      <c r="H8" s="57">
        <v>4.51</v>
      </c>
      <c r="I8" s="57">
        <v>2.5</v>
      </c>
      <c r="K8">
        <v>2.9</v>
      </c>
      <c r="L8">
        <v>20.3</v>
      </c>
      <c r="M8">
        <v>4.95</v>
      </c>
      <c r="N8">
        <v>3.01</v>
      </c>
      <c r="O8">
        <v>5.0199999999999996</v>
      </c>
      <c r="P8">
        <v>7.32</v>
      </c>
      <c r="Q8">
        <v>5.03</v>
      </c>
      <c r="R8">
        <v>2.29</v>
      </c>
    </row>
    <row r="9" spans="2:18" x14ac:dyDescent="0.35">
      <c r="B9" s="58">
        <v>3</v>
      </c>
      <c r="C9" s="57">
        <v>20.65</v>
      </c>
      <c r="D9" s="57">
        <v>4.97</v>
      </c>
      <c r="E9" s="57">
        <v>3.1</v>
      </c>
      <c r="F9" s="57">
        <v>5.27</v>
      </c>
      <c r="G9" s="57">
        <v>7.3</v>
      </c>
      <c r="H9" s="57">
        <v>4.66</v>
      </c>
      <c r="I9" s="57">
        <v>2.64</v>
      </c>
      <c r="K9">
        <v>3</v>
      </c>
      <c r="L9">
        <v>21.39</v>
      </c>
      <c r="M9">
        <v>5.0599999999999996</v>
      </c>
      <c r="N9">
        <v>3.48</v>
      </c>
      <c r="O9">
        <v>5.32</v>
      </c>
      <c r="P9">
        <v>7.53</v>
      </c>
      <c r="Q9">
        <v>5.15</v>
      </c>
      <c r="R9">
        <v>2.38</v>
      </c>
    </row>
    <row r="10" spans="2:18" x14ac:dyDescent="0.35">
      <c r="B10" s="58">
        <v>3.1</v>
      </c>
      <c r="C10" s="57">
        <v>21.63</v>
      </c>
      <c r="D10" s="57">
        <v>5.12</v>
      </c>
      <c r="E10" s="57">
        <v>3.46</v>
      </c>
      <c r="F10" s="57">
        <v>5.46</v>
      </c>
      <c r="G10" s="57">
        <v>7.59</v>
      </c>
      <c r="H10" s="57">
        <v>4.8499999999999996</v>
      </c>
      <c r="I10" s="57">
        <v>2.74</v>
      </c>
      <c r="K10">
        <v>3.1</v>
      </c>
      <c r="L10">
        <v>22.84</v>
      </c>
      <c r="M10">
        <v>5.46</v>
      </c>
      <c r="N10">
        <v>3.63</v>
      </c>
      <c r="O10">
        <v>5.8</v>
      </c>
      <c r="P10">
        <v>7.96</v>
      </c>
      <c r="Q10">
        <v>5.52</v>
      </c>
      <c r="R10">
        <v>2.44</v>
      </c>
    </row>
    <row r="11" spans="2:18" x14ac:dyDescent="0.35">
      <c r="B11" s="58">
        <v>3.2</v>
      </c>
      <c r="C11" s="57">
        <v>22.44</v>
      </c>
      <c r="D11" s="57">
        <v>5.36</v>
      </c>
      <c r="E11" s="57">
        <v>3.63</v>
      </c>
      <c r="F11" s="57">
        <v>5.68</v>
      </c>
      <c r="G11" s="57">
        <v>7.78</v>
      </c>
      <c r="H11" s="57">
        <v>5.01</v>
      </c>
      <c r="I11" s="57">
        <v>2.76</v>
      </c>
      <c r="K11">
        <v>3.2</v>
      </c>
      <c r="L11">
        <v>22.92</v>
      </c>
      <c r="M11">
        <v>5.45</v>
      </c>
      <c r="N11">
        <v>3.67</v>
      </c>
      <c r="O11">
        <v>5.73</v>
      </c>
      <c r="P11">
        <v>8.07</v>
      </c>
      <c r="Q11">
        <v>5.54</v>
      </c>
      <c r="R11">
        <v>2.5299999999999998</v>
      </c>
    </row>
    <row r="12" spans="2:18" x14ac:dyDescent="0.35">
      <c r="B12" s="58">
        <v>3.3</v>
      </c>
      <c r="C12" s="57">
        <v>23.12</v>
      </c>
      <c r="D12" s="57">
        <v>5.51</v>
      </c>
      <c r="E12" s="57">
        <v>3.73</v>
      </c>
      <c r="F12" s="57">
        <v>5.88</v>
      </c>
      <c r="G12" s="57">
        <v>8</v>
      </c>
      <c r="H12" s="57">
        <v>5.22</v>
      </c>
      <c r="I12" s="57">
        <v>2.79</v>
      </c>
      <c r="K12">
        <v>3.3</v>
      </c>
      <c r="L12">
        <v>23.97</v>
      </c>
      <c r="M12">
        <v>5.71</v>
      </c>
      <c r="N12">
        <v>3.87</v>
      </c>
      <c r="O12">
        <v>6.07</v>
      </c>
      <c r="P12">
        <v>8.31</v>
      </c>
      <c r="Q12">
        <v>5.83</v>
      </c>
      <c r="R12">
        <v>2.4900000000000002</v>
      </c>
    </row>
    <row r="13" spans="2:18" x14ac:dyDescent="0.35">
      <c r="B13" s="58">
        <v>3.4</v>
      </c>
      <c r="C13" s="57">
        <v>23.97</v>
      </c>
      <c r="D13" s="57">
        <v>5.65</v>
      </c>
      <c r="E13" s="57">
        <v>3.96</v>
      </c>
      <c r="F13" s="57">
        <v>6.15</v>
      </c>
      <c r="G13" s="57">
        <v>8.2100000000000009</v>
      </c>
      <c r="H13" s="57">
        <v>5.29</v>
      </c>
      <c r="I13" s="57">
        <v>2.93</v>
      </c>
      <c r="K13">
        <v>3.4</v>
      </c>
      <c r="L13">
        <v>24.88</v>
      </c>
      <c r="M13">
        <v>5.87</v>
      </c>
      <c r="N13">
        <v>4.18</v>
      </c>
      <c r="O13">
        <v>6.32</v>
      </c>
      <c r="P13">
        <v>8.51</v>
      </c>
      <c r="Q13">
        <v>5.92</v>
      </c>
      <c r="R13">
        <v>2.59</v>
      </c>
    </row>
    <row r="14" spans="2:18" x14ac:dyDescent="0.35">
      <c r="B14" s="58">
        <v>3.5</v>
      </c>
      <c r="C14" s="57">
        <v>24.87</v>
      </c>
      <c r="D14" s="57">
        <v>5.89</v>
      </c>
      <c r="E14" s="57">
        <v>4.07</v>
      </c>
      <c r="F14" s="57">
        <v>6.36</v>
      </c>
      <c r="G14" s="57">
        <v>8.5500000000000007</v>
      </c>
      <c r="H14" s="57">
        <v>5.58</v>
      </c>
      <c r="I14" s="57">
        <v>2.97</v>
      </c>
      <c r="K14">
        <v>3.5</v>
      </c>
      <c r="L14">
        <v>25.91</v>
      </c>
      <c r="M14">
        <v>6.11</v>
      </c>
      <c r="N14">
        <v>4.4000000000000004</v>
      </c>
      <c r="O14">
        <v>6.62</v>
      </c>
      <c r="P14">
        <v>8.7899999999999991</v>
      </c>
      <c r="Q14">
        <v>6.22</v>
      </c>
      <c r="R14">
        <v>2.57</v>
      </c>
    </row>
    <row r="15" spans="2:18" x14ac:dyDescent="0.35">
      <c r="B15" s="58">
        <v>3.6</v>
      </c>
      <c r="C15" s="57">
        <v>25.66</v>
      </c>
      <c r="D15" s="57">
        <v>6.08</v>
      </c>
      <c r="E15" s="57">
        <v>4.22</v>
      </c>
      <c r="F15" s="57">
        <v>6.59</v>
      </c>
      <c r="G15" s="57">
        <v>8.7799999999999994</v>
      </c>
      <c r="H15" s="57">
        <v>5.77</v>
      </c>
      <c r="I15" s="57">
        <v>3.02</v>
      </c>
      <c r="K15">
        <v>3.6</v>
      </c>
      <c r="L15">
        <v>27.2</v>
      </c>
      <c r="M15">
        <v>6.34</v>
      </c>
      <c r="N15">
        <v>4.6100000000000003</v>
      </c>
      <c r="O15">
        <v>6.98</v>
      </c>
      <c r="P15">
        <v>9.26</v>
      </c>
      <c r="Q15">
        <v>6.48</v>
      </c>
      <c r="R15">
        <v>2.78</v>
      </c>
    </row>
    <row r="16" spans="2:18" x14ac:dyDescent="0.35">
      <c r="B16" s="58">
        <v>3.7</v>
      </c>
      <c r="C16" s="57">
        <v>26.54</v>
      </c>
      <c r="D16" s="57">
        <v>6.33</v>
      </c>
      <c r="E16" s="57">
        <v>4.38</v>
      </c>
      <c r="F16" s="57">
        <v>6.81</v>
      </c>
      <c r="G16" s="57">
        <v>9.02</v>
      </c>
      <c r="H16" s="57">
        <v>5.94</v>
      </c>
      <c r="I16" s="57">
        <v>3.08</v>
      </c>
      <c r="K16">
        <v>3.7</v>
      </c>
      <c r="L16">
        <v>28.09</v>
      </c>
      <c r="M16">
        <v>6.61</v>
      </c>
      <c r="N16">
        <v>4.8099999999999996</v>
      </c>
      <c r="O16">
        <v>7.2</v>
      </c>
      <c r="P16">
        <v>9.48</v>
      </c>
      <c r="Q16">
        <v>6.78</v>
      </c>
      <c r="R16">
        <v>2.7</v>
      </c>
    </row>
    <row r="17" spans="2:18" x14ac:dyDescent="0.35">
      <c r="B17" s="58">
        <v>3.8</v>
      </c>
      <c r="C17" s="57">
        <v>27.43</v>
      </c>
      <c r="D17" s="57">
        <v>6.5</v>
      </c>
      <c r="E17" s="57">
        <v>4.55</v>
      </c>
      <c r="F17" s="57">
        <v>7.06</v>
      </c>
      <c r="G17" s="57">
        <v>9.32</v>
      </c>
      <c r="H17" s="57">
        <v>6.15</v>
      </c>
      <c r="I17" s="57">
        <v>3.17</v>
      </c>
      <c r="K17">
        <v>3.8</v>
      </c>
      <c r="L17">
        <v>28.95</v>
      </c>
      <c r="M17">
        <v>6.78</v>
      </c>
      <c r="N17">
        <v>4.97</v>
      </c>
      <c r="O17">
        <v>7.46</v>
      </c>
      <c r="P17">
        <v>9.75</v>
      </c>
      <c r="Q17">
        <v>7.04</v>
      </c>
      <c r="R17">
        <v>2.71</v>
      </c>
    </row>
    <row r="18" spans="2:18" x14ac:dyDescent="0.35">
      <c r="B18" s="58">
        <v>3.9</v>
      </c>
      <c r="C18" s="57">
        <v>28.97</v>
      </c>
      <c r="D18" s="57">
        <v>6.83</v>
      </c>
      <c r="E18" s="57">
        <v>4.92</v>
      </c>
      <c r="F18" s="57">
        <v>7.51</v>
      </c>
      <c r="G18" s="57">
        <v>9.7100000000000009</v>
      </c>
      <c r="H18" s="57">
        <v>6.56</v>
      </c>
      <c r="I18" s="57">
        <v>3.15</v>
      </c>
      <c r="K18">
        <v>3.9</v>
      </c>
      <c r="L18">
        <v>30.11</v>
      </c>
      <c r="M18">
        <v>6.98</v>
      </c>
      <c r="N18">
        <v>5.28</v>
      </c>
      <c r="O18">
        <v>7.81</v>
      </c>
      <c r="P18">
        <v>10.039999999999999</v>
      </c>
      <c r="Q18">
        <v>7.25</v>
      </c>
      <c r="R18">
        <v>2.8</v>
      </c>
    </row>
    <row r="19" spans="2:18" x14ac:dyDescent="0.35">
      <c r="B19" s="58">
        <v>4</v>
      </c>
      <c r="C19" s="57">
        <v>30</v>
      </c>
      <c r="D19" s="57">
        <v>6.98</v>
      </c>
      <c r="E19" s="57">
        <v>5.23</v>
      </c>
      <c r="F19" s="57">
        <v>7.83</v>
      </c>
      <c r="G19" s="57">
        <v>9.9600000000000009</v>
      </c>
      <c r="H19" s="57">
        <v>6.69</v>
      </c>
      <c r="I19" s="57">
        <v>3.28</v>
      </c>
      <c r="K19">
        <v>4</v>
      </c>
      <c r="L19">
        <v>31.49</v>
      </c>
      <c r="M19">
        <v>7.25</v>
      </c>
      <c r="N19">
        <v>5.57</v>
      </c>
      <c r="O19">
        <v>8.26</v>
      </c>
      <c r="P19">
        <v>10.4</v>
      </c>
      <c r="Q19">
        <v>7.65</v>
      </c>
      <c r="R19">
        <v>2.75</v>
      </c>
    </row>
    <row r="20" spans="2:18" x14ac:dyDescent="0.35">
      <c r="B20" s="58">
        <v>4.0999999999999996</v>
      </c>
      <c r="C20" s="57">
        <v>31.27</v>
      </c>
      <c r="D20" s="57">
        <v>7.26</v>
      </c>
      <c r="E20" s="57">
        <v>5.49</v>
      </c>
      <c r="F20" s="57">
        <v>8.18</v>
      </c>
      <c r="G20" s="57">
        <v>10.33</v>
      </c>
      <c r="H20" s="57">
        <v>7.03</v>
      </c>
      <c r="I20" s="57">
        <v>3.3</v>
      </c>
      <c r="K20">
        <v>4.0999999999999996</v>
      </c>
      <c r="L20">
        <v>32.6</v>
      </c>
      <c r="M20">
        <v>7.48</v>
      </c>
      <c r="N20">
        <v>5.83</v>
      </c>
      <c r="O20">
        <v>8.56</v>
      </c>
      <c r="P20">
        <v>10.73</v>
      </c>
      <c r="Q20">
        <v>7.95</v>
      </c>
      <c r="R20">
        <v>2.78</v>
      </c>
    </row>
    <row r="21" spans="2:18" x14ac:dyDescent="0.35">
      <c r="B21" s="58">
        <v>4.2</v>
      </c>
      <c r="C21" s="57">
        <v>32.880000000000003</v>
      </c>
      <c r="D21" s="57">
        <v>7.57</v>
      </c>
      <c r="E21" s="57">
        <v>5.89</v>
      </c>
      <c r="F21" s="57">
        <v>8.69</v>
      </c>
      <c r="G21" s="57">
        <v>10.73</v>
      </c>
      <c r="H21" s="57">
        <v>7.39</v>
      </c>
      <c r="I21" s="57">
        <v>3.35</v>
      </c>
      <c r="K21">
        <v>4.2</v>
      </c>
      <c r="L21">
        <v>33.86</v>
      </c>
      <c r="M21">
        <v>7.74</v>
      </c>
      <c r="N21">
        <v>6.13</v>
      </c>
      <c r="O21">
        <v>8.92</v>
      </c>
      <c r="P21">
        <v>11.07</v>
      </c>
      <c r="Q21">
        <v>8.26</v>
      </c>
      <c r="R21">
        <v>2.81</v>
      </c>
    </row>
    <row r="22" spans="2:18" x14ac:dyDescent="0.35">
      <c r="B22" s="58">
        <v>4.3</v>
      </c>
      <c r="C22" s="57">
        <v>34.200000000000003</v>
      </c>
      <c r="D22" s="57">
        <v>7.8</v>
      </c>
      <c r="E22" s="57">
        <v>6.26</v>
      </c>
      <c r="F22" s="57">
        <v>9.08</v>
      </c>
      <c r="G22" s="57">
        <v>11.07</v>
      </c>
      <c r="H22" s="57">
        <v>7.73</v>
      </c>
      <c r="I22" s="57">
        <v>3.34</v>
      </c>
      <c r="K22">
        <v>4.3</v>
      </c>
      <c r="L22">
        <v>35.51</v>
      </c>
      <c r="M22">
        <v>8.0399999999999991</v>
      </c>
      <c r="N22">
        <v>6.52</v>
      </c>
      <c r="O22">
        <v>9.4700000000000006</v>
      </c>
      <c r="P22">
        <v>11.48</v>
      </c>
      <c r="Q22">
        <v>8.65</v>
      </c>
      <c r="R22">
        <v>2.83</v>
      </c>
    </row>
    <row r="23" spans="2:18" x14ac:dyDescent="0.35">
      <c r="B23" s="58">
        <v>4.4000000000000004</v>
      </c>
      <c r="C23" s="57">
        <v>36.020000000000003</v>
      </c>
      <c r="D23" s="57">
        <v>8.15</v>
      </c>
      <c r="E23" s="57">
        <v>6.68</v>
      </c>
      <c r="F23" s="57">
        <v>9.66</v>
      </c>
      <c r="G23" s="57">
        <v>11.52</v>
      </c>
      <c r="H23" s="57">
        <v>8.2200000000000006</v>
      </c>
      <c r="I23" s="57">
        <v>3.31</v>
      </c>
      <c r="K23">
        <v>4.4000000000000004</v>
      </c>
      <c r="L23">
        <v>37.08</v>
      </c>
      <c r="M23">
        <v>8.36</v>
      </c>
      <c r="N23">
        <v>6.89</v>
      </c>
      <c r="O23">
        <v>9.9499999999999993</v>
      </c>
      <c r="P23">
        <v>11.88</v>
      </c>
      <c r="Q23">
        <v>9.09</v>
      </c>
      <c r="R23">
        <v>2.79</v>
      </c>
    </row>
    <row r="24" spans="2:18" x14ac:dyDescent="0.35">
      <c r="B24" s="58">
        <v>4.5</v>
      </c>
      <c r="C24" s="57">
        <v>37.68</v>
      </c>
      <c r="D24" s="57">
        <v>8.4499999999999993</v>
      </c>
      <c r="E24" s="57">
        <v>7.06</v>
      </c>
      <c r="F24" s="57">
        <v>10.19</v>
      </c>
      <c r="G24" s="57">
        <v>11.98</v>
      </c>
      <c r="H24" s="57">
        <v>8.58</v>
      </c>
      <c r="I24" s="57">
        <v>3.4</v>
      </c>
      <c r="K24">
        <v>4.5</v>
      </c>
      <c r="L24">
        <v>38.93</v>
      </c>
      <c r="M24">
        <v>8.68</v>
      </c>
      <c r="N24">
        <v>7.3</v>
      </c>
      <c r="O24">
        <v>10.57</v>
      </c>
      <c r="P24">
        <v>12.37</v>
      </c>
      <c r="Q24">
        <v>9.6199999999999992</v>
      </c>
      <c r="R24">
        <v>2.75</v>
      </c>
    </row>
    <row r="25" spans="2:18" x14ac:dyDescent="0.35">
      <c r="B25" s="58">
        <v>4.5999999999999996</v>
      </c>
      <c r="C25" s="57">
        <v>39.76</v>
      </c>
      <c r="D25" s="57">
        <v>8.85</v>
      </c>
      <c r="E25" s="57">
        <v>7.52</v>
      </c>
      <c r="F25" s="57">
        <v>10.88</v>
      </c>
      <c r="G25" s="57">
        <v>12.52</v>
      </c>
      <c r="H25" s="57">
        <v>9.19</v>
      </c>
      <c r="I25" s="57">
        <v>3.32</v>
      </c>
      <c r="K25">
        <v>4.5999999999999996</v>
      </c>
      <c r="L25">
        <v>41.07</v>
      </c>
      <c r="M25">
        <v>9.08</v>
      </c>
      <c r="N25">
        <v>7.81</v>
      </c>
      <c r="O25">
        <v>11.29</v>
      </c>
      <c r="P25">
        <v>12.88</v>
      </c>
      <c r="Q25">
        <v>10.210000000000001</v>
      </c>
      <c r="R25">
        <v>2.67</v>
      </c>
    </row>
    <row r="26" spans="2:18" x14ac:dyDescent="0.35">
      <c r="B26" s="58">
        <v>4.7</v>
      </c>
      <c r="C26" s="57">
        <v>41.93</v>
      </c>
      <c r="D26" s="57">
        <v>9.27</v>
      </c>
      <c r="E26" s="57">
        <v>7.97</v>
      </c>
      <c r="F26" s="57">
        <v>11.61</v>
      </c>
      <c r="G26" s="57">
        <v>13.08</v>
      </c>
      <c r="H26" s="57">
        <v>9.85</v>
      </c>
      <c r="I26" s="57">
        <v>3.22</v>
      </c>
      <c r="K26">
        <v>4.7</v>
      </c>
      <c r="L26">
        <v>42.92</v>
      </c>
      <c r="M26">
        <v>9.44</v>
      </c>
      <c r="N26">
        <v>8.18</v>
      </c>
      <c r="O26">
        <v>11.93</v>
      </c>
      <c r="P26">
        <v>13.37</v>
      </c>
      <c r="Q26">
        <v>10.75</v>
      </c>
      <c r="R26">
        <v>2.62</v>
      </c>
    </row>
    <row r="27" spans="2:18" x14ac:dyDescent="0.35">
      <c r="B27" s="58">
        <v>4.8</v>
      </c>
      <c r="C27" s="57">
        <v>44.25</v>
      </c>
      <c r="D27" s="57">
        <v>9.6999999999999993</v>
      </c>
      <c r="E27" s="57">
        <v>8.4700000000000006</v>
      </c>
      <c r="F27" s="57">
        <v>12.38</v>
      </c>
      <c r="G27" s="57">
        <v>13.7</v>
      </c>
      <c r="H27" s="57">
        <v>10.53</v>
      </c>
      <c r="I27" s="57">
        <v>3.17</v>
      </c>
      <c r="K27">
        <v>4.8</v>
      </c>
      <c r="L27">
        <v>45.02</v>
      </c>
      <c r="M27">
        <v>9.81</v>
      </c>
      <c r="N27">
        <v>8.65</v>
      </c>
      <c r="O27">
        <v>12.66</v>
      </c>
      <c r="P27">
        <v>13.9</v>
      </c>
      <c r="Q27">
        <v>11.39</v>
      </c>
      <c r="R27">
        <v>2.5099999999999998</v>
      </c>
    </row>
    <row r="28" spans="2:18" x14ac:dyDescent="0.35">
      <c r="B28" s="58">
        <v>4.9000000000000004</v>
      </c>
      <c r="C28" s="57">
        <v>46.51</v>
      </c>
      <c r="D28" s="57">
        <v>10.130000000000001</v>
      </c>
      <c r="E28" s="57">
        <v>8.94</v>
      </c>
      <c r="F28" s="57">
        <v>13.17</v>
      </c>
      <c r="G28" s="57">
        <v>14.27</v>
      </c>
      <c r="H28" s="57">
        <v>11.23</v>
      </c>
      <c r="I28" s="57">
        <v>3.04</v>
      </c>
      <c r="K28">
        <v>4.9000000000000004</v>
      </c>
      <c r="L28">
        <v>47.46</v>
      </c>
      <c r="M28">
        <v>10.27</v>
      </c>
      <c r="N28">
        <v>9.17</v>
      </c>
      <c r="O28">
        <v>13.49</v>
      </c>
      <c r="P28">
        <v>14.52</v>
      </c>
      <c r="Q28">
        <v>12.07</v>
      </c>
      <c r="R28">
        <v>2.44</v>
      </c>
    </row>
    <row r="29" spans="2:18" x14ac:dyDescent="0.35">
      <c r="B29" s="58">
        <v>5</v>
      </c>
      <c r="C29" s="57">
        <v>49.19</v>
      </c>
      <c r="D29" s="57">
        <v>10.6</v>
      </c>
      <c r="E29" s="57">
        <v>9.52</v>
      </c>
      <c r="F29" s="57">
        <v>14.11</v>
      </c>
      <c r="G29" s="57">
        <v>14.96</v>
      </c>
      <c r="H29" s="57">
        <v>12.02</v>
      </c>
      <c r="I29" s="57">
        <v>2.94</v>
      </c>
      <c r="K29">
        <v>5</v>
      </c>
      <c r="L29">
        <v>49.85</v>
      </c>
      <c r="M29">
        <v>10.71</v>
      </c>
      <c r="N29">
        <v>9.69</v>
      </c>
      <c r="O29">
        <v>14.32</v>
      </c>
      <c r="P29">
        <v>15.12</v>
      </c>
      <c r="Q29">
        <v>12.83</v>
      </c>
      <c r="R29">
        <v>2.29</v>
      </c>
    </row>
    <row r="30" spans="2:18" x14ac:dyDescent="0.35">
      <c r="B30" s="58">
        <v>5.0999999999999996</v>
      </c>
      <c r="C30" s="57">
        <v>52.05</v>
      </c>
      <c r="D30" s="57">
        <v>11.1</v>
      </c>
      <c r="E30" s="57">
        <v>10.15</v>
      </c>
      <c r="F30" s="57">
        <v>15.11</v>
      </c>
      <c r="G30" s="57">
        <v>15.69</v>
      </c>
      <c r="H30" s="57">
        <v>12.94</v>
      </c>
      <c r="I30" s="57">
        <v>2.75</v>
      </c>
      <c r="K30">
        <v>5.0999999999999996</v>
      </c>
      <c r="L30">
        <v>52.51</v>
      </c>
      <c r="M30">
        <v>11.18</v>
      </c>
      <c r="N30">
        <v>10.29</v>
      </c>
      <c r="O30">
        <v>15.23</v>
      </c>
      <c r="P30">
        <v>15.81</v>
      </c>
      <c r="Q30">
        <v>13.65</v>
      </c>
      <c r="R30">
        <v>2.16</v>
      </c>
    </row>
    <row r="31" spans="2:18" x14ac:dyDescent="0.35">
      <c r="B31" s="58">
        <v>5.2</v>
      </c>
      <c r="C31" s="57">
        <v>54.85</v>
      </c>
      <c r="D31" s="57">
        <v>11.56</v>
      </c>
      <c r="E31" s="57">
        <v>10.84</v>
      </c>
      <c r="F31" s="57">
        <v>16.09</v>
      </c>
      <c r="G31" s="57">
        <v>16.37</v>
      </c>
      <c r="H31" s="57">
        <v>13.84</v>
      </c>
      <c r="I31" s="57">
        <v>2.5299999999999998</v>
      </c>
      <c r="K31">
        <v>5.2</v>
      </c>
      <c r="L31">
        <v>55.18</v>
      </c>
      <c r="M31">
        <v>11.62</v>
      </c>
      <c r="N31">
        <v>10.9</v>
      </c>
      <c r="O31">
        <v>16.18</v>
      </c>
      <c r="P31">
        <v>16.48</v>
      </c>
      <c r="Q31">
        <v>14.45</v>
      </c>
      <c r="R31">
        <v>2.0299999999999998</v>
      </c>
    </row>
    <row r="32" spans="2:18" x14ac:dyDescent="0.35">
      <c r="B32" s="58">
        <v>5.3</v>
      </c>
      <c r="C32" s="57">
        <v>58.09</v>
      </c>
      <c r="D32" s="57">
        <v>12.03</v>
      </c>
      <c r="E32" s="57">
        <v>11.67</v>
      </c>
      <c r="F32" s="57">
        <v>17.22</v>
      </c>
      <c r="G32" s="57">
        <v>17.170000000000002</v>
      </c>
      <c r="H32" s="57">
        <v>14.79</v>
      </c>
      <c r="I32" s="57">
        <v>2.38</v>
      </c>
      <c r="K32">
        <v>5.3</v>
      </c>
      <c r="L32">
        <v>57.79</v>
      </c>
      <c r="M32">
        <v>12.03</v>
      </c>
      <c r="N32">
        <v>11.55</v>
      </c>
      <c r="O32">
        <v>17.100000000000001</v>
      </c>
      <c r="P32">
        <v>17.11</v>
      </c>
      <c r="Q32">
        <v>15.24</v>
      </c>
      <c r="R32">
        <v>1.87</v>
      </c>
    </row>
    <row r="33" spans="2:18" x14ac:dyDescent="0.35">
      <c r="B33" s="58">
        <v>5.4</v>
      </c>
      <c r="C33" s="57">
        <v>61.6</v>
      </c>
      <c r="D33" s="57">
        <v>12.61</v>
      </c>
      <c r="E33" s="57">
        <v>12.45</v>
      </c>
      <c r="F33" s="57">
        <v>18.440000000000001</v>
      </c>
      <c r="G33" s="57">
        <v>18.100000000000001</v>
      </c>
      <c r="H33" s="57">
        <v>15.94</v>
      </c>
      <c r="I33" s="57">
        <v>2.16</v>
      </c>
      <c r="K33">
        <v>5.4</v>
      </c>
      <c r="L33">
        <v>60.8</v>
      </c>
      <c r="M33">
        <v>12.5</v>
      </c>
      <c r="N33">
        <v>12.27</v>
      </c>
      <c r="O33">
        <v>18.149999999999999</v>
      </c>
      <c r="P33">
        <v>17.89</v>
      </c>
      <c r="Q33">
        <v>16.149999999999999</v>
      </c>
      <c r="R33">
        <v>1.74</v>
      </c>
    </row>
    <row r="34" spans="2:18" x14ac:dyDescent="0.35">
      <c r="B34" s="58">
        <v>5.5</v>
      </c>
      <c r="C34" s="57">
        <v>65.28</v>
      </c>
      <c r="D34" s="57">
        <v>13.21</v>
      </c>
      <c r="E34" s="57">
        <v>13.32</v>
      </c>
      <c r="F34" s="57">
        <v>19.7</v>
      </c>
      <c r="G34" s="57">
        <v>19.05</v>
      </c>
      <c r="H34" s="57">
        <v>17.190000000000001</v>
      </c>
      <c r="I34" s="57">
        <v>1.87</v>
      </c>
      <c r="K34">
        <v>5.5</v>
      </c>
      <c r="L34">
        <v>64.03</v>
      </c>
      <c r="M34">
        <v>13.01</v>
      </c>
      <c r="N34">
        <v>13.05</v>
      </c>
      <c r="O34">
        <v>19.27</v>
      </c>
      <c r="P34">
        <v>18.7</v>
      </c>
      <c r="Q34">
        <v>17.149999999999999</v>
      </c>
      <c r="R34">
        <v>1.55</v>
      </c>
    </row>
    <row r="35" spans="2:18" x14ac:dyDescent="0.35">
      <c r="B35" s="58">
        <v>5.6</v>
      </c>
      <c r="C35" s="57">
        <v>69.67</v>
      </c>
      <c r="D35" s="57">
        <v>13.91</v>
      </c>
      <c r="E35" s="57">
        <v>14.27</v>
      </c>
      <c r="F35" s="57">
        <v>21.2</v>
      </c>
      <c r="G35" s="57">
        <v>20.28</v>
      </c>
      <c r="H35" s="57">
        <v>18.72</v>
      </c>
      <c r="I35" s="57">
        <v>1.56</v>
      </c>
      <c r="K35">
        <v>5.6</v>
      </c>
      <c r="L35">
        <v>67.72</v>
      </c>
      <c r="M35">
        <v>13.62</v>
      </c>
      <c r="N35">
        <v>13.85</v>
      </c>
      <c r="O35">
        <v>20.55</v>
      </c>
      <c r="P35">
        <v>19.7</v>
      </c>
      <c r="Q35">
        <v>18.37</v>
      </c>
      <c r="R35">
        <v>1.32</v>
      </c>
    </row>
    <row r="36" spans="2:18" x14ac:dyDescent="0.35">
      <c r="B36" s="58">
        <v>5.7</v>
      </c>
      <c r="C36" s="57">
        <v>74.31</v>
      </c>
      <c r="D36" s="57">
        <v>14.71</v>
      </c>
      <c r="E36" s="57">
        <v>15.23</v>
      </c>
      <c r="F36" s="57">
        <v>22.76</v>
      </c>
      <c r="G36" s="57">
        <v>21.61</v>
      </c>
      <c r="H36" s="57">
        <v>20.37</v>
      </c>
      <c r="I36" s="57">
        <v>1.24</v>
      </c>
      <c r="K36">
        <v>5.7</v>
      </c>
      <c r="L36">
        <v>72.11</v>
      </c>
      <c r="M36">
        <v>14.39</v>
      </c>
      <c r="N36">
        <v>14.78</v>
      </c>
      <c r="O36">
        <v>22.04</v>
      </c>
      <c r="P36">
        <v>20.91</v>
      </c>
      <c r="Q36">
        <v>19.809999999999999</v>
      </c>
      <c r="R36">
        <v>1.1000000000000001</v>
      </c>
    </row>
    <row r="37" spans="2:18" x14ac:dyDescent="0.35">
      <c r="B37" s="58">
        <v>5.8</v>
      </c>
      <c r="C37" s="57">
        <v>79.19</v>
      </c>
      <c r="D37" s="57">
        <v>15.58</v>
      </c>
      <c r="E37" s="57">
        <v>16.149999999999999</v>
      </c>
      <c r="F37" s="57">
        <v>24.32</v>
      </c>
      <c r="G37" s="57">
        <v>23.14</v>
      </c>
      <c r="H37" s="57">
        <v>22.25</v>
      </c>
      <c r="I37" s="57">
        <v>0.89</v>
      </c>
      <c r="K37">
        <v>5.8</v>
      </c>
      <c r="L37">
        <v>77.13</v>
      </c>
      <c r="M37">
        <v>15.27</v>
      </c>
      <c r="N37">
        <v>15.76</v>
      </c>
      <c r="O37">
        <v>23.65</v>
      </c>
      <c r="P37">
        <v>22.44</v>
      </c>
      <c r="Q37">
        <v>21.62</v>
      </c>
      <c r="R37">
        <v>0.82</v>
      </c>
    </row>
    <row r="38" spans="2:18" x14ac:dyDescent="0.35">
      <c r="B38" s="55"/>
      <c r="C38" s="55"/>
      <c r="D38" s="47"/>
    </row>
    <row r="39" spans="2:18" x14ac:dyDescent="0.35">
      <c r="B39" s="55"/>
      <c r="C39" s="55"/>
      <c r="D39" s="47"/>
    </row>
    <row r="41" spans="2:18" x14ac:dyDescent="0.35">
      <c r="B41" s="58">
        <v>1.5</v>
      </c>
      <c r="C41" t="b">
        <f>C4='Model values'!C9</f>
        <v>1</v>
      </c>
      <c r="D41" t="b">
        <f>D4='Model values'!D9</f>
        <v>1</v>
      </c>
      <c r="E41" t="b">
        <f>E4='Model values'!E9</f>
        <v>1</v>
      </c>
      <c r="F41" t="b">
        <f>F4='Model values'!F9</f>
        <v>1</v>
      </c>
      <c r="G41" t="b">
        <f>G4='Model values'!G9</f>
        <v>1</v>
      </c>
    </row>
    <row r="42" spans="2:18" x14ac:dyDescent="0.35">
      <c r="B42" s="58">
        <v>2</v>
      </c>
      <c r="C42" t="b">
        <f>C5='Model values'!C10</f>
        <v>1</v>
      </c>
      <c r="D42" t="b">
        <f>D5='Model values'!D10</f>
        <v>1</v>
      </c>
      <c r="E42" t="b">
        <f>E5='Model values'!E10</f>
        <v>1</v>
      </c>
      <c r="F42" t="b">
        <f>F5='Model values'!F10</f>
        <v>1</v>
      </c>
      <c r="G42" t="b">
        <f>G5='Model values'!G10</f>
        <v>1</v>
      </c>
    </row>
    <row r="43" spans="2:18" x14ac:dyDescent="0.35">
      <c r="B43" s="58">
        <v>2.5</v>
      </c>
      <c r="C43" t="b">
        <f>C6='Model values'!C11</f>
        <v>1</v>
      </c>
      <c r="D43" t="b">
        <f>D6='Model values'!D11</f>
        <v>1</v>
      </c>
      <c r="E43" t="b">
        <f>E6='Model values'!E11</f>
        <v>1</v>
      </c>
      <c r="F43" t="b">
        <f>F6='Model values'!F11</f>
        <v>1</v>
      </c>
      <c r="G43" t="b">
        <f>G6='Model values'!G11</f>
        <v>1</v>
      </c>
    </row>
    <row r="44" spans="2:18" x14ac:dyDescent="0.35">
      <c r="B44" s="58">
        <v>2.8</v>
      </c>
      <c r="C44" t="b">
        <f>C7='Model values'!C12</f>
        <v>1</v>
      </c>
      <c r="D44" t="b">
        <f>D7='Model values'!D12</f>
        <v>1</v>
      </c>
      <c r="E44" t="b">
        <f>E7='Model values'!E12</f>
        <v>1</v>
      </c>
      <c r="F44" t="b">
        <f>F7='Model values'!F12</f>
        <v>1</v>
      </c>
      <c r="G44" t="b">
        <f>G7='Model values'!G12</f>
        <v>1</v>
      </c>
    </row>
    <row r="45" spans="2:18" x14ac:dyDescent="0.35">
      <c r="B45" s="58">
        <v>2.9</v>
      </c>
      <c r="C45" t="b">
        <f>C8='Model values'!C13</f>
        <v>1</v>
      </c>
      <c r="D45" t="b">
        <f>D8='Model values'!D13</f>
        <v>1</v>
      </c>
      <c r="E45" t="b">
        <f>E8='Model values'!E13</f>
        <v>1</v>
      </c>
      <c r="F45" t="b">
        <f>F8='Model values'!F13</f>
        <v>1</v>
      </c>
      <c r="G45" t="b">
        <f>G8='Model values'!G13</f>
        <v>1</v>
      </c>
    </row>
    <row r="46" spans="2:18" x14ac:dyDescent="0.35">
      <c r="B46" s="58">
        <v>3</v>
      </c>
      <c r="C46" t="b">
        <f>C9='Model values'!C14</f>
        <v>1</v>
      </c>
      <c r="D46" t="b">
        <f>D9='Model values'!D14</f>
        <v>1</v>
      </c>
      <c r="E46" t="b">
        <f>E9='Model values'!E14</f>
        <v>1</v>
      </c>
      <c r="F46" t="b">
        <f>F9='Model values'!F14</f>
        <v>1</v>
      </c>
      <c r="G46" t="b">
        <f>G9='Model values'!G14</f>
        <v>1</v>
      </c>
    </row>
    <row r="47" spans="2:18" x14ac:dyDescent="0.35">
      <c r="B47" s="58">
        <v>3.1</v>
      </c>
      <c r="C47" t="b">
        <f>C10='Model values'!C15</f>
        <v>1</v>
      </c>
      <c r="D47" t="b">
        <f>D10='Model values'!D15</f>
        <v>1</v>
      </c>
      <c r="E47" t="b">
        <f>E10='Model values'!E15</f>
        <v>1</v>
      </c>
      <c r="F47" t="b">
        <f>F10='Model values'!F15</f>
        <v>1</v>
      </c>
      <c r="G47" t="b">
        <f>G10='Model values'!G15</f>
        <v>1</v>
      </c>
    </row>
    <row r="48" spans="2:18" x14ac:dyDescent="0.35">
      <c r="B48" s="58">
        <v>3.2</v>
      </c>
      <c r="C48" t="b">
        <f>C11='Model values'!C16</f>
        <v>1</v>
      </c>
      <c r="D48" t="b">
        <f>D11='Model values'!D16</f>
        <v>1</v>
      </c>
      <c r="E48" t="b">
        <f>E11='Model values'!E16</f>
        <v>1</v>
      </c>
      <c r="F48" t="b">
        <f>F11='Model values'!F16</f>
        <v>1</v>
      </c>
      <c r="G48" t="b">
        <f>G11='Model values'!G16</f>
        <v>1</v>
      </c>
    </row>
    <row r="49" spans="2:7" x14ac:dyDescent="0.35">
      <c r="B49" s="58">
        <v>3.3</v>
      </c>
      <c r="C49" t="b">
        <f>C12='Model values'!C17</f>
        <v>1</v>
      </c>
      <c r="D49" t="b">
        <f>D12='Model values'!D17</f>
        <v>1</v>
      </c>
      <c r="E49" t="b">
        <f>E12='Model values'!E17</f>
        <v>1</v>
      </c>
      <c r="F49" t="b">
        <f>F12='Model values'!F17</f>
        <v>1</v>
      </c>
      <c r="G49" t="b">
        <f>G12='Model values'!G17</f>
        <v>1</v>
      </c>
    </row>
    <row r="50" spans="2:7" x14ac:dyDescent="0.35">
      <c r="B50" s="58">
        <v>3.4</v>
      </c>
      <c r="C50" t="b">
        <f>C13='Model values'!C18</f>
        <v>1</v>
      </c>
      <c r="D50" t="b">
        <f>D13='Model values'!D18</f>
        <v>1</v>
      </c>
      <c r="E50" t="b">
        <f>E13='Model values'!E18</f>
        <v>1</v>
      </c>
      <c r="F50" t="b">
        <f>F13='Model values'!F18</f>
        <v>1</v>
      </c>
      <c r="G50" t="b">
        <f>G13='Model values'!G18</f>
        <v>1</v>
      </c>
    </row>
    <row r="51" spans="2:7" x14ac:dyDescent="0.35">
      <c r="B51" s="58">
        <v>3.5</v>
      </c>
      <c r="C51" t="b">
        <f>C14='Model values'!C19</f>
        <v>1</v>
      </c>
      <c r="D51" t="b">
        <f>D14='Model values'!D19</f>
        <v>1</v>
      </c>
      <c r="E51" t="b">
        <f>E14='Model values'!E19</f>
        <v>1</v>
      </c>
      <c r="F51" t="b">
        <f>F14='Model values'!F19</f>
        <v>1</v>
      </c>
      <c r="G51" t="b">
        <f>G14='Model values'!G19</f>
        <v>1</v>
      </c>
    </row>
    <row r="52" spans="2:7" x14ac:dyDescent="0.35">
      <c r="B52" s="58">
        <v>3.6</v>
      </c>
      <c r="C52" t="b">
        <f>C15='Model values'!C20</f>
        <v>1</v>
      </c>
      <c r="D52" t="b">
        <f>D15='Model values'!D20</f>
        <v>1</v>
      </c>
      <c r="E52" t="b">
        <f>E15='Model values'!E20</f>
        <v>1</v>
      </c>
      <c r="F52" t="b">
        <f>F15='Model values'!F20</f>
        <v>1</v>
      </c>
      <c r="G52" t="b">
        <f>G15='Model values'!G20</f>
        <v>1</v>
      </c>
    </row>
    <row r="53" spans="2:7" x14ac:dyDescent="0.35">
      <c r="B53" s="58">
        <v>3.7</v>
      </c>
      <c r="C53" t="b">
        <f>C16='Model values'!C21</f>
        <v>1</v>
      </c>
      <c r="D53" t="b">
        <f>D16='Model values'!D21</f>
        <v>1</v>
      </c>
      <c r="E53" t="b">
        <f>E16='Model values'!E21</f>
        <v>1</v>
      </c>
      <c r="F53" t="b">
        <f>F16='Model values'!F21</f>
        <v>1</v>
      </c>
      <c r="G53" t="b">
        <f>G16='Model values'!G21</f>
        <v>1</v>
      </c>
    </row>
    <row r="54" spans="2:7" x14ac:dyDescent="0.35">
      <c r="B54" s="58">
        <v>3.8</v>
      </c>
      <c r="C54" t="b">
        <f>C17='Model values'!C22</f>
        <v>1</v>
      </c>
      <c r="D54" t="b">
        <f>D17='Model values'!D22</f>
        <v>1</v>
      </c>
      <c r="E54" t="b">
        <f>E17='Model values'!E22</f>
        <v>1</v>
      </c>
      <c r="F54" t="b">
        <f>F17='Model values'!F22</f>
        <v>1</v>
      </c>
      <c r="G54" t="b">
        <f>G17='Model values'!G22</f>
        <v>1</v>
      </c>
    </row>
    <row r="55" spans="2:7" x14ac:dyDescent="0.35">
      <c r="B55" s="58">
        <v>3.9</v>
      </c>
      <c r="C55" t="b">
        <f>C18='Model values'!C23</f>
        <v>1</v>
      </c>
      <c r="D55" t="b">
        <f>D18='Model values'!D23</f>
        <v>1</v>
      </c>
      <c r="E55" t="b">
        <f>E18='Model values'!E23</f>
        <v>1</v>
      </c>
      <c r="F55" t="b">
        <f>F18='Model values'!F23</f>
        <v>1</v>
      </c>
      <c r="G55" t="b">
        <f>G18='Model values'!G23</f>
        <v>1</v>
      </c>
    </row>
    <row r="56" spans="2:7" x14ac:dyDescent="0.35">
      <c r="B56" s="58">
        <v>4</v>
      </c>
      <c r="C56" t="b">
        <f>C19='Model values'!C24</f>
        <v>1</v>
      </c>
      <c r="D56" t="b">
        <f>D19='Model values'!D24</f>
        <v>1</v>
      </c>
      <c r="E56" t="b">
        <f>E19='Model values'!E24</f>
        <v>1</v>
      </c>
      <c r="F56" t="b">
        <f>F19='Model values'!F24</f>
        <v>1</v>
      </c>
      <c r="G56" t="b">
        <f>G19='Model values'!G24</f>
        <v>1</v>
      </c>
    </row>
    <row r="57" spans="2:7" x14ac:dyDescent="0.35">
      <c r="B57" s="58">
        <v>4.0999999999999996</v>
      </c>
      <c r="C57" t="b">
        <f>C20='Model values'!C25</f>
        <v>1</v>
      </c>
      <c r="D57" t="b">
        <f>D20='Model values'!D25</f>
        <v>1</v>
      </c>
      <c r="E57" t="b">
        <f>E20='Model values'!E25</f>
        <v>1</v>
      </c>
      <c r="F57" t="b">
        <f>F20='Model values'!F25</f>
        <v>1</v>
      </c>
      <c r="G57" t="b">
        <f>G20='Model values'!G25</f>
        <v>1</v>
      </c>
    </row>
    <row r="58" spans="2:7" x14ac:dyDescent="0.35">
      <c r="B58" s="58">
        <v>4.2</v>
      </c>
      <c r="C58" t="b">
        <f>C21='Model values'!C26</f>
        <v>1</v>
      </c>
      <c r="D58" t="b">
        <f>D21='Model values'!D26</f>
        <v>1</v>
      </c>
      <c r="E58" t="b">
        <f>E21='Model values'!E26</f>
        <v>1</v>
      </c>
      <c r="F58" t="b">
        <f>F21='Model values'!F26</f>
        <v>1</v>
      </c>
      <c r="G58" t="b">
        <f>G21='Model values'!G26</f>
        <v>1</v>
      </c>
    </row>
    <row r="59" spans="2:7" x14ac:dyDescent="0.35">
      <c r="B59" s="58">
        <v>4.3</v>
      </c>
      <c r="C59" t="b">
        <f>C22='Model values'!C27</f>
        <v>1</v>
      </c>
      <c r="D59" t="b">
        <f>D22='Model values'!D27</f>
        <v>1</v>
      </c>
      <c r="E59" t="b">
        <f>E22='Model values'!E27</f>
        <v>1</v>
      </c>
      <c r="F59" t="b">
        <f>F22='Model values'!F27</f>
        <v>1</v>
      </c>
      <c r="G59" t="b">
        <f>G22='Model values'!G27</f>
        <v>1</v>
      </c>
    </row>
    <row r="60" spans="2:7" x14ac:dyDescent="0.35">
      <c r="B60" s="58">
        <v>4.4000000000000004</v>
      </c>
      <c r="C60" t="b">
        <f>C23='Model values'!C28</f>
        <v>1</v>
      </c>
      <c r="D60" t="b">
        <f>D23='Model values'!D28</f>
        <v>1</v>
      </c>
      <c r="E60" t="b">
        <f>E23='Model values'!E28</f>
        <v>1</v>
      </c>
      <c r="F60" t="b">
        <f>F23='Model values'!F28</f>
        <v>1</v>
      </c>
      <c r="G60" t="b">
        <f>G23='Model values'!G28</f>
        <v>1</v>
      </c>
    </row>
    <row r="61" spans="2:7" x14ac:dyDescent="0.35">
      <c r="B61" s="58">
        <v>4.5</v>
      </c>
      <c r="C61" t="b">
        <f>C24='Model values'!C29</f>
        <v>1</v>
      </c>
      <c r="D61" t="b">
        <f>D24='Model values'!D29</f>
        <v>1</v>
      </c>
      <c r="E61" t="b">
        <f>E24='Model values'!E29</f>
        <v>1</v>
      </c>
      <c r="F61" t="b">
        <f>F24='Model values'!F29</f>
        <v>1</v>
      </c>
      <c r="G61" t="b">
        <f>G24='Model values'!G29</f>
        <v>1</v>
      </c>
    </row>
    <row r="62" spans="2:7" x14ac:dyDescent="0.35">
      <c r="B62" s="58">
        <v>4.5999999999999996</v>
      </c>
      <c r="C62" t="b">
        <f>C25='Model values'!C30</f>
        <v>1</v>
      </c>
      <c r="D62" t="b">
        <f>D25='Model values'!D30</f>
        <v>1</v>
      </c>
      <c r="E62" t="b">
        <f>E25='Model values'!E30</f>
        <v>1</v>
      </c>
      <c r="F62" t="b">
        <f>F25='Model values'!F30</f>
        <v>1</v>
      </c>
      <c r="G62" t="b">
        <f>G25='Model values'!G30</f>
        <v>1</v>
      </c>
    </row>
    <row r="63" spans="2:7" x14ac:dyDescent="0.35">
      <c r="B63" s="58">
        <v>4.7</v>
      </c>
      <c r="C63" t="b">
        <f>C26='Model values'!C31</f>
        <v>1</v>
      </c>
      <c r="D63" t="b">
        <f>D26='Model values'!D31</f>
        <v>1</v>
      </c>
      <c r="E63" t="b">
        <f>E26='Model values'!E31</f>
        <v>1</v>
      </c>
      <c r="F63" t="b">
        <f>F26='Model values'!F31</f>
        <v>1</v>
      </c>
      <c r="G63" t="b">
        <f>G26='Model values'!G31</f>
        <v>1</v>
      </c>
    </row>
    <row r="64" spans="2:7" x14ac:dyDescent="0.35">
      <c r="B64" s="58">
        <v>4.8</v>
      </c>
      <c r="C64" t="b">
        <f>C27='Model values'!C32</f>
        <v>1</v>
      </c>
      <c r="D64" t="b">
        <f>D27='Model values'!D32</f>
        <v>1</v>
      </c>
      <c r="E64" t="b">
        <f>E27='Model values'!E32</f>
        <v>1</v>
      </c>
      <c r="F64" t="b">
        <f>F27='Model values'!F32</f>
        <v>1</v>
      </c>
      <c r="G64" t="b">
        <f>G27='Model values'!G32</f>
        <v>1</v>
      </c>
    </row>
    <row r="65" spans="2:7" x14ac:dyDescent="0.35">
      <c r="B65" s="58">
        <v>4.9000000000000004</v>
      </c>
      <c r="C65" t="b">
        <f>C28='Model values'!C33</f>
        <v>1</v>
      </c>
      <c r="D65" t="b">
        <f>D28='Model values'!D33</f>
        <v>1</v>
      </c>
      <c r="E65" t="b">
        <f>E28='Model values'!E33</f>
        <v>1</v>
      </c>
      <c r="F65" t="b">
        <f>F28='Model values'!F33</f>
        <v>1</v>
      </c>
      <c r="G65" t="b">
        <f>G28='Model values'!G33</f>
        <v>1</v>
      </c>
    </row>
    <row r="66" spans="2:7" x14ac:dyDescent="0.35">
      <c r="B66" s="58">
        <v>5</v>
      </c>
      <c r="C66" t="b">
        <f>C29='Model values'!C34</f>
        <v>1</v>
      </c>
      <c r="D66" t="b">
        <f>D29='Model values'!D34</f>
        <v>1</v>
      </c>
      <c r="E66" t="b">
        <f>E29='Model values'!E34</f>
        <v>1</v>
      </c>
      <c r="F66" t="b">
        <f>F29='Model values'!F34</f>
        <v>1</v>
      </c>
      <c r="G66" t="b">
        <f>G29='Model values'!G34</f>
        <v>1</v>
      </c>
    </row>
    <row r="67" spans="2:7" x14ac:dyDescent="0.35">
      <c r="B67" s="58">
        <v>5.0999999999999996</v>
      </c>
      <c r="C67" t="b">
        <f>C30='Model values'!C35</f>
        <v>1</v>
      </c>
      <c r="D67" t="b">
        <f>D30='Model values'!D35</f>
        <v>1</v>
      </c>
      <c r="E67" t="b">
        <f>E30='Model values'!E35</f>
        <v>1</v>
      </c>
      <c r="F67" t="b">
        <f>F30='Model values'!F35</f>
        <v>1</v>
      </c>
      <c r="G67" t="b">
        <f>G30='Model values'!G35</f>
        <v>1</v>
      </c>
    </row>
    <row r="68" spans="2:7" x14ac:dyDescent="0.35">
      <c r="B68" s="58">
        <v>5.2</v>
      </c>
      <c r="C68" t="b">
        <f>C31='Model values'!C36</f>
        <v>1</v>
      </c>
      <c r="D68" t="b">
        <f>D31='Model values'!D36</f>
        <v>1</v>
      </c>
      <c r="E68" t="b">
        <f>E31='Model values'!E36</f>
        <v>1</v>
      </c>
      <c r="F68" t="b">
        <f>F31='Model values'!F36</f>
        <v>1</v>
      </c>
      <c r="G68" t="b">
        <f>G31='Model values'!G36</f>
        <v>1</v>
      </c>
    </row>
    <row r="69" spans="2:7" x14ac:dyDescent="0.35">
      <c r="B69" s="58">
        <v>5.3</v>
      </c>
      <c r="C69" t="b">
        <f>C32='Model values'!C37</f>
        <v>1</v>
      </c>
      <c r="D69" t="b">
        <f>D32='Model values'!D37</f>
        <v>1</v>
      </c>
      <c r="E69" t="b">
        <f>E32='Model values'!E37</f>
        <v>1</v>
      </c>
      <c r="F69" t="b">
        <f>F32='Model values'!F37</f>
        <v>1</v>
      </c>
      <c r="G69" t="b">
        <f>G32='Model values'!G37</f>
        <v>1</v>
      </c>
    </row>
    <row r="70" spans="2:7" x14ac:dyDescent="0.35">
      <c r="B70" s="58">
        <v>5.4</v>
      </c>
      <c r="C70" t="b">
        <f>C33='Model values'!C38</f>
        <v>1</v>
      </c>
      <c r="D70" t="b">
        <f>D33='Model values'!D38</f>
        <v>1</v>
      </c>
      <c r="E70" t="b">
        <f>E33='Model values'!E38</f>
        <v>1</v>
      </c>
      <c r="F70" t="b">
        <f>F33='Model values'!F38</f>
        <v>1</v>
      </c>
      <c r="G70" t="b">
        <f>G33='Model values'!G38</f>
        <v>1</v>
      </c>
    </row>
    <row r="71" spans="2:7" x14ac:dyDescent="0.35">
      <c r="B71" s="58">
        <v>5.5</v>
      </c>
      <c r="C71" t="b">
        <f>C34='Model values'!C39</f>
        <v>1</v>
      </c>
      <c r="D71" t="b">
        <f>D34='Model values'!D39</f>
        <v>1</v>
      </c>
      <c r="E71" t="b">
        <f>E34='Model values'!E39</f>
        <v>1</v>
      </c>
      <c r="F71" t="b">
        <f>F34='Model values'!F39</f>
        <v>1</v>
      </c>
      <c r="G71" t="b">
        <f>G34='Model values'!G39</f>
        <v>1</v>
      </c>
    </row>
    <row r="72" spans="2:7" x14ac:dyDescent="0.35">
      <c r="B72" s="58">
        <v>5.6</v>
      </c>
      <c r="C72" t="b">
        <f>C35='Model values'!C40</f>
        <v>1</v>
      </c>
      <c r="D72" t="b">
        <f>D35='Model values'!D40</f>
        <v>1</v>
      </c>
      <c r="E72" t="b">
        <f>E35='Model values'!E40</f>
        <v>1</v>
      </c>
      <c r="F72" t="b">
        <f>F35='Model values'!F40</f>
        <v>1</v>
      </c>
      <c r="G72" t="b">
        <f>G35='Model values'!G40</f>
        <v>1</v>
      </c>
    </row>
    <row r="73" spans="2:7" x14ac:dyDescent="0.35">
      <c r="B73" s="58">
        <v>5.7</v>
      </c>
      <c r="C73" t="b">
        <f>C36='Model values'!C41</f>
        <v>1</v>
      </c>
      <c r="D73" t="b">
        <f>D36='Model values'!D41</f>
        <v>1</v>
      </c>
      <c r="E73" t="b">
        <f>E36='Model values'!E41</f>
        <v>1</v>
      </c>
      <c r="F73" t="b">
        <f>F36='Model values'!F41</f>
        <v>1</v>
      </c>
      <c r="G73" t="b">
        <f>G36='Model values'!G41</f>
        <v>1</v>
      </c>
    </row>
    <row r="74" spans="2:7" x14ac:dyDescent="0.35">
      <c r="B74" s="58">
        <v>5.8</v>
      </c>
      <c r="C74" t="b">
        <f>C37='Model values'!C42</f>
        <v>1</v>
      </c>
      <c r="D74" t="b">
        <f>D37='Model values'!D42</f>
        <v>1</v>
      </c>
      <c r="E74" t="b">
        <f>E37='Model values'!E42</f>
        <v>1</v>
      </c>
      <c r="F74" t="b">
        <f>F37='Model values'!F42</f>
        <v>1</v>
      </c>
      <c r="G74" t="b">
        <f>G37='Model values'!G42</f>
        <v>1</v>
      </c>
    </row>
  </sheetData>
  <conditionalFormatting sqref="C41:G74">
    <cfRule type="containsText" dxfId="0" priority="1" operator="containsText" text="FALSE">
      <formula>NOT(ISERROR(SEARCH("FALSE",C41)))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62"/>
    <pageSetUpPr fitToPage="1"/>
  </sheetPr>
  <dimension ref="B2:L79"/>
  <sheetViews>
    <sheetView showGridLines="0" showRowColHeaders="0" zoomScale="90" workbookViewId="0">
      <selection activeCell="J27" sqref="J27:L28"/>
    </sheetView>
  </sheetViews>
  <sheetFormatPr defaultColWidth="9.1328125" defaultRowHeight="12.75" x14ac:dyDescent="0.35"/>
  <cols>
    <col min="1" max="1" width="2.265625" style="182" customWidth="1"/>
    <col min="2" max="2" width="13" style="182" customWidth="1"/>
    <col min="3" max="7" width="14.59765625" style="182" customWidth="1"/>
    <col min="8" max="9" width="14.265625" style="182" customWidth="1"/>
    <col min="10" max="10" width="25.265625" style="182" bestFit="1" customWidth="1"/>
    <col min="11" max="11" width="21.3984375" style="182" customWidth="1"/>
    <col min="12" max="12" width="15.86328125" style="182" bestFit="1" customWidth="1"/>
    <col min="13" max="13" width="25.265625" style="182" bestFit="1" customWidth="1"/>
    <col min="14" max="15" width="12" style="182" customWidth="1"/>
    <col min="16" max="23" width="9.1328125" style="182"/>
    <col min="24" max="26" width="9.1328125" style="182" customWidth="1"/>
    <col min="27" max="16384" width="9.1328125" style="182"/>
  </cols>
  <sheetData>
    <row r="2" spans="2:10" ht="20.65" x14ac:dyDescent="0.6">
      <c r="B2" s="181" t="s">
        <v>348</v>
      </c>
    </row>
    <row r="3" spans="2:10" ht="42" customHeight="1" x14ac:dyDescent="0.4">
      <c r="B3" s="183" t="s">
        <v>349</v>
      </c>
    </row>
    <row r="4" spans="2:10" ht="15" x14ac:dyDescent="0.4">
      <c r="B4" s="183" t="s">
        <v>263</v>
      </c>
    </row>
    <row r="5" spans="2:10" ht="15" x14ac:dyDescent="0.4">
      <c r="B5" s="148" t="s">
        <v>264</v>
      </c>
    </row>
    <row r="6" spans="2:10" ht="13.15" x14ac:dyDescent="0.4">
      <c r="I6" s="427" t="s">
        <v>106</v>
      </c>
      <c r="J6" s="427"/>
    </row>
    <row r="7" spans="2:10" ht="40.15" customHeight="1" x14ac:dyDescent="0.4">
      <c r="B7" s="428" t="s">
        <v>107</v>
      </c>
      <c r="C7" s="426" t="s">
        <v>351</v>
      </c>
      <c r="D7" s="426"/>
      <c r="E7" s="426"/>
      <c r="F7" s="426"/>
      <c r="G7" s="426"/>
      <c r="H7" s="184"/>
      <c r="I7" s="185" t="s">
        <v>108</v>
      </c>
      <c r="J7" s="185" t="s">
        <v>109</v>
      </c>
    </row>
    <row r="8" spans="2:10" ht="45" customHeight="1" x14ac:dyDescent="0.4">
      <c r="B8" s="429"/>
      <c r="C8" s="204" t="s">
        <v>65</v>
      </c>
      <c r="D8" s="205" t="s">
        <v>100</v>
      </c>
      <c r="E8" s="205" t="s">
        <v>101</v>
      </c>
      <c r="F8" s="205" t="s">
        <v>102</v>
      </c>
      <c r="G8" s="205" t="s">
        <v>104</v>
      </c>
      <c r="H8" s="186"/>
      <c r="I8" s="187">
        <v>1.5</v>
      </c>
      <c r="J8" s="206" t="s">
        <v>110</v>
      </c>
    </row>
    <row r="9" spans="2:10" ht="12.95" customHeight="1" x14ac:dyDescent="0.35">
      <c r="B9" s="188">
        <v>1.5</v>
      </c>
      <c r="C9" s="189">
        <f>Coefficients!C4</f>
        <v>15.13</v>
      </c>
      <c r="D9" s="189">
        <f>Coefficients!D4</f>
        <v>3.28</v>
      </c>
      <c r="E9" s="189">
        <f>Coefficients!E4</f>
        <v>2.25</v>
      </c>
      <c r="F9" s="189">
        <f>Coefficients!F4</f>
        <v>4.29</v>
      </c>
      <c r="G9" s="189">
        <f>Coefficients!G4</f>
        <v>5.31</v>
      </c>
      <c r="H9" s="190"/>
      <c r="I9" s="191">
        <v>2</v>
      </c>
      <c r="J9" s="206" t="s">
        <v>111</v>
      </c>
    </row>
    <row r="10" spans="2:10" ht="12.95" customHeight="1" x14ac:dyDescent="0.35">
      <c r="B10" s="188">
        <v>2</v>
      </c>
      <c r="C10" s="189">
        <f>Coefficients!C5</f>
        <v>17.239999999999998</v>
      </c>
      <c r="D10" s="189">
        <f>Coefficients!D5</f>
        <v>3.93</v>
      </c>
      <c r="E10" s="189">
        <f>Coefficients!E5</f>
        <v>2.52</v>
      </c>
      <c r="F10" s="189">
        <f>Coefficients!F5</f>
        <v>4.63</v>
      </c>
      <c r="G10" s="189">
        <f>Coefficients!G5</f>
        <v>6.17</v>
      </c>
      <c r="I10" s="191">
        <v>2.5</v>
      </c>
      <c r="J10" s="206" t="s">
        <v>112</v>
      </c>
    </row>
    <row r="11" spans="2:10" ht="12.95" customHeight="1" x14ac:dyDescent="0.35">
      <c r="B11" s="188">
        <v>2.5</v>
      </c>
      <c r="C11" s="189">
        <f>Coefficients!C6</f>
        <v>17.489999999999998</v>
      </c>
      <c r="D11" s="189">
        <f>Coefficients!D6</f>
        <v>4.28</v>
      </c>
      <c r="E11" s="189">
        <f>Coefficients!E6</f>
        <v>2.29</v>
      </c>
      <c r="F11" s="189">
        <f>Coefficients!F6</f>
        <v>4.5599999999999996</v>
      </c>
      <c r="G11" s="189">
        <f>Coefficients!G6</f>
        <v>6.36</v>
      </c>
      <c r="I11" s="191">
        <v>2.8</v>
      </c>
      <c r="J11" s="206" t="s">
        <v>113</v>
      </c>
    </row>
    <row r="12" spans="2:10" ht="12.95" customHeight="1" x14ac:dyDescent="0.35">
      <c r="B12" s="188">
        <v>2.8</v>
      </c>
      <c r="C12" s="189">
        <f>Coefficients!C7</f>
        <v>18.29</v>
      </c>
      <c r="D12" s="189">
        <f>Coefficients!D7</f>
        <v>4.6100000000000003</v>
      </c>
      <c r="E12" s="189">
        <f>Coefficients!E7</f>
        <v>2.48</v>
      </c>
      <c r="F12" s="189">
        <f>Coefficients!F7</f>
        <v>4.53</v>
      </c>
      <c r="G12" s="189">
        <f>Coefficients!G7</f>
        <v>6.66</v>
      </c>
      <c r="I12" s="191">
        <v>5.8</v>
      </c>
      <c r="J12" s="206" t="s">
        <v>114</v>
      </c>
    </row>
    <row r="13" spans="2:10" ht="12.95" customHeight="1" x14ac:dyDescent="0.35">
      <c r="B13" s="188">
        <v>2.9</v>
      </c>
      <c r="C13" s="189">
        <f>Coefficients!C8</f>
        <v>19.809999999999999</v>
      </c>
      <c r="D13" s="189">
        <f>Coefficients!D8</f>
        <v>4.7699999999999996</v>
      </c>
      <c r="E13" s="189">
        <f>Coefficients!E8</f>
        <v>3.04</v>
      </c>
      <c r="F13" s="189">
        <f>Coefficients!F8</f>
        <v>4.97</v>
      </c>
      <c r="G13" s="189">
        <f>Coefficients!G8</f>
        <v>7.01</v>
      </c>
      <c r="I13" s="430" t="s">
        <v>115</v>
      </c>
      <c r="J13" s="430"/>
    </row>
    <row r="14" spans="2:10" ht="12.95" customHeight="1" x14ac:dyDescent="0.35">
      <c r="B14" s="188">
        <v>3</v>
      </c>
      <c r="C14" s="189">
        <f>Coefficients!C9</f>
        <v>20.65</v>
      </c>
      <c r="D14" s="189">
        <f>Coefficients!D9</f>
        <v>4.97</v>
      </c>
      <c r="E14" s="189">
        <f>Coefficients!E9</f>
        <v>3.1</v>
      </c>
      <c r="F14" s="189">
        <f>Coefficients!F9</f>
        <v>5.27</v>
      </c>
      <c r="G14" s="189">
        <f>Coefficients!G9</f>
        <v>7.3</v>
      </c>
      <c r="H14" s="192"/>
      <c r="I14" s="431"/>
      <c r="J14" s="431"/>
    </row>
    <row r="15" spans="2:10" ht="12.95" customHeight="1" x14ac:dyDescent="0.35">
      <c r="B15" s="188">
        <v>3.1</v>
      </c>
      <c r="C15" s="189">
        <f>Coefficients!C10</f>
        <v>21.63</v>
      </c>
      <c r="D15" s="189">
        <f>Coefficients!D10</f>
        <v>5.12</v>
      </c>
      <c r="E15" s="189">
        <f>Coefficients!E10</f>
        <v>3.46</v>
      </c>
      <c r="F15" s="189">
        <f>Coefficients!F10</f>
        <v>5.46</v>
      </c>
      <c r="G15" s="189">
        <f>Coefficients!G10</f>
        <v>7.59</v>
      </c>
      <c r="H15" s="192"/>
      <c r="I15" s="431"/>
      <c r="J15" s="431"/>
    </row>
    <row r="16" spans="2:10" ht="12.95" customHeight="1" x14ac:dyDescent="0.35">
      <c r="B16" s="188">
        <v>3.2</v>
      </c>
      <c r="C16" s="189">
        <f>Coefficients!C11</f>
        <v>22.44</v>
      </c>
      <c r="D16" s="189">
        <f>Coefficients!D11</f>
        <v>5.36</v>
      </c>
      <c r="E16" s="189">
        <f>Coefficients!E11</f>
        <v>3.63</v>
      </c>
      <c r="F16" s="189">
        <f>Coefficients!F11</f>
        <v>5.68</v>
      </c>
      <c r="G16" s="189">
        <f>Coefficients!G11</f>
        <v>7.78</v>
      </c>
      <c r="H16" s="192"/>
    </row>
    <row r="17" spans="2:12" ht="12.95" customHeight="1" x14ac:dyDescent="0.35">
      <c r="B17" s="188">
        <v>3.3</v>
      </c>
      <c r="C17" s="189">
        <f>Coefficients!C12</f>
        <v>23.12</v>
      </c>
      <c r="D17" s="189">
        <f>Coefficients!D12</f>
        <v>5.51</v>
      </c>
      <c r="E17" s="189">
        <f>Coefficients!E12</f>
        <v>3.73</v>
      </c>
      <c r="F17" s="189">
        <f>Coefficients!F12</f>
        <v>5.88</v>
      </c>
      <c r="G17" s="189">
        <f>Coefficients!G12</f>
        <v>8</v>
      </c>
      <c r="H17" s="192"/>
    </row>
    <row r="18" spans="2:12" ht="12.95" customHeight="1" x14ac:dyDescent="0.35">
      <c r="B18" s="188">
        <v>3.4</v>
      </c>
      <c r="C18" s="189">
        <f>Coefficients!C13</f>
        <v>23.97</v>
      </c>
      <c r="D18" s="189">
        <f>Coefficients!D13</f>
        <v>5.65</v>
      </c>
      <c r="E18" s="189">
        <f>Coefficients!E13</f>
        <v>3.96</v>
      </c>
      <c r="F18" s="189">
        <f>Coefficients!F13</f>
        <v>6.15</v>
      </c>
      <c r="G18" s="189">
        <f>Coefficients!G13</f>
        <v>8.2100000000000009</v>
      </c>
      <c r="H18" s="192"/>
    </row>
    <row r="19" spans="2:12" ht="12.95" customHeight="1" x14ac:dyDescent="0.35">
      <c r="B19" s="188">
        <v>3.5</v>
      </c>
      <c r="C19" s="189">
        <f>Coefficients!C14</f>
        <v>24.87</v>
      </c>
      <c r="D19" s="189">
        <f>Coefficients!D14</f>
        <v>5.89</v>
      </c>
      <c r="E19" s="189">
        <f>Coefficients!E14</f>
        <v>4.07</v>
      </c>
      <c r="F19" s="189">
        <f>Coefficients!F14</f>
        <v>6.36</v>
      </c>
      <c r="G19" s="189">
        <f>Coefficients!G14</f>
        <v>8.5500000000000007</v>
      </c>
      <c r="H19" s="192"/>
    </row>
    <row r="20" spans="2:12" ht="12.95" customHeight="1" thickBot="1" x14ac:dyDescent="0.4">
      <c r="B20" s="188">
        <v>3.6</v>
      </c>
      <c r="C20" s="189">
        <f>Coefficients!C15</f>
        <v>25.66</v>
      </c>
      <c r="D20" s="189">
        <f>Coefficients!D15</f>
        <v>6.08</v>
      </c>
      <c r="E20" s="189">
        <f>Coefficients!E15</f>
        <v>4.22</v>
      </c>
      <c r="F20" s="189">
        <f>Coefficients!F15</f>
        <v>6.59</v>
      </c>
      <c r="G20" s="189">
        <f>Coefficients!G15</f>
        <v>8.7799999999999994</v>
      </c>
      <c r="H20" s="192"/>
    </row>
    <row r="21" spans="2:12" ht="12.95" customHeight="1" x14ac:dyDescent="0.35">
      <c r="B21" s="188">
        <v>3.7</v>
      </c>
      <c r="C21" s="189">
        <f>Coefficients!C16</f>
        <v>26.54</v>
      </c>
      <c r="D21" s="189">
        <f>Coefficients!D16</f>
        <v>6.33</v>
      </c>
      <c r="E21" s="189">
        <f>Coefficients!E16</f>
        <v>4.38</v>
      </c>
      <c r="F21" s="189">
        <f>Coefficients!F16</f>
        <v>6.81</v>
      </c>
      <c r="G21" s="189">
        <f>Coefficients!G16</f>
        <v>9.02</v>
      </c>
      <c r="H21" s="192"/>
      <c r="J21" s="419" t="s">
        <v>85</v>
      </c>
      <c r="K21" s="420"/>
      <c r="L21" s="421"/>
    </row>
    <row r="22" spans="2:12" ht="12.95" customHeight="1" thickBot="1" x14ac:dyDescent="0.4">
      <c r="B22" s="188">
        <v>3.8</v>
      </c>
      <c r="C22" s="189">
        <f>Coefficients!C17</f>
        <v>27.43</v>
      </c>
      <c r="D22" s="189">
        <f>Coefficients!D17</f>
        <v>6.5</v>
      </c>
      <c r="E22" s="189">
        <f>Coefficients!E17</f>
        <v>4.55</v>
      </c>
      <c r="F22" s="189">
        <f>Coefficients!F17</f>
        <v>7.06</v>
      </c>
      <c r="G22" s="189">
        <f>Coefficients!G17</f>
        <v>9.32</v>
      </c>
      <c r="H22" s="192"/>
      <c r="J22" s="422"/>
      <c r="K22" s="423"/>
      <c r="L22" s="424"/>
    </row>
    <row r="23" spans="2:12" ht="12.95" customHeight="1" thickBot="1" x14ac:dyDescent="0.4">
      <c r="B23" s="188">
        <v>3.9</v>
      </c>
      <c r="C23" s="189">
        <f>Coefficients!C18</f>
        <v>28.97</v>
      </c>
      <c r="D23" s="189">
        <f>Coefficients!D18</f>
        <v>6.83</v>
      </c>
      <c r="E23" s="189">
        <f>Coefficients!E18</f>
        <v>4.92</v>
      </c>
      <c r="F23" s="189">
        <f>Coefficients!F18</f>
        <v>7.51</v>
      </c>
      <c r="G23" s="189">
        <f>Coefficients!G18</f>
        <v>9.7100000000000009</v>
      </c>
    </row>
    <row r="24" spans="2:12" ht="12.95" customHeight="1" x14ac:dyDescent="0.35">
      <c r="B24" s="188">
        <v>4</v>
      </c>
      <c r="C24" s="189">
        <f>Coefficients!C19</f>
        <v>30</v>
      </c>
      <c r="D24" s="189">
        <f>Coefficients!D19</f>
        <v>6.98</v>
      </c>
      <c r="E24" s="189">
        <f>Coefficients!E19</f>
        <v>5.23</v>
      </c>
      <c r="F24" s="189">
        <f>Coefficients!F19</f>
        <v>7.83</v>
      </c>
      <c r="G24" s="189">
        <f>Coefficients!G19</f>
        <v>9.9600000000000009</v>
      </c>
      <c r="J24" s="335" t="s">
        <v>116</v>
      </c>
      <c r="K24" s="432"/>
      <c r="L24" s="336"/>
    </row>
    <row r="25" spans="2:12" ht="12.95" customHeight="1" thickBot="1" x14ac:dyDescent="0.4">
      <c r="B25" s="188">
        <v>4.0999999999999996</v>
      </c>
      <c r="C25" s="189">
        <f>Coefficients!C20</f>
        <v>31.27</v>
      </c>
      <c r="D25" s="189">
        <f>Coefficients!D20</f>
        <v>7.26</v>
      </c>
      <c r="E25" s="189">
        <f>Coefficients!E20</f>
        <v>5.49</v>
      </c>
      <c r="F25" s="189">
        <f>Coefficients!F20</f>
        <v>8.18</v>
      </c>
      <c r="G25" s="189">
        <f>Coefficients!G20</f>
        <v>10.33</v>
      </c>
      <c r="J25" s="339"/>
      <c r="K25" s="433"/>
      <c r="L25" s="340"/>
    </row>
    <row r="26" spans="2:12" ht="12.95" customHeight="1" thickBot="1" x14ac:dyDescent="0.4">
      <c r="B26" s="188">
        <v>4.2</v>
      </c>
      <c r="C26" s="189">
        <f>Coefficients!C21</f>
        <v>32.880000000000003</v>
      </c>
      <c r="D26" s="189">
        <f>Coefficients!D21</f>
        <v>7.57</v>
      </c>
      <c r="E26" s="189">
        <f>Coefficients!E21</f>
        <v>5.89</v>
      </c>
      <c r="F26" s="189">
        <f>Coefficients!F21</f>
        <v>8.69</v>
      </c>
      <c r="G26" s="189">
        <f>Coefficients!G21</f>
        <v>10.73</v>
      </c>
    </row>
    <row r="27" spans="2:12" ht="12.95" customHeight="1" x14ac:dyDescent="0.35">
      <c r="B27" s="188">
        <v>4.3</v>
      </c>
      <c r="C27" s="189">
        <f>Coefficients!C22</f>
        <v>34.200000000000003</v>
      </c>
      <c r="D27" s="189">
        <f>Coefficients!D22</f>
        <v>7.8</v>
      </c>
      <c r="E27" s="189">
        <f>Coefficients!E22</f>
        <v>6.26</v>
      </c>
      <c r="F27" s="189">
        <f>Coefficients!F22</f>
        <v>9.08</v>
      </c>
      <c r="G27" s="189">
        <f>Coefficients!G22</f>
        <v>11.07</v>
      </c>
      <c r="J27" s="419" t="s">
        <v>117</v>
      </c>
      <c r="K27" s="420"/>
      <c r="L27" s="421"/>
    </row>
    <row r="28" spans="2:12" ht="12.95" customHeight="1" thickBot="1" x14ac:dyDescent="0.4">
      <c r="B28" s="188">
        <v>4.4000000000000004</v>
      </c>
      <c r="C28" s="189">
        <f>Coefficients!C23</f>
        <v>36.020000000000003</v>
      </c>
      <c r="D28" s="189">
        <f>Coefficients!D23</f>
        <v>8.15</v>
      </c>
      <c r="E28" s="189">
        <f>Coefficients!E23</f>
        <v>6.68</v>
      </c>
      <c r="F28" s="189">
        <f>Coefficients!F23</f>
        <v>9.66</v>
      </c>
      <c r="G28" s="189">
        <f>Coefficients!G23</f>
        <v>11.52</v>
      </c>
      <c r="J28" s="422"/>
      <c r="K28" s="423"/>
      <c r="L28" s="424"/>
    </row>
    <row r="29" spans="2:12" ht="12.95" customHeight="1" x14ac:dyDescent="0.35">
      <c r="B29" s="188">
        <v>4.5</v>
      </c>
      <c r="C29" s="189">
        <f>Coefficients!C24</f>
        <v>37.68</v>
      </c>
      <c r="D29" s="189">
        <f>Coefficients!D24</f>
        <v>8.4499999999999993</v>
      </c>
      <c r="E29" s="189">
        <f>Coefficients!E24</f>
        <v>7.06</v>
      </c>
      <c r="F29" s="189">
        <f>Coefficients!F24</f>
        <v>10.19</v>
      </c>
      <c r="G29" s="189">
        <f>Coefficients!G24</f>
        <v>11.98</v>
      </c>
    </row>
    <row r="30" spans="2:12" ht="12.95" customHeight="1" x14ac:dyDescent="0.35">
      <c r="B30" s="188">
        <v>4.5999999999999996</v>
      </c>
      <c r="C30" s="189">
        <f>Coefficients!C25</f>
        <v>39.76</v>
      </c>
      <c r="D30" s="189">
        <f>Coefficients!D25</f>
        <v>8.85</v>
      </c>
      <c r="E30" s="189">
        <f>Coefficients!E25</f>
        <v>7.52</v>
      </c>
      <c r="F30" s="189">
        <f>Coefficients!F25</f>
        <v>10.88</v>
      </c>
      <c r="G30" s="189">
        <f>Coefficients!G25</f>
        <v>12.52</v>
      </c>
    </row>
    <row r="31" spans="2:12" ht="12.95" customHeight="1" x14ac:dyDescent="0.35">
      <c r="B31" s="188">
        <v>4.7</v>
      </c>
      <c r="C31" s="189">
        <f>Coefficients!C26</f>
        <v>41.93</v>
      </c>
      <c r="D31" s="189">
        <f>Coefficients!D26</f>
        <v>9.27</v>
      </c>
      <c r="E31" s="189">
        <f>Coefficients!E26</f>
        <v>7.97</v>
      </c>
      <c r="F31" s="189">
        <f>Coefficients!F26</f>
        <v>11.61</v>
      </c>
      <c r="G31" s="189">
        <f>Coefficients!G26</f>
        <v>13.08</v>
      </c>
    </row>
    <row r="32" spans="2:12" ht="12.95" customHeight="1" x14ac:dyDescent="0.35">
      <c r="B32" s="188">
        <v>4.8</v>
      </c>
      <c r="C32" s="189">
        <f>Coefficients!C27</f>
        <v>44.25</v>
      </c>
      <c r="D32" s="189">
        <f>Coefficients!D27</f>
        <v>9.6999999999999993</v>
      </c>
      <c r="E32" s="189">
        <f>Coefficients!E27</f>
        <v>8.4700000000000006</v>
      </c>
      <c r="F32" s="189">
        <f>Coefficients!F27</f>
        <v>12.38</v>
      </c>
      <c r="G32" s="189">
        <f>Coefficients!G27</f>
        <v>13.7</v>
      </c>
    </row>
    <row r="33" spans="2:12" ht="12.95" customHeight="1" x14ac:dyDescent="0.35">
      <c r="B33" s="188">
        <v>4.9000000000000004</v>
      </c>
      <c r="C33" s="189">
        <f>Coefficients!C28</f>
        <v>46.51</v>
      </c>
      <c r="D33" s="189">
        <f>Coefficients!D28</f>
        <v>10.130000000000001</v>
      </c>
      <c r="E33" s="189">
        <f>Coefficients!E28</f>
        <v>8.94</v>
      </c>
      <c r="F33" s="189">
        <f>Coefficients!F28</f>
        <v>13.17</v>
      </c>
      <c r="G33" s="189">
        <f>Coefficients!G28</f>
        <v>14.27</v>
      </c>
    </row>
    <row r="34" spans="2:12" ht="12.95" customHeight="1" x14ac:dyDescent="0.35">
      <c r="B34" s="188">
        <v>5</v>
      </c>
      <c r="C34" s="189">
        <f>Coefficients!C29</f>
        <v>49.19</v>
      </c>
      <c r="D34" s="189">
        <f>Coefficients!D29</f>
        <v>10.6</v>
      </c>
      <c r="E34" s="189">
        <f>Coefficients!E29</f>
        <v>9.52</v>
      </c>
      <c r="F34" s="189">
        <f>Coefficients!F29</f>
        <v>14.11</v>
      </c>
      <c r="G34" s="189">
        <f>Coefficients!G29</f>
        <v>14.96</v>
      </c>
    </row>
    <row r="35" spans="2:12" ht="12.95" customHeight="1" x14ac:dyDescent="0.35">
      <c r="B35" s="188">
        <v>5.0999999999999996</v>
      </c>
      <c r="C35" s="189">
        <f>Coefficients!C30</f>
        <v>52.05</v>
      </c>
      <c r="D35" s="189">
        <f>Coefficients!D30</f>
        <v>11.1</v>
      </c>
      <c r="E35" s="189">
        <f>Coefficients!E30</f>
        <v>10.15</v>
      </c>
      <c r="F35" s="189">
        <f>Coefficients!F30</f>
        <v>15.11</v>
      </c>
      <c r="G35" s="189">
        <f>Coefficients!G30</f>
        <v>15.69</v>
      </c>
    </row>
    <row r="36" spans="2:12" ht="12.95" customHeight="1" x14ac:dyDescent="0.35">
      <c r="B36" s="188">
        <v>5.2</v>
      </c>
      <c r="C36" s="189">
        <f>Coefficients!C31</f>
        <v>54.85</v>
      </c>
      <c r="D36" s="189">
        <f>Coefficients!D31</f>
        <v>11.56</v>
      </c>
      <c r="E36" s="189">
        <f>Coefficients!E31</f>
        <v>10.84</v>
      </c>
      <c r="F36" s="189">
        <f>Coefficients!F31</f>
        <v>16.09</v>
      </c>
      <c r="G36" s="189">
        <f>Coefficients!G31</f>
        <v>16.37</v>
      </c>
    </row>
    <row r="37" spans="2:12" ht="12.95" customHeight="1" x14ac:dyDescent="0.35">
      <c r="B37" s="188">
        <v>5.3</v>
      </c>
      <c r="C37" s="189">
        <f>Coefficients!C32</f>
        <v>58.09</v>
      </c>
      <c r="D37" s="189">
        <f>Coefficients!D32</f>
        <v>12.03</v>
      </c>
      <c r="E37" s="189">
        <f>Coefficients!E32</f>
        <v>11.67</v>
      </c>
      <c r="F37" s="189">
        <f>Coefficients!F32</f>
        <v>17.22</v>
      </c>
      <c r="G37" s="189">
        <f>Coefficients!G32</f>
        <v>17.170000000000002</v>
      </c>
    </row>
    <row r="38" spans="2:12" ht="12.95" customHeight="1" x14ac:dyDescent="0.35">
      <c r="B38" s="188">
        <v>5.4</v>
      </c>
      <c r="C38" s="189">
        <f>Coefficients!C33</f>
        <v>61.6</v>
      </c>
      <c r="D38" s="189">
        <f>Coefficients!D33</f>
        <v>12.61</v>
      </c>
      <c r="E38" s="189">
        <f>Coefficients!E33</f>
        <v>12.45</v>
      </c>
      <c r="F38" s="189">
        <f>Coefficients!F33</f>
        <v>18.440000000000001</v>
      </c>
      <c r="G38" s="189">
        <f>Coefficients!G33</f>
        <v>18.100000000000001</v>
      </c>
    </row>
    <row r="39" spans="2:12" ht="12.95" customHeight="1" x14ac:dyDescent="0.35">
      <c r="B39" s="188">
        <v>5.5</v>
      </c>
      <c r="C39" s="189">
        <f>Coefficients!C34</f>
        <v>65.28</v>
      </c>
      <c r="D39" s="189">
        <f>Coefficients!D34</f>
        <v>13.21</v>
      </c>
      <c r="E39" s="189">
        <f>Coefficients!E34</f>
        <v>13.32</v>
      </c>
      <c r="F39" s="189">
        <f>Coefficients!F34</f>
        <v>19.7</v>
      </c>
      <c r="G39" s="189">
        <f>Coefficients!G34</f>
        <v>19.05</v>
      </c>
    </row>
    <row r="40" spans="2:12" ht="12.95" customHeight="1" x14ac:dyDescent="0.35">
      <c r="B40" s="188">
        <v>5.6</v>
      </c>
      <c r="C40" s="189">
        <f>Coefficients!C35</f>
        <v>69.67</v>
      </c>
      <c r="D40" s="189">
        <f>Coefficients!D35</f>
        <v>13.91</v>
      </c>
      <c r="E40" s="189">
        <f>Coefficients!E35</f>
        <v>14.27</v>
      </c>
      <c r="F40" s="189">
        <f>Coefficients!F35</f>
        <v>21.2</v>
      </c>
      <c r="G40" s="189">
        <f>Coefficients!G35</f>
        <v>20.28</v>
      </c>
    </row>
    <row r="41" spans="2:12" x14ac:dyDescent="0.35">
      <c r="B41" s="193">
        <v>5.7</v>
      </c>
      <c r="C41" s="189">
        <f>Coefficients!C36</f>
        <v>74.31</v>
      </c>
      <c r="D41" s="189">
        <f>Coefficients!D36</f>
        <v>14.71</v>
      </c>
      <c r="E41" s="189">
        <f>Coefficients!E36</f>
        <v>15.23</v>
      </c>
      <c r="F41" s="189">
        <f>Coefficients!F36</f>
        <v>22.76</v>
      </c>
      <c r="G41" s="189">
        <f>Coefficients!G36</f>
        <v>21.61</v>
      </c>
    </row>
    <row r="42" spans="2:12" x14ac:dyDescent="0.35">
      <c r="B42" s="194">
        <v>5.8</v>
      </c>
      <c r="C42" s="189">
        <f>Coefficients!C37</f>
        <v>79.19</v>
      </c>
      <c r="D42" s="189">
        <f>Coefficients!D37</f>
        <v>15.58</v>
      </c>
      <c r="E42" s="189">
        <f>Coefficients!E37</f>
        <v>16.149999999999999</v>
      </c>
      <c r="F42" s="189">
        <f>Coefficients!F37</f>
        <v>24.32</v>
      </c>
      <c r="G42" s="189">
        <f>Coefficients!G37</f>
        <v>23.14</v>
      </c>
    </row>
    <row r="43" spans="2:12" ht="71.25" customHeight="1" x14ac:dyDescent="0.35">
      <c r="B43" s="195"/>
      <c r="C43" s="195"/>
      <c r="D43" s="195"/>
      <c r="E43" s="195"/>
      <c r="F43" s="195"/>
      <c r="G43" s="195"/>
      <c r="H43" s="196"/>
      <c r="I43" s="196"/>
    </row>
    <row r="44" spans="2:12" x14ac:dyDescent="0.35">
      <c r="B44" s="197"/>
      <c r="C44" s="197"/>
      <c r="D44" s="197"/>
      <c r="E44" s="195"/>
      <c r="F44" s="195"/>
      <c r="G44" s="195"/>
      <c r="H44" s="196"/>
      <c r="I44" s="196"/>
      <c r="J44" s="198"/>
      <c r="L44" s="196"/>
    </row>
    <row r="45" spans="2:12" x14ac:dyDescent="0.35">
      <c r="B45" s="197"/>
      <c r="C45" s="197"/>
      <c r="D45" s="197"/>
      <c r="E45" s="195"/>
      <c r="F45" s="195"/>
      <c r="G45" s="195"/>
      <c r="H45" s="196"/>
      <c r="I45" s="196"/>
      <c r="J45" s="198"/>
    </row>
    <row r="46" spans="2:12" x14ac:dyDescent="0.35">
      <c r="B46" s="197" t="s">
        <v>118</v>
      </c>
      <c r="C46" s="197" t="s">
        <v>119</v>
      </c>
      <c r="D46" s="199">
        <v>2</v>
      </c>
      <c r="E46" s="195"/>
      <c r="F46" s="195"/>
      <c r="G46" s="195"/>
      <c r="H46" s="196"/>
      <c r="I46" s="196"/>
      <c r="J46" s="198"/>
    </row>
    <row r="47" spans="2:12" x14ac:dyDescent="0.35">
      <c r="B47" s="200"/>
      <c r="C47" s="197" t="s">
        <v>120</v>
      </c>
      <c r="D47" s="197">
        <v>3</v>
      </c>
      <c r="E47" s="195"/>
      <c r="F47" s="195"/>
      <c r="G47" s="195"/>
      <c r="H47" s="196"/>
      <c r="I47" s="196"/>
      <c r="J47" s="198"/>
    </row>
    <row r="48" spans="2:12" x14ac:dyDescent="0.35">
      <c r="B48" s="201"/>
      <c r="C48" s="197" t="s">
        <v>121</v>
      </c>
      <c r="D48" s="197">
        <v>4</v>
      </c>
      <c r="E48" s="195"/>
      <c r="F48" s="195"/>
      <c r="G48" s="195"/>
      <c r="H48" s="196"/>
      <c r="I48" s="196"/>
      <c r="J48" s="198"/>
    </row>
    <row r="49" spans="2:10" ht="26.25" customHeight="1" x14ac:dyDescent="0.35">
      <c r="B49" s="197"/>
      <c r="C49" s="197" t="s">
        <v>122</v>
      </c>
      <c r="D49" s="197">
        <v>5</v>
      </c>
      <c r="E49" s="195"/>
      <c r="F49" s="195"/>
      <c r="G49" s="195"/>
      <c r="H49" s="196"/>
      <c r="I49" s="196"/>
      <c r="J49" s="198"/>
    </row>
    <row r="50" spans="2:10" x14ac:dyDescent="0.35">
      <c r="B50" s="197"/>
      <c r="C50" s="197" t="s">
        <v>123</v>
      </c>
      <c r="D50" s="197">
        <v>6</v>
      </c>
      <c r="E50" s="195"/>
      <c r="F50" s="195"/>
      <c r="G50" s="195"/>
      <c r="H50" s="196"/>
      <c r="I50" s="196"/>
      <c r="J50" s="198"/>
    </row>
    <row r="51" spans="2:10" x14ac:dyDescent="0.35">
      <c r="B51" s="197"/>
      <c r="C51" s="197" t="s">
        <v>124</v>
      </c>
      <c r="D51" s="197">
        <v>7</v>
      </c>
      <c r="E51" s="195"/>
      <c r="F51" s="195"/>
      <c r="G51" s="195"/>
      <c r="H51" s="196"/>
      <c r="I51" s="196"/>
      <c r="J51" s="198"/>
    </row>
    <row r="52" spans="2:10" x14ac:dyDescent="0.35">
      <c r="B52" s="195"/>
      <c r="C52" s="195"/>
      <c r="D52" s="195"/>
      <c r="E52" s="195"/>
      <c r="F52" s="195"/>
      <c r="G52" s="195"/>
      <c r="H52" s="196"/>
      <c r="I52" s="196"/>
      <c r="J52" s="198"/>
    </row>
    <row r="53" spans="2:10" x14ac:dyDescent="0.35">
      <c r="B53" s="195"/>
      <c r="C53" s="195"/>
      <c r="D53" s="195"/>
      <c r="E53" s="195"/>
      <c r="F53" s="195"/>
      <c r="G53" s="195"/>
      <c r="H53" s="196"/>
      <c r="I53" s="196"/>
      <c r="J53" s="198"/>
    </row>
    <row r="54" spans="2:10" x14ac:dyDescent="0.35">
      <c r="B54" s="195"/>
      <c r="C54" s="195"/>
      <c r="D54" s="195"/>
      <c r="E54" s="195"/>
      <c r="F54" s="195"/>
      <c r="G54" s="195"/>
      <c r="H54" s="196"/>
      <c r="I54" s="196"/>
      <c r="J54" s="198"/>
    </row>
    <row r="55" spans="2:10" x14ac:dyDescent="0.35">
      <c r="B55" s="195"/>
      <c r="C55" s="195"/>
      <c r="D55" s="195"/>
      <c r="E55" s="195"/>
      <c r="F55" s="195"/>
      <c r="G55" s="195"/>
      <c r="H55" s="196"/>
      <c r="I55" s="196"/>
      <c r="J55" s="198"/>
    </row>
    <row r="56" spans="2:10" x14ac:dyDescent="0.35">
      <c r="B56" s="196"/>
      <c r="C56" s="196"/>
      <c r="D56" s="196"/>
      <c r="E56" s="196"/>
      <c r="F56" s="196"/>
      <c r="G56" s="196"/>
      <c r="H56" s="196"/>
      <c r="I56" s="196"/>
      <c r="J56" s="198"/>
    </row>
    <row r="57" spans="2:10" x14ac:dyDescent="0.35">
      <c r="B57" s="196"/>
      <c r="C57" s="196"/>
      <c r="D57" s="202"/>
      <c r="E57" s="196"/>
      <c r="F57" s="196"/>
      <c r="G57" s="196"/>
      <c r="H57" s="196"/>
      <c r="I57" s="196"/>
      <c r="J57" s="198"/>
    </row>
    <row r="58" spans="2:10" x14ac:dyDescent="0.35">
      <c r="B58" s="196"/>
      <c r="C58" s="196"/>
      <c r="D58" s="196"/>
      <c r="E58" s="196"/>
      <c r="F58" s="196"/>
      <c r="G58" s="196"/>
      <c r="H58" s="196"/>
      <c r="I58" s="196"/>
      <c r="J58" s="198"/>
    </row>
    <row r="59" spans="2:10" x14ac:dyDescent="0.35">
      <c r="B59" s="196"/>
      <c r="C59" s="196"/>
      <c r="D59" s="196"/>
      <c r="E59" s="196"/>
      <c r="F59" s="196"/>
      <c r="G59" s="196"/>
      <c r="H59" s="196"/>
      <c r="I59" s="196"/>
      <c r="J59" s="198"/>
    </row>
    <row r="60" spans="2:10" x14ac:dyDescent="0.35">
      <c r="J60" s="198"/>
    </row>
    <row r="61" spans="2:10" x14ac:dyDescent="0.35">
      <c r="J61" s="198"/>
    </row>
    <row r="62" spans="2:10" x14ac:dyDescent="0.35">
      <c r="J62" s="198"/>
    </row>
    <row r="63" spans="2:10" x14ac:dyDescent="0.35">
      <c r="J63" s="198"/>
    </row>
    <row r="64" spans="2:10" x14ac:dyDescent="0.35">
      <c r="J64" s="198"/>
    </row>
    <row r="65" spans="10:11" x14ac:dyDescent="0.35">
      <c r="J65" s="198"/>
    </row>
    <row r="66" spans="10:11" x14ac:dyDescent="0.35">
      <c r="J66" s="198"/>
    </row>
    <row r="67" spans="10:11" x14ac:dyDescent="0.35">
      <c r="J67" s="198"/>
    </row>
    <row r="68" spans="10:11" x14ac:dyDescent="0.35">
      <c r="J68" s="198"/>
    </row>
    <row r="69" spans="10:11" x14ac:dyDescent="0.35">
      <c r="J69" s="198"/>
    </row>
    <row r="70" spans="10:11" x14ac:dyDescent="0.35">
      <c r="J70" s="198"/>
    </row>
    <row r="71" spans="10:11" x14ac:dyDescent="0.35">
      <c r="J71" s="198"/>
    </row>
    <row r="72" spans="10:11" x14ac:dyDescent="0.35">
      <c r="J72" s="198"/>
    </row>
    <row r="73" spans="10:11" x14ac:dyDescent="0.35">
      <c r="J73" s="198"/>
    </row>
    <row r="74" spans="10:11" x14ac:dyDescent="0.35">
      <c r="J74" s="198"/>
    </row>
    <row r="75" spans="10:11" x14ac:dyDescent="0.35">
      <c r="J75" s="198"/>
    </row>
    <row r="76" spans="10:11" x14ac:dyDescent="0.35">
      <c r="J76" s="198"/>
    </row>
    <row r="79" spans="10:11" x14ac:dyDescent="0.35">
      <c r="K79" s="203"/>
    </row>
  </sheetData>
  <sheetProtection algorithmName="SHA-512" hashValue="yJzmTBecKG1p1B5HHVtsl1LL4ODXwKyf+63xYMZDZmxC6yz7Ytsfg/5Qn3JQVqhBSn8jXDhVvZHTpA7cgPcL6Q==" saltValue="eov9sFXl3cZsJ1GTGTUTvw==" spinCount="100000" sheet="1" objects="1" scenarios="1" selectLockedCells="1"/>
  <mergeCells count="7">
    <mergeCell ref="J27:L28"/>
    <mergeCell ref="C7:G7"/>
    <mergeCell ref="I6:J6"/>
    <mergeCell ref="B7:B8"/>
    <mergeCell ref="I13:J15"/>
    <mergeCell ref="J21:L22"/>
    <mergeCell ref="J24:L25"/>
  </mergeCells>
  <hyperlinks>
    <hyperlink ref="J24:L25" location="'All Measures Ready Reckoner'!A1" display="Back to All Measures Ready Reckoner &lt;---" xr:uid="{00000000-0004-0000-0800-000000000000}"/>
    <hyperlink ref="J21:L22" location="'Single Measure Ready Reckoner'!A1" display="Back to Single Measure Ready Reckoner  &lt;---" xr:uid="{00000000-0004-0000-0800-000001000000}"/>
    <hyperlink ref="J27:L28" location="Guidance!A1" display="Back to Ready Reckoner Guidance &lt;---" xr:uid="{00000000-0004-0000-0800-000002000000}"/>
  </hyperlinks>
  <pageMargins left="0.75" right="0.75" top="1" bottom="1" header="0.5" footer="0.5"/>
  <pageSetup paperSize="9" scale="85"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63106138-7740-4F23-97D6-5D57F246362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Guide to Ready Reckoners</vt:lpstr>
      <vt:lpstr>Guidance</vt:lpstr>
      <vt:lpstr>new drop down lookup</vt:lpstr>
      <vt:lpstr>KS2 Fine grades lookup</vt:lpstr>
      <vt:lpstr>Key stage 2 Data Input</vt:lpstr>
      <vt:lpstr>Single Measure Ready Reckoner</vt:lpstr>
      <vt:lpstr>All Measures Ready Reckoner</vt:lpstr>
      <vt:lpstr>Coefficients</vt:lpstr>
      <vt:lpstr>Model values</vt:lpstr>
      <vt:lpstr>PAG Limits </vt:lpstr>
      <vt:lpstr>Chart Data</vt:lpstr>
      <vt:lpstr>'All Measures Ready Reckoner'!Print_Area</vt:lpstr>
      <vt:lpstr>'Key stage 2 Data Input'!Print_Area</vt:lpstr>
      <vt:lpstr>'Single Measure Ready Reckoner'!Print_Area</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GLEDHILL, Jacob</dc:creator>
  <cp:lastModifiedBy>MCARDLE, Laura</cp:lastModifiedBy>
  <cp:lastPrinted>2012-10-16T14:13:28Z</cp:lastPrinted>
  <dcterms:created xsi:type="dcterms:W3CDTF">2011-06-16T12:50:47Z</dcterms:created>
  <dcterms:modified xsi:type="dcterms:W3CDTF">2022-07-01T14:24:26Z</dcterms:modified>
</cp:coreProperties>
</file>