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_a\Desktop\"/>
    </mc:Choice>
  </mc:AlternateContent>
  <xr:revisionPtr revIDLastSave="0" documentId="13_ncr:1_{C44363F5-921E-4259-B98A-165A21EABB17}" xr6:coauthVersionLast="46" xr6:coauthVersionMax="46" xr10:uidLastSave="{00000000-0000-0000-0000-000000000000}"/>
  <bookViews>
    <workbookView xWindow="-120" yWindow="-120" windowWidth="20730" windowHeight="11160" xr2:uid="{EC72C05B-CA92-438A-B573-58CFA7F3A60C}"/>
  </bookViews>
  <sheets>
    <sheet name="Solar" sheetId="4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4" i="4" l="1"/>
  <c r="B76" i="4"/>
  <c r="B71" i="4"/>
  <c r="C42" i="4"/>
  <c r="D42" i="4" s="1"/>
  <c r="E42" i="4" s="1"/>
  <c r="F42" i="4" s="1"/>
  <c r="G42" i="4" s="1"/>
  <c r="B35" i="4"/>
  <c r="C35" i="4" s="1"/>
  <c r="D35" i="4" s="1"/>
  <c r="E35" i="4" s="1"/>
  <c r="F35" i="4" s="1"/>
  <c r="G35" i="4" s="1"/>
  <c r="C33" i="4"/>
  <c r="G28" i="4"/>
  <c r="F28" i="4"/>
  <c r="E28" i="4"/>
  <c r="D28" i="4"/>
  <c r="C28" i="4"/>
  <c r="G25" i="4"/>
  <c r="F25" i="4"/>
  <c r="E25" i="4"/>
  <c r="D25" i="4"/>
  <c r="C25" i="4"/>
  <c r="C22" i="4"/>
  <c r="C19" i="4"/>
  <c r="C13" i="4"/>
  <c r="D13" i="4" s="1"/>
  <c r="E13" i="4" s="1"/>
  <c r="F13" i="4" s="1"/>
  <c r="G13" i="4" s="1"/>
  <c r="C12" i="4"/>
  <c r="C14" i="4" s="1"/>
  <c r="B40" i="4" s="1"/>
  <c r="C6" i="4"/>
  <c r="C7" i="4" s="1"/>
  <c r="D5" i="4"/>
  <c r="E5" i="4" s="1"/>
  <c r="D4" i="4"/>
  <c r="E4" i="4" s="1"/>
  <c r="E3" i="4"/>
  <c r="F3" i="4" s="1"/>
  <c r="C1" i="4"/>
  <c r="D1" i="4" s="1"/>
  <c r="E1" i="4" s="1"/>
  <c r="F1" i="4" s="1"/>
  <c r="G1" i="4" s="1"/>
  <c r="H1" i="4" s="1"/>
  <c r="C30" i="4" l="1"/>
  <c r="D6" i="4"/>
  <c r="D7" i="4" s="1"/>
  <c r="D33" i="4"/>
  <c r="E22" i="4"/>
  <c r="E19" i="4"/>
  <c r="F4" i="4"/>
  <c r="D8" i="4"/>
  <c r="E8" i="4" s="1"/>
  <c r="F8" i="4" s="1"/>
  <c r="G8" i="4" s="1"/>
  <c r="F5" i="4"/>
  <c r="E33" i="4"/>
  <c r="E6" i="4"/>
  <c r="E7" i="4" s="1"/>
  <c r="C40" i="4"/>
  <c r="G3" i="4"/>
  <c r="D12" i="4"/>
  <c r="D19" i="4"/>
  <c r="C8" i="4"/>
  <c r="C10" i="4" s="1"/>
  <c r="D22" i="4"/>
  <c r="E30" i="4" l="1"/>
  <c r="D30" i="4"/>
  <c r="E10" i="4"/>
  <c r="E32" i="4" s="1"/>
  <c r="E36" i="4" s="1"/>
  <c r="C16" i="4"/>
  <c r="C32" i="4"/>
  <c r="C36" i="4" s="1"/>
  <c r="B72" i="4" s="1"/>
  <c r="B78" i="4" s="1"/>
  <c r="F19" i="4"/>
  <c r="G4" i="4"/>
  <c r="F22" i="4"/>
  <c r="F33" i="4"/>
  <c r="F6" i="4"/>
  <c r="F7" i="4" s="1"/>
  <c r="F10" i="4" s="1"/>
  <c r="G5" i="4"/>
  <c r="D14" i="4"/>
  <c r="E12" i="4"/>
  <c r="D40" i="4"/>
  <c r="D10" i="4"/>
  <c r="F30" i="4" l="1"/>
  <c r="F32" i="4"/>
  <c r="C78" i="4"/>
  <c r="B51" i="4"/>
  <c r="B54" i="4" s="1"/>
  <c r="G33" i="4"/>
  <c r="G6" i="4"/>
  <c r="G7" i="4" s="1"/>
  <c r="H5" i="4"/>
  <c r="D32" i="4"/>
  <c r="D36" i="4" s="1"/>
  <c r="D16" i="4"/>
  <c r="F12" i="4"/>
  <c r="E14" i="4"/>
  <c r="E16" i="4" s="1"/>
  <c r="E40" i="4"/>
  <c r="G19" i="4"/>
  <c r="G22" i="4"/>
  <c r="C38" i="4"/>
  <c r="B41" i="4"/>
  <c r="F36" i="4" l="1"/>
  <c r="E38" i="4"/>
  <c r="E17" i="4"/>
  <c r="G30" i="4"/>
  <c r="H30" i="4"/>
  <c r="G12" i="4"/>
  <c r="G14" i="4" s="1"/>
  <c r="F14" i="4"/>
  <c r="F16" i="4" s="1"/>
  <c r="G10" i="4"/>
  <c r="H7" i="4"/>
  <c r="C41" i="4"/>
  <c r="B43" i="4"/>
  <c r="F40" i="4"/>
  <c r="D17" i="4"/>
  <c r="D38" i="4"/>
  <c r="B55" i="4"/>
  <c r="E64" i="4"/>
  <c r="B59" i="4"/>
  <c r="B60" i="4" l="1"/>
  <c r="E65" i="4"/>
  <c r="B56" i="4"/>
  <c r="G40" i="4"/>
  <c r="G16" i="4"/>
  <c r="G32" i="4"/>
  <c r="G36" i="4" s="1"/>
  <c r="F38" i="4"/>
  <c r="F17" i="4"/>
  <c r="D41" i="4"/>
  <c r="C43" i="4"/>
  <c r="C45" i="4" s="1"/>
  <c r="C47" i="4" l="1"/>
  <c r="C49" i="4" s="1"/>
  <c r="C51" i="4" s="1"/>
  <c r="C54" i="4" s="1"/>
  <c r="B61" i="4"/>
  <c r="E66" i="4"/>
  <c r="E41" i="4"/>
  <c r="D43" i="4"/>
  <c r="D45" i="4" s="1"/>
  <c r="G38" i="4"/>
  <c r="G17" i="4"/>
  <c r="C59" i="4" l="1"/>
  <c r="C55" i="4"/>
  <c r="F41" i="4"/>
  <c r="E43" i="4"/>
  <c r="E45" i="4" s="1"/>
  <c r="D47" i="4"/>
  <c r="D49" i="4" s="1"/>
  <c r="D51" i="4" s="1"/>
  <c r="D54" i="4" s="1"/>
  <c r="E47" i="4" l="1"/>
  <c r="E49" i="4" s="1"/>
  <c r="E51" i="4" s="1"/>
  <c r="E54" i="4" s="1"/>
  <c r="G41" i="4"/>
  <c r="G43" i="4" s="1"/>
  <c r="G45" i="4" s="1"/>
  <c r="F43" i="4"/>
  <c r="F45" i="4" s="1"/>
  <c r="C56" i="4"/>
  <c r="C60" i="4"/>
  <c r="D59" i="4"/>
  <c r="D55" i="4"/>
  <c r="E59" i="4" l="1"/>
  <c r="E55" i="4"/>
  <c r="D56" i="4"/>
  <c r="D61" i="4" s="1"/>
  <c r="D60" i="4"/>
  <c r="G47" i="4"/>
  <c r="G49" i="4" s="1"/>
  <c r="G51" i="4" s="1"/>
  <c r="G54" i="4" s="1"/>
  <c r="C61" i="4"/>
  <c r="F47" i="4"/>
  <c r="F49" i="4" s="1"/>
  <c r="F51" i="4" s="1"/>
  <c r="F54" i="4" s="1"/>
  <c r="F55" i="4" l="1"/>
  <c r="F59" i="4"/>
  <c r="E60" i="4"/>
  <c r="E56" i="4"/>
  <c r="D64" i="4"/>
  <c r="F64" i="4" s="1"/>
  <c r="G59" i="4"/>
  <c r="G55" i="4"/>
  <c r="C64" i="4" l="1"/>
  <c r="G56" i="4"/>
  <c r="I55" i="4"/>
  <c r="J55" i="4" s="1"/>
  <c r="K55" i="4" s="1"/>
  <c r="L55" i="4" s="1"/>
  <c r="M55" i="4" s="1"/>
  <c r="N55" i="4" s="1"/>
  <c r="O55" i="4" s="1"/>
  <c r="P55" i="4" s="1"/>
  <c r="Q55" i="4" s="1"/>
  <c r="R55" i="4" s="1"/>
  <c r="S55" i="4" s="1"/>
  <c r="T55" i="4" s="1"/>
  <c r="U55" i="4" s="1"/>
  <c r="V55" i="4" s="1"/>
  <c r="W55" i="4" s="1"/>
  <c r="X55" i="4" s="1"/>
  <c r="Y55" i="4" s="1"/>
  <c r="Z55" i="4" s="1"/>
  <c r="AA55" i="4" s="1"/>
  <c r="AB55" i="4" s="1"/>
  <c r="AC55" i="4" s="1"/>
  <c r="AD55" i="4" s="1"/>
  <c r="AE55" i="4" s="1"/>
  <c r="AF55" i="4" s="1"/>
  <c r="AG55" i="4" s="1"/>
  <c r="AH55" i="4" s="1"/>
  <c r="AI55" i="4" s="1"/>
  <c r="AJ55" i="4" s="1"/>
  <c r="AK55" i="4" s="1"/>
  <c r="AL55" i="4" s="1"/>
  <c r="AM55" i="4" s="1"/>
  <c r="AN55" i="4" s="1"/>
  <c r="AO55" i="4" s="1"/>
  <c r="AP55" i="4" s="1"/>
  <c r="AQ55" i="4" s="1"/>
  <c r="AR55" i="4" s="1"/>
  <c r="AS55" i="4" s="1"/>
  <c r="AT55" i="4" s="1"/>
  <c r="AU55" i="4" s="1"/>
  <c r="AV55" i="4" s="1"/>
  <c r="AW55" i="4" s="1"/>
  <c r="AX55" i="4" s="1"/>
  <c r="AY55" i="4" s="1"/>
  <c r="AZ55" i="4" s="1"/>
  <c r="BA55" i="4" s="1"/>
  <c r="BB55" i="4" s="1"/>
  <c r="BC55" i="4" s="1"/>
  <c r="BD55" i="4" s="1"/>
  <c r="BE55" i="4" s="1"/>
  <c r="BF55" i="4" s="1"/>
  <c r="BG55" i="4" s="1"/>
  <c r="H55" i="4"/>
  <c r="D65" i="4" s="1"/>
  <c r="F65" i="4" s="1"/>
  <c r="G60" i="4"/>
  <c r="E61" i="4"/>
  <c r="H59" i="4"/>
  <c r="B64" i="4" s="1"/>
  <c r="G64" i="4"/>
  <c r="F60" i="4"/>
  <c r="F56" i="4"/>
  <c r="F61" i="4" s="1"/>
  <c r="C65" i="4" l="1"/>
  <c r="H60" i="4"/>
  <c r="B65" i="4" s="1"/>
  <c r="G65" i="4"/>
  <c r="G61" i="4"/>
  <c r="H56" i="4"/>
  <c r="G66" i="4" s="1"/>
  <c r="H61" i="4" l="1"/>
  <c r="B66" i="4" s="1"/>
  <c r="D66" i="4"/>
  <c r="F66" i="4" s="1"/>
  <c r="C66" i="4"/>
  <c r="B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 arcila</author>
  </authors>
  <commentList>
    <comment ref="A3" authorId="0" shapeId="0" xr:uid="{431092E1-C6AE-41D7-9808-7E8CFE80FB3D}">
      <text>
        <r>
          <rPr>
            <b/>
            <sz val="9"/>
            <color indexed="81"/>
            <rFont val="Tahoma"/>
            <family val="2"/>
          </rPr>
          <t>Total de hogares</t>
        </r>
      </text>
    </comment>
    <comment ref="A4" authorId="0" shapeId="0" xr:uid="{EE6E76AE-770E-4174-AB22-C96BE5B6BD67}">
      <text>
        <r>
          <rPr>
            <sz val="9"/>
            <color indexed="81"/>
            <rFont val="Tahoma"/>
            <family val="2"/>
          </rPr>
          <t xml:space="preserve">Total Paneles
</t>
        </r>
      </text>
    </comment>
    <comment ref="A5" authorId="0" shapeId="0" xr:uid="{1F592642-D4C8-41FD-8C05-4803EBBAA0BB}">
      <text>
        <r>
          <rPr>
            <b/>
            <sz val="9"/>
            <color indexed="81"/>
            <rFont val="Tahoma"/>
            <family val="2"/>
          </rPr>
          <t>prod anual: 2100Mwh/12/30</t>
        </r>
      </text>
    </comment>
    <comment ref="A6" authorId="0" shapeId="0" xr:uid="{4078F848-2CC2-4B74-A4B3-4A7B5BC1613E}">
      <text>
        <r>
          <rPr>
            <b/>
            <sz val="9"/>
            <color indexed="81"/>
            <rFont val="Tahoma"/>
            <family val="2"/>
          </rPr>
          <t>Prod mensual</t>
        </r>
      </text>
    </comment>
    <comment ref="A7" authorId="0" shapeId="0" xr:uid="{829FC3BE-5A4F-4390-9D6E-51D15ACDDB9C}">
      <text>
        <r>
          <rPr>
            <sz val="9"/>
            <color indexed="81"/>
            <rFont val="Tahoma"/>
            <family val="2"/>
          </rPr>
          <t xml:space="preserve">Cantidad de Ventas Mwh al año POR HOGAR
</t>
        </r>
      </text>
    </comment>
    <comment ref="D7" authorId="0" shapeId="0" xr:uid="{5974151E-FC49-4853-80DC-8D06545491A0}">
      <text>
        <r>
          <rPr>
            <b/>
            <sz val="9"/>
            <color indexed="81"/>
            <rFont val="Tahoma"/>
            <family val="2"/>
          </rPr>
          <t>la división en 1000 conviente el total en Mwh a Kwh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 shapeId="0" xr:uid="{CA4C857D-A4CB-4817-8C0A-DB7A4C55CCF7}">
      <text>
        <r>
          <rPr>
            <b/>
            <sz val="9"/>
            <color indexed="81"/>
            <rFont val="Tahoma"/>
            <family val="2"/>
          </rPr>
          <t>Valor Kwh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7649E872-AF70-4971-8C05-82679E2FD6EA}">
      <text>
        <r>
          <rPr>
            <sz val="9"/>
            <color indexed="81"/>
            <rFont val="Tahoma"/>
            <family val="2"/>
          </rPr>
          <t xml:space="preserve">1 pers: 8 paneles por hora
1 pers: limpia en 1 día 64 paneles
3000 paneles/64 paneles por día/pers = 46 personas
valor hr limpieza: 3000 = $24000 diario
46 personas x $24000 = $1104000 gasto por día
4 días al mes = $4416000
</t>
        </r>
      </text>
    </comment>
  </commentList>
</comments>
</file>

<file path=xl/sharedStrings.xml><?xml version="1.0" encoding="utf-8"?>
<sst xmlns="http://schemas.openxmlformats.org/spreadsheetml/2006/main" count="430" uniqueCount="358">
  <si>
    <t xml:space="preserve">Panel 315W 24V Monocrystalline Atersa </t>
  </si>
  <si>
    <t xml:space="preserve"> </t>
  </si>
  <si>
    <t xml:space="preserve">Another materials </t>
  </si>
  <si>
    <t xml:space="preserve">Connection with electric line </t>
  </si>
  <si>
    <t xml:space="preserve">Land </t>
  </si>
  <si>
    <t xml:space="preserve">Advisory </t>
  </si>
  <si>
    <t xml:space="preserve">Construction Procedures -  Dig, Concrete </t>
  </si>
  <si>
    <t xml:space="preserve">Legalization and management of construction (licenses...) </t>
  </si>
  <si>
    <t>TOTAL BUDGET FOR THE PROJECT</t>
  </si>
  <si>
    <t>Description</t>
  </si>
  <si>
    <t>Units</t>
  </si>
  <si>
    <t>Price</t>
  </si>
  <si>
    <t>Amounts</t>
  </si>
  <si>
    <t>Net Production capacity</t>
  </si>
  <si>
    <t xml:space="preserve">Capacity in kW </t>
  </si>
  <si>
    <t xml:space="preserve">Production Hours per year </t>
  </si>
  <si>
    <t xml:space="preserve">Access </t>
  </si>
  <si>
    <t xml:space="preserve">Total Production </t>
  </si>
  <si>
    <t>1,544 MWh</t>
  </si>
  <si>
    <t>1.3. Table: Estimated production for the project. Source: Own.</t>
  </si>
  <si>
    <t xml:space="preserve">Solar Panel Cost and other materials </t>
  </si>
  <si>
    <t>Construction procedure</t>
  </si>
  <si>
    <t xml:space="preserve">Legalization ad licenses </t>
  </si>
  <si>
    <t>Connection with electric line</t>
  </si>
  <si>
    <t>separador de miles es coma ,</t>
  </si>
  <si>
    <t xml:space="preserve">DRSA </t>
  </si>
  <si>
    <t xml:space="preserve">Capitalized Interest </t>
  </si>
  <si>
    <t xml:space="preserve">Structuring Fee </t>
  </si>
  <si>
    <t xml:space="preserve">Total Investment </t>
  </si>
  <si>
    <t xml:space="preserve">Equity </t>
  </si>
  <si>
    <t xml:space="preserve">Total </t>
  </si>
  <si>
    <t>Project Finance Debt</t>
  </si>
  <si>
    <t>Hoja de balance</t>
  </si>
  <si>
    <t>1.6. Table: Estimated EBITDA for the project. Source: Own.</t>
  </si>
  <si>
    <t>Revenues</t>
  </si>
  <si>
    <t>Operating</t>
  </si>
  <si>
    <t>Cost</t>
  </si>
  <si>
    <t>EBITDA</t>
  </si>
  <si>
    <t>0.0</t>
  </si>
  <si>
    <t>63,283.5</t>
  </si>
  <si>
    <t>1,517.3</t>
  </si>
  <si>
    <t>64,800.8</t>
  </si>
  <si>
    <t>64,232.8</t>
  </si>
  <si>
    <t>1,540.1</t>
  </si>
  <si>
    <t>65,772.8</t>
  </si>
  <si>
    <t>65,196.2</t>
  </si>
  <si>
    <t>1,563.2</t>
  </si>
  <si>
    <t>66,759.4</t>
  </si>
  <si>
    <t>66,174.2</t>
  </si>
  <si>
    <t>1,586.6</t>
  </si>
  <si>
    <t>67,760.8</t>
  </si>
  <si>
    <t>67,166.8</t>
  </si>
  <si>
    <t>1,610.4</t>
  </si>
  <si>
    <t>68,777.2</t>
  </si>
  <si>
    <t>68,174.3</t>
  </si>
  <si>
    <t>1,634.6</t>
  </si>
  <si>
    <t>69,808.9</t>
  </si>
  <si>
    <t>69,196.9</t>
  </si>
  <si>
    <t>1,659.1</t>
  </si>
  <si>
    <t>70,856.0</t>
  </si>
  <si>
    <t>70,234.9</t>
  </si>
  <si>
    <t>1,684.0</t>
  </si>
  <si>
    <t>71,918.8</t>
  </si>
  <si>
    <t>71,288.4</t>
  </si>
  <si>
    <t>1,709.2</t>
  </si>
  <si>
    <t>72,997.6</t>
  </si>
  <si>
    <t>72,357.7</t>
  </si>
  <si>
    <t>1,734.9</t>
  </si>
  <si>
    <t>74,092.6</t>
  </si>
  <si>
    <t>73,443.1</t>
  </si>
  <si>
    <t>1,760.9</t>
  </si>
  <si>
    <t>75,204.0</t>
  </si>
  <si>
    <t>74,544.7</t>
  </si>
  <si>
    <t>1,787.3</t>
  </si>
  <si>
    <t>76,332.0</t>
  </si>
  <si>
    <t>75,662.9</t>
  </si>
  <si>
    <t>1,814.1</t>
  </si>
  <si>
    <t>77,477.0</t>
  </si>
  <si>
    <t>76,797.8</t>
  </si>
  <si>
    <t>1,841.3</t>
  </si>
  <si>
    <t>78,639.2</t>
  </si>
  <si>
    <t>77,949.8</t>
  </si>
  <si>
    <t>1,868.9</t>
  </si>
  <si>
    <t>79,818.8</t>
  </si>
  <si>
    <t>79,119.1</t>
  </si>
  <si>
    <t>1,897.0</t>
  </si>
  <si>
    <t>81,016.0</t>
  </si>
  <si>
    <t>80,305.8</t>
  </si>
  <si>
    <t>1,925.4</t>
  </si>
  <si>
    <t>82,231.3</t>
  </si>
  <si>
    <t>81,510.4</t>
  </si>
  <si>
    <t>1,954.3</t>
  </si>
  <si>
    <t>83,464.8</t>
  </si>
  <si>
    <t>82,733.1</t>
  </si>
  <si>
    <t>1,983.6</t>
  </si>
  <si>
    <t>84,716.7</t>
  </si>
  <si>
    <t>83,974.1</t>
  </si>
  <si>
    <t>2,013.4</t>
  </si>
  <si>
    <t>85,987.5</t>
  </si>
  <si>
    <t>0.00</t>
  </si>
  <si>
    <t>11,777.76</t>
  </si>
  <si>
    <t>189.66</t>
  </si>
  <si>
    <t>11,588.10</t>
  </si>
  <si>
    <t>11,954.43</t>
  </si>
  <si>
    <t>192.51</t>
  </si>
  <si>
    <t>11,761.92</t>
  </si>
  <si>
    <t>12,133.75</t>
  </si>
  <si>
    <t>195.40</t>
  </si>
  <si>
    <t>11,938.35</t>
  </si>
  <si>
    <t>12,315.75</t>
  </si>
  <si>
    <t>198.33</t>
  </si>
  <si>
    <t>12,117.42</t>
  </si>
  <si>
    <t>12,500.49</t>
  </si>
  <si>
    <t>201.30</t>
  </si>
  <si>
    <t>12,299.19</t>
  </si>
  <si>
    <t>12,688.00</t>
  </si>
  <si>
    <t>204.32</t>
  </si>
  <si>
    <t>12,483.67</t>
  </si>
  <si>
    <t>13,071.49</t>
  </si>
  <si>
    <t>207.39</t>
  </si>
  <si>
    <t>12,864.10</t>
  </si>
  <si>
    <t>13,267.56</t>
  </si>
  <si>
    <t>210.50</t>
  </si>
  <si>
    <t>13,057.07</t>
  </si>
  <si>
    <t>13,466.58</t>
  </si>
  <si>
    <t>213.65</t>
  </si>
  <si>
    <t>13,252.92</t>
  </si>
  <si>
    <t>13,668.57</t>
  </si>
  <si>
    <t>216.86</t>
  </si>
  <si>
    <t>13,451.72</t>
  </si>
  <si>
    <t>13,873.60</t>
  </si>
  <si>
    <t>220.11</t>
  </si>
  <si>
    <t>13,653.49</t>
  </si>
  <si>
    <t>14,081.71</t>
  </si>
  <si>
    <t>223.41</t>
  </si>
  <si>
    <t>13,858.29</t>
  </si>
  <si>
    <t>14,292.93</t>
  </si>
  <si>
    <t>226.76</t>
  </si>
  <si>
    <t>14,066.17</t>
  </si>
  <si>
    <t>14,507.33</t>
  </si>
  <si>
    <t>233.62</t>
  </si>
  <si>
    <t>14,273.71</t>
  </si>
  <si>
    <t>14,724.94</t>
  </si>
  <si>
    <t>237.12</t>
  </si>
  <si>
    <t>14,487.81</t>
  </si>
  <si>
    <t>14,945.81</t>
  </si>
  <si>
    <t>240.68</t>
  </si>
  <si>
    <t>14,705.13</t>
  </si>
  <si>
    <t>15,170.00</t>
  </si>
  <si>
    <t>244.29</t>
  </si>
  <si>
    <t>14,925.71</t>
  </si>
  <si>
    <t>15,397.55</t>
  </si>
  <si>
    <t>247.95</t>
  </si>
  <si>
    <t>15,149.59</t>
  </si>
  <si>
    <t>15,628.51</t>
  </si>
  <si>
    <t>251.67</t>
  </si>
  <si>
    <t>15,376.84</t>
  </si>
  <si>
    <t>Working Capital</t>
  </si>
  <si>
    <t>Accounts Payable</t>
  </si>
  <si>
    <t>Accounts receivable</t>
  </si>
  <si>
    <t>Balance</t>
  </si>
  <si>
    <t>Withdrawal</t>
  </si>
  <si>
    <t>Endowment</t>
  </si>
  <si>
    <t>End</t>
  </si>
  <si>
    <t>12,533.73</t>
  </si>
  <si>
    <t>12,370.45</t>
  </si>
  <si>
    <t>12,204.30</t>
  </si>
  <si>
    <t>12,035,28</t>
  </si>
  <si>
    <t>12,035.28</t>
  </si>
  <si>
    <t>11,863.38</t>
  </si>
  <si>
    <t>11,688.61</t>
  </si>
  <si>
    <t>11,510.96</t>
  </si>
  <si>
    <t>11,330.44</t>
  </si>
  <si>
    <t>11,147.05</t>
  </si>
  <si>
    <t>10,960.79</t>
  </si>
  <si>
    <t>10,771.65</t>
  </si>
  <si>
    <t>10,579.65</t>
  </si>
  <si>
    <t>10,384.76</t>
  </si>
  <si>
    <t>10,187.01</t>
  </si>
  <si>
    <t>9,986.38</t>
  </si>
  <si>
    <t>9,782.88</t>
  </si>
  <si>
    <t>9,576.51</t>
  </si>
  <si>
    <t>2</t>
  </si>
  <si>
    <t>-163.28</t>
  </si>
  <si>
    <t>3</t>
  </si>
  <si>
    <t>-166.15</t>
  </si>
  <si>
    <t>4</t>
  </si>
  <si>
    <t>-169.03</t>
  </si>
  <si>
    <t>5</t>
  </si>
  <si>
    <t>-171.90</t>
  </si>
  <si>
    <t>6</t>
  </si>
  <si>
    <t>-174.77</t>
  </si>
  <si>
    <t>7</t>
  </si>
  <si>
    <t>-177.64</t>
  </si>
  <si>
    <t>8</t>
  </si>
  <si>
    <t>-180.52</t>
  </si>
  <si>
    <t>9</t>
  </si>
  <si>
    <t>-183.39</t>
  </si>
  <si>
    <t>10</t>
  </si>
  <si>
    <t>-186.26</t>
  </si>
  <si>
    <t>11</t>
  </si>
  <si>
    <t>-189.14</t>
  </si>
  <si>
    <t>12</t>
  </si>
  <si>
    <t>-192.01</t>
  </si>
  <si>
    <t>13</t>
  </si>
  <si>
    <t>-194.88</t>
  </si>
  <si>
    <t>14</t>
  </si>
  <si>
    <t>-197.75</t>
  </si>
  <si>
    <t>15</t>
  </si>
  <si>
    <t>-200.63</t>
  </si>
  <si>
    <t>16</t>
  </si>
  <si>
    <t>-203.50</t>
  </si>
  <si>
    <t>17</t>
  </si>
  <si>
    <t>-206.37</t>
  </si>
  <si>
    <t>18</t>
  </si>
  <si>
    <t>-9576.51</t>
  </si>
  <si>
    <t>1</t>
  </si>
  <si>
    <t>required Balance</t>
  </si>
  <si>
    <t>0.96</t>
  </si>
  <si>
    <t>1.42</t>
  </si>
  <si>
    <t>1.47</t>
  </si>
  <si>
    <t>1.52</t>
  </si>
  <si>
    <t>1.58</t>
  </si>
  <si>
    <t>1.64</t>
  </si>
  <si>
    <t>1.70</t>
  </si>
  <si>
    <t>1.76</t>
  </si>
  <si>
    <t>1.83</t>
  </si>
  <si>
    <t>1.90</t>
  </si>
  <si>
    <t>1.97</t>
  </si>
  <si>
    <t>2.05</t>
  </si>
  <si>
    <t>2.13</t>
  </si>
  <si>
    <t>2.22</t>
  </si>
  <si>
    <t>2.31</t>
  </si>
  <si>
    <t>2.41</t>
  </si>
  <si>
    <t>2..51</t>
  </si>
  <si>
    <t>DSCR</t>
  </si>
  <si>
    <t>1.85</t>
  </si>
  <si>
    <t>Service</t>
  </si>
  <si>
    <t>DSCR Average</t>
  </si>
  <si>
    <t>DSCR Mín</t>
  </si>
  <si>
    <t>1.10. Debt Coverage Min and Average. Table: Debt Service
Coverage Ratio of the photovoltaic plant. Source: Own.</t>
  </si>
  <si>
    <t>26,765.17</t>
  </si>
  <si>
    <t>39,027.55</t>
  </si>
  <si>
    <t>39,886.30</t>
  </si>
  <si>
    <t>40,758.38</t>
  </si>
  <si>
    <t>41,643.96</t>
  </si>
  <si>
    <t>42,543.19</t>
  </si>
  <si>
    <t>43,456.21</t>
  </si>
  <si>
    <t>44,383.18</t>
  </si>
  <si>
    <t>45,324.26</t>
  </si>
  <si>
    <t>46,279.60</t>
  </si>
  <si>
    <t>47,249.37</t>
  </si>
  <si>
    <t>48,233.73</t>
  </si>
  <si>
    <t>49,232.84</t>
  </si>
  <si>
    <t>50,246.89</t>
  </si>
  <si>
    <t>51,276.02</t>
  </si>
  <si>
    <t>52,320.43</t>
  </si>
  <si>
    <t>53,380.29</t>
  </si>
  <si>
    <t>65,904.64</t>
  </si>
  <si>
    <t>66,736.67</t>
  </si>
  <si>
    <t>67,581.18</t>
  </si>
  <si>
    <t>-333,949.98</t>
  </si>
  <si>
    <t>IRR Shareholders</t>
  </si>
  <si>
    <t>Cash Flows</t>
  </si>
  <si>
    <t>0.58</t>
  </si>
  <si>
    <t>1.53</t>
  </si>
  <si>
    <t>1.19</t>
  </si>
  <si>
    <t>2.83</t>
  </si>
  <si>
    <t>CASE 1</t>
  </si>
  <si>
    <t>IRR shareholders</t>
  </si>
  <si>
    <t>DSCR Min</t>
  </si>
  <si>
    <t>DSCR Avg</t>
  </si>
  <si>
    <t>Case 2</t>
  </si>
  <si>
    <t>0.65</t>
  </si>
  <si>
    <t>0.98</t>
  </si>
  <si>
    <t>1.30</t>
  </si>
  <si>
    <t>1.89</t>
  </si>
  <si>
    <t>Case 3</t>
  </si>
  <si>
    <t>DSCR avg</t>
  </si>
  <si>
    <t>Case 4</t>
  </si>
  <si>
    <t>2.14</t>
  </si>
  <si>
    <t>3.73</t>
  </si>
  <si>
    <t>Case 5</t>
  </si>
  <si>
    <t>DSCR min</t>
  </si>
  <si>
    <t>Variables</t>
  </si>
  <si>
    <t>PROYECCIONES</t>
  </si>
  <si>
    <t>variable</t>
  </si>
  <si>
    <t>Año 1</t>
  </si>
  <si>
    <t>Año 2</t>
  </si>
  <si>
    <t>Año 3</t>
  </si>
  <si>
    <t>Año 4</t>
  </si>
  <si>
    <t>Año 5</t>
  </si>
  <si>
    <t>Año 6</t>
  </si>
  <si>
    <t>PUBLICIDAD (1% de las ventas)</t>
  </si>
  <si>
    <t>RESULTADO NO OPERACIONAL</t>
  </si>
  <si>
    <t>RESULTADO ANTES IMP  =C44+C49</t>
  </si>
  <si>
    <t>F.CAJA</t>
  </si>
  <si>
    <t>F.CAJA = R.EJER+DEPREC (perp  con g=0%)</t>
  </si>
  <si>
    <t>F.CAJA = R.EJER+DEPREC (perp con g&gt;0%)</t>
  </si>
  <si>
    <t>F.CAJA = R.EJER+DEPREC (multiplo x10)</t>
  </si>
  <si>
    <t>F.CAJA DESCONTADOS</t>
  </si>
  <si>
    <t>VAN</t>
  </si>
  <si>
    <t>Suma</t>
  </si>
  <si>
    <t>Fórmula</t>
  </si>
  <si>
    <t>VP=VA=PV</t>
  </si>
  <si>
    <t>Inv.Inic</t>
  </si>
  <si>
    <t>VPN=VAN=NPV</t>
  </si>
  <si>
    <t>TIR</t>
  </si>
  <si>
    <t>x10 = g de 5%</t>
  </si>
  <si>
    <t>x 7,1 = g de 1%</t>
  </si>
  <si>
    <t>(GAV+Depreciación)/2</t>
  </si>
  <si>
    <t>PUBLICIDAD LANZAMIENTO</t>
  </si>
  <si>
    <t>HONORARIOS ABOG</t>
  </si>
  <si>
    <t>PERMISOS</t>
  </si>
  <si>
    <t>TASA DESCUENTO</t>
  </si>
  <si>
    <t>g = crecimiento resultado desp. Año 5</t>
  </si>
  <si>
    <t>Múltiplo de Salida</t>
  </si>
  <si>
    <t>Conexión al troncal eléctrico</t>
  </si>
  <si>
    <t>Núm viajes mes =C5*30</t>
  </si>
  <si>
    <t>(q) Número Pasajeros Año (N°) = C3*C6*12</t>
  </si>
  <si>
    <t>(p) Precio de Venta (56,4 €/MWh)</t>
  </si>
  <si>
    <t>INGRESO x VENTAS (€) = C8*C7/1000</t>
  </si>
  <si>
    <t>Mantenciones de Baterías y cableado 4%</t>
  </si>
  <si>
    <t>Limpieza de paneles</t>
  </si>
  <si>
    <t>COSTO DE VENTA  (€)</t>
  </si>
  <si>
    <t>MARGEN EXPLOTAC  (€)</t>
  </si>
  <si>
    <t>Número (2 INGENIEROS)</t>
  </si>
  <si>
    <t>Gerente</t>
  </si>
  <si>
    <t>Número (2 Técnicos+2 Téc. de contingencia)</t>
  </si>
  <si>
    <t>Número (2 Guardias de Seguridad)</t>
  </si>
  <si>
    <t>SUELDOS (€)</t>
  </si>
  <si>
    <t>SERV.BASICOS (15% de la prod)</t>
  </si>
  <si>
    <t>DEPRECIACIÓN Paneles = B81/20 años</t>
  </si>
  <si>
    <t>GASTOS ADM. Y VENTAS (GAV)   (€)</t>
  </si>
  <si>
    <t>Intereses Pagados</t>
  </si>
  <si>
    <t>Intereses Ganados</t>
  </si>
  <si>
    <t>Otros Ingresos y Egresos</t>
  </si>
  <si>
    <t>IMPUESTO RENTA   =-C42*$B$44</t>
  </si>
  <si>
    <t>INVERSION INICIAL (3000 paneles a 525€)</t>
  </si>
  <si>
    <t>Otros Materiales 11%</t>
  </si>
  <si>
    <t>GASTOS PUESTA MARCHA (C42-C40)/2</t>
  </si>
  <si>
    <t>Subsidio IDAE - ICO 30%</t>
  </si>
  <si>
    <t>TOTAL INVERSIÓN INICIAL (€)</t>
  </si>
  <si>
    <t>en pesos</t>
  </si>
  <si>
    <r>
      <t xml:space="preserve">Sueldo anual= </t>
    </r>
    <r>
      <rPr>
        <b/>
        <sz val="8"/>
        <rFont val="Calibri"/>
        <family val="2"/>
        <scheme val="minor"/>
      </rPr>
      <t>$B18*$B19*12</t>
    </r>
    <r>
      <rPr>
        <b/>
        <sz val="10"/>
        <rFont val="Calibri"/>
        <family val="2"/>
        <scheme val="minor"/>
      </rPr>
      <t xml:space="preserve">  (€)</t>
    </r>
  </si>
  <si>
    <r>
      <t xml:space="preserve">Sueldo anual= </t>
    </r>
    <r>
      <rPr>
        <b/>
        <sz val="8"/>
        <rFont val="Calibri"/>
        <family val="2"/>
        <scheme val="minor"/>
      </rPr>
      <t>$B21*$B22*12</t>
    </r>
    <r>
      <rPr>
        <b/>
        <sz val="10"/>
        <rFont val="Calibri"/>
        <family val="2"/>
        <scheme val="minor"/>
      </rPr>
      <t xml:space="preserve">  (€)</t>
    </r>
  </si>
  <si>
    <r>
      <t>Técnicos</t>
    </r>
    <r>
      <rPr>
        <b/>
        <sz val="8"/>
        <rFont val="Calibri"/>
        <family val="2"/>
        <scheme val="minor"/>
      </rPr>
      <t xml:space="preserve"> =$B24*$B23*12</t>
    </r>
    <r>
      <rPr>
        <b/>
        <sz val="10"/>
        <rFont val="Calibri"/>
        <family val="2"/>
        <scheme val="minor"/>
      </rPr>
      <t xml:space="preserve"> (€)</t>
    </r>
  </si>
  <si>
    <r>
      <t xml:space="preserve">Seguridad </t>
    </r>
    <r>
      <rPr>
        <b/>
        <sz val="8"/>
        <rFont val="Calibri"/>
        <family val="2"/>
        <scheme val="minor"/>
      </rPr>
      <t>=$B27*$B28*12</t>
    </r>
    <r>
      <rPr>
        <b/>
        <sz val="10"/>
        <rFont val="Calibri"/>
        <family val="2"/>
        <scheme val="minor"/>
      </rPr>
      <t xml:space="preserve"> (€)</t>
    </r>
  </si>
  <si>
    <r>
      <t xml:space="preserve">RESULTADO OPER  (MM$) </t>
    </r>
    <r>
      <rPr>
        <b/>
        <sz val="8"/>
        <color indexed="48"/>
        <rFont val="Calibri"/>
        <family val="2"/>
        <scheme val="minor"/>
      </rPr>
      <t>= ING-COSTOS-GASTOS</t>
    </r>
  </si>
  <si>
    <r>
      <t>RESULTADO EJERCICIO</t>
    </r>
    <r>
      <rPr>
        <b/>
        <sz val="8"/>
        <color theme="4"/>
        <rFont val="Calibri"/>
        <family val="2"/>
        <scheme val="minor"/>
      </rPr>
      <t xml:space="preserve"> = RE =+C51+C53</t>
    </r>
  </si>
  <si>
    <r>
      <t xml:space="preserve">FLUJO DE CAJA= </t>
    </r>
    <r>
      <rPr>
        <b/>
        <sz val="8"/>
        <color theme="4"/>
        <rFont val="Calibri"/>
        <family val="2"/>
        <scheme val="minor"/>
      </rPr>
      <t>RE + Deprec+II =+C55-C40</t>
    </r>
  </si>
  <si>
    <r>
      <t>F.CAJA = R.EJER+DEPREC</t>
    </r>
    <r>
      <rPr>
        <b/>
        <sz val="8"/>
        <color indexed="10"/>
        <rFont val="Calibri"/>
        <family val="2"/>
        <scheme val="minor"/>
      </rPr>
      <t xml:space="preserve"> (perp)</t>
    </r>
  </si>
  <si>
    <r>
      <t>F.CAJA = R.EJER+DEPREC</t>
    </r>
    <r>
      <rPr>
        <b/>
        <sz val="8"/>
        <color indexed="10"/>
        <rFont val="Calibri"/>
        <family val="2"/>
        <scheme val="minor"/>
      </rPr>
      <t xml:space="preserve"> (perp y g&gt;0)</t>
    </r>
  </si>
  <si>
    <r>
      <t>F.CAJA = R.EJER+DEPREC</t>
    </r>
    <r>
      <rPr>
        <b/>
        <sz val="8"/>
        <color indexed="10"/>
        <rFont val="Calibri"/>
        <family val="2"/>
        <scheme val="minor"/>
      </rPr>
      <t xml:space="preserve"> (mutl x10)</t>
    </r>
  </si>
  <si>
    <t>TERRENOS (20000m2 en Lagunillas, Archidona)</t>
  </si>
  <si>
    <t>N° Viviendas del sector</t>
  </si>
  <si>
    <t>N° Paneles</t>
  </si>
  <si>
    <t>Producción anual de la planta 2100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</si>
</sst>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#,##0.00\ [$€-1];[Red]\-#,##0.00\ [$€-1]"/>
    <numFmt numFmtId="165" formatCode="0.000"/>
    <numFmt numFmtId="166" formatCode="#,##0;\(#,##0\)"/>
    <numFmt numFmtId="167" formatCode="0.0000"/>
    <numFmt numFmtId="168" formatCode="#,##0.000;\(#,##0.000\)"/>
    <numFmt numFmtId="169" formatCode="0.0%"/>
    <numFmt numFmtId="170" formatCode="#,##0.0"/>
    <numFmt numFmtId="171" formatCode="#,##0.00;\(#,##0.00\)"/>
    <numFmt numFmtId="172" formatCode="[$$-340A]#,##0"/>
  </numFmts>
  <fonts count="27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name val="Times New Roman"/>
      <family val="1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48"/>
      <name val="Calibri"/>
      <family val="2"/>
      <scheme val="minor"/>
    </font>
    <font>
      <b/>
      <sz val="8"/>
      <color indexed="48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8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color indexed="1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2" fillId="0" borderId="0"/>
  </cellStyleXfs>
  <cellXfs count="135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9" fontId="0" fillId="0" borderId="1" xfId="0" applyNumberFormat="1" applyBorder="1"/>
    <xf numFmtId="37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37" fontId="0" fillId="0" borderId="1" xfId="0" applyNumberFormat="1" applyBorder="1" applyAlignment="1">
      <alignment horizontal="right"/>
    </xf>
    <xf numFmtId="0" fontId="0" fillId="0" borderId="1" xfId="0" applyBorder="1" applyAlignment="1"/>
    <xf numFmtId="0" fontId="9" fillId="0" borderId="0" xfId="5" applyFont="1"/>
    <xf numFmtId="166" fontId="6" fillId="0" borderId="5" xfId="2" applyNumberFormat="1" applyFont="1" applyBorder="1" applyAlignment="1">
      <alignment horizontal="right"/>
    </xf>
    <xf numFmtId="166" fontId="6" fillId="0" borderId="0" xfId="2" applyNumberFormat="1" applyFont="1" applyBorder="1" applyAlignment="1">
      <alignment horizontal="right"/>
    </xf>
    <xf numFmtId="166" fontId="6" fillId="0" borderId="0" xfId="2" applyNumberFormat="1" applyFont="1"/>
    <xf numFmtId="0" fontId="9" fillId="0" borderId="6" xfId="5" applyFont="1" applyBorder="1"/>
    <xf numFmtId="167" fontId="9" fillId="0" borderId="6" xfId="5" applyNumberFormat="1" applyFont="1" applyBorder="1"/>
    <xf numFmtId="167" fontId="9" fillId="2" borderId="6" xfId="5" applyNumberFormat="1" applyFont="1" applyFill="1" applyBorder="1" applyAlignment="1">
      <alignment horizontal="center"/>
    </xf>
    <xf numFmtId="171" fontId="6" fillId="0" borderId="5" xfId="2" applyNumberFormat="1" applyFont="1" applyBorder="1" applyAlignment="1">
      <alignment horizontal="right"/>
    </xf>
    <xf numFmtId="171" fontId="6" fillId="0" borderId="0" xfId="2" applyNumberFormat="1" applyFont="1" applyBorder="1" applyAlignment="1">
      <alignment horizontal="right"/>
    </xf>
    <xf numFmtId="168" fontId="6" fillId="3" borderId="0" xfId="2" applyNumberFormat="1" applyFont="1" applyFill="1"/>
    <xf numFmtId="166" fontId="9" fillId="4" borderId="0" xfId="2" applyNumberFormat="1" applyFont="1" applyFill="1"/>
    <xf numFmtId="2" fontId="9" fillId="0" borderId="5" xfId="5" applyNumberFormat="1" applyFont="1" applyBorder="1" applyAlignment="1">
      <alignment horizontal="center"/>
    </xf>
    <xf numFmtId="166" fontId="6" fillId="3" borderId="5" xfId="2" applyNumberFormat="1" applyFont="1" applyFill="1" applyBorder="1" applyAlignment="1">
      <alignment horizontal="right"/>
    </xf>
    <xf numFmtId="0" fontId="9" fillId="0" borderId="5" xfId="5" applyFont="1" applyBorder="1" applyAlignment="1">
      <alignment horizontal="right"/>
    </xf>
    <xf numFmtId="0" fontId="9" fillId="0" borderId="0" xfId="5" applyFont="1" applyBorder="1" applyAlignment="1">
      <alignment horizontal="right"/>
    </xf>
    <xf numFmtId="0" fontId="10" fillId="4" borderId="6" xfId="5" applyFont="1" applyFill="1" applyBorder="1"/>
    <xf numFmtId="166" fontId="10" fillId="4" borderId="5" xfId="2" applyNumberFormat="1" applyFont="1" applyFill="1" applyBorder="1" applyAlignment="1">
      <alignment horizontal="right"/>
    </xf>
    <xf numFmtId="166" fontId="9" fillId="0" borderId="5" xfId="5" applyNumberFormat="1" applyFont="1" applyBorder="1" applyAlignment="1">
      <alignment horizontal="right"/>
    </xf>
    <xf numFmtId="0" fontId="9" fillId="0" borderId="5" xfId="5" applyFont="1" applyBorder="1"/>
    <xf numFmtId="0" fontId="9" fillId="0" borderId="0" xfId="5" applyFont="1" applyAlignment="1">
      <alignment horizontal="right"/>
    </xf>
    <xf numFmtId="166" fontId="9" fillId="0" borderId="6" xfId="5" applyNumberFormat="1" applyFont="1" applyFill="1" applyBorder="1" applyAlignment="1">
      <alignment horizontal="right"/>
    </xf>
    <xf numFmtId="166" fontId="9" fillId="0" borderId="5" xfId="5" applyNumberFormat="1" applyFont="1" applyFill="1" applyBorder="1" applyAlignment="1">
      <alignment horizontal="right"/>
    </xf>
    <xf numFmtId="166" fontId="10" fillId="4" borderId="0" xfId="5" applyNumberFormat="1" applyFont="1" applyFill="1" applyBorder="1" applyAlignment="1">
      <alignment horizontal="right"/>
    </xf>
    <xf numFmtId="166" fontId="10" fillId="4" borderId="5" xfId="5" applyNumberFormat="1" applyFont="1" applyFill="1" applyBorder="1" applyAlignment="1">
      <alignment horizontal="right"/>
    </xf>
    <xf numFmtId="0" fontId="3" fillId="0" borderId="6" xfId="5" applyFont="1" applyBorder="1"/>
    <xf numFmtId="169" fontId="3" fillId="0" borderId="5" xfId="3" applyNumberFormat="1" applyFont="1" applyBorder="1" applyAlignment="1">
      <alignment horizontal="right" vertical="top"/>
    </xf>
    <xf numFmtId="169" fontId="3" fillId="0" borderId="0" xfId="3" applyNumberFormat="1" applyFont="1" applyBorder="1" applyAlignment="1">
      <alignment horizontal="right" vertical="top"/>
    </xf>
    <xf numFmtId="0" fontId="3" fillId="0" borderId="0" xfId="5" applyFont="1"/>
    <xf numFmtId="0" fontId="9" fillId="0" borderId="6" xfId="5" applyFont="1" applyFill="1" applyBorder="1"/>
    <xf numFmtId="0" fontId="9" fillId="0" borderId="6" xfId="5" applyFont="1" applyBorder="1" applyAlignment="1">
      <alignment horizontal="center"/>
    </xf>
    <xf numFmtId="0" fontId="8" fillId="0" borderId="6" xfId="5" applyFont="1" applyFill="1" applyBorder="1"/>
    <xf numFmtId="166" fontId="9" fillId="0" borderId="6" xfId="5" applyNumberFormat="1" applyFont="1" applyFill="1" applyBorder="1" applyAlignment="1">
      <alignment horizontal="center"/>
    </xf>
    <xf numFmtId="0" fontId="10" fillId="3" borderId="6" xfId="5" applyFont="1" applyFill="1" applyBorder="1"/>
    <xf numFmtId="0" fontId="12" fillId="3" borderId="6" xfId="5" applyFont="1" applyFill="1" applyBorder="1"/>
    <xf numFmtId="166" fontId="12" fillId="3" borderId="5" xfId="2" applyNumberFormat="1" applyFont="1" applyFill="1" applyBorder="1" applyAlignment="1">
      <alignment horizontal="right"/>
    </xf>
    <xf numFmtId="166" fontId="9" fillId="0" borderId="0" xfId="5" applyNumberFormat="1" applyFont="1"/>
    <xf numFmtId="9" fontId="13" fillId="0" borderId="6" xfId="3" applyFont="1" applyFill="1" applyBorder="1" applyAlignment="1">
      <alignment horizontal="center"/>
    </xf>
    <xf numFmtId="9" fontId="6" fillId="0" borderId="6" xfId="3" applyFont="1" applyFill="1" applyBorder="1" applyAlignment="1">
      <alignment horizontal="center"/>
    </xf>
    <xf numFmtId="0" fontId="8" fillId="3" borderId="6" xfId="5" applyFont="1" applyFill="1" applyBorder="1"/>
    <xf numFmtId="166" fontId="14" fillId="3" borderId="6" xfId="5" applyNumberFormat="1" applyFont="1" applyFill="1" applyBorder="1" applyAlignment="1">
      <alignment horizontal="center"/>
    </xf>
    <xf numFmtId="0" fontId="15" fillId="0" borderId="6" xfId="5" applyFont="1" applyFill="1" applyBorder="1"/>
    <xf numFmtId="166" fontId="12" fillId="0" borderId="5" xfId="2" applyNumberFormat="1" applyFont="1" applyBorder="1" applyAlignment="1">
      <alignment horizontal="right"/>
    </xf>
    <xf numFmtId="166" fontId="12" fillId="0" borderId="0" xfId="2" applyNumberFormat="1" applyFont="1" applyBorder="1" applyAlignment="1">
      <alignment horizontal="right"/>
    </xf>
    <xf numFmtId="166" fontId="9" fillId="0" borderId="0" xfId="5" applyNumberFormat="1" applyFont="1" applyFill="1" applyBorder="1" applyAlignment="1">
      <alignment horizontal="right"/>
    </xf>
    <xf numFmtId="0" fontId="17" fillId="0" borderId="6" xfId="5" applyFont="1" applyFill="1" applyBorder="1"/>
    <xf numFmtId="166" fontId="8" fillId="0" borderId="6" xfId="5" applyNumberFormat="1" applyFont="1" applyFill="1" applyBorder="1" applyAlignment="1">
      <alignment horizontal="center"/>
    </xf>
    <xf numFmtId="166" fontId="8" fillId="0" borderId="5" xfId="5" applyNumberFormat="1" applyFont="1" applyFill="1" applyBorder="1" applyAlignment="1">
      <alignment horizontal="right"/>
    </xf>
    <xf numFmtId="166" fontId="8" fillId="0" borderId="0" xfId="5" applyNumberFormat="1" applyFont="1" applyFill="1" applyBorder="1" applyAlignment="1">
      <alignment horizontal="right"/>
    </xf>
    <xf numFmtId="0" fontId="17" fillId="5" borderId="6" xfId="5" applyFont="1" applyFill="1" applyBorder="1"/>
    <xf numFmtId="166" fontId="8" fillId="5" borderId="6" xfId="5" applyNumberFormat="1" applyFont="1" applyFill="1" applyBorder="1" applyAlignment="1">
      <alignment horizontal="center"/>
    </xf>
    <xf numFmtId="166" fontId="8" fillId="5" borderId="5" xfId="5" applyNumberFormat="1" applyFont="1" applyFill="1" applyBorder="1" applyAlignment="1">
      <alignment horizontal="right"/>
    </xf>
    <xf numFmtId="166" fontId="8" fillId="5" borderId="0" xfId="5" applyNumberFormat="1" applyFont="1" applyFill="1" applyBorder="1" applyAlignment="1">
      <alignment horizontal="right"/>
    </xf>
    <xf numFmtId="0" fontId="18" fillId="0" borderId="6" xfId="5" applyFont="1" applyBorder="1"/>
    <xf numFmtId="0" fontId="19" fillId="0" borderId="6" xfId="5" applyFont="1" applyBorder="1"/>
    <xf numFmtId="166" fontId="18" fillId="0" borderId="5" xfId="5" applyNumberFormat="1" applyFont="1" applyFill="1" applyBorder="1" applyAlignment="1">
      <alignment horizontal="right"/>
    </xf>
    <xf numFmtId="166" fontId="18" fillId="0" borderId="0" xfId="5" applyNumberFormat="1" applyFont="1" applyFill="1" applyBorder="1" applyAlignment="1">
      <alignment horizontal="right"/>
    </xf>
    <xf numFmtId="9" fontId="8" fillId="6" borderId="6" xfId="3" applyFont="1" applyFill="1" applyBorder="1" applyAlignment="1">
      <alignment horizontal="center"/>
    </xf>
    <xf numFmtId="0" fontId="17" fillId="5" borderId="4" xfId="5" applyFont="1" applyFill="1" applyBorder="1"/>
    <xf numFmtId="9" fontId="8" fillId="5" borderId="4" xfId="3" applyFont="1" applyFill="1" applyBorder="1" applyAlignment="1">
      <alignment horizontal="center"/>
    </xf>
    <xf numFmtId="166" fontId="10" fillId="5" borderId="7" xfId="5" applyNumberFormat="1" applyFont="1" applyFill="1" applyBorder="1" applyAlignment="1">
      <alignment horizontal="right"/>
    </xf>
    <xf numFmtId="166" fontId="10" fillId="5" borderId="8" xfId="5" applyNumberFormat="1" applyFont="1" applyFill="1" applyBorder="1" applyAlignment="1">
      <alignment horizontal="right"/>
    </xf>
    <xf numFmtId="0" fontId="9" fillId="0" borderId="0" xfId="5" applyFont="1" applyBorder="1"/>
    <xf numFmtId="0" fontId="9" fillId="0" borderId="9" xfId="5" applyFont="1" applyBorder="1" applyAlignment="1">
      <alignment horizontal="right"/>
    </xf>
    <xf numFmtId="0" fontId="17" fillId="3" borderId="10" xfId="5" applyFont="1" applyFill="1" applyBorder="1"/>
    <xf numFmtId="166" fontId="21" fillId="3" borderId="10" xfId="5" applyNumberFormat="1" applyFont="1" applyFill="1" applyBorder="1" applyAlignment="1">
      <alignment horizontal="center"/>
    </xf>
    <xf numFmtId="166" fontId="8" fillId="3" borderId="11" xfId="5" applyNumberFormat="1" applyFont="1" applyFill="1" applyBorder="1" applyAlignment="1">
      <alignment horizontal="right"/>
    </xf>
    <xf numFmtId="166" fontId="8" fillId="3" borderId="15" xfId="5" applyNumberFormat="1" applyFont="1" applyFill="1" applyBorder="1" applyAlignment="1">
      <alignment horizontal="right"/>
    </xf>
    <xf numFmtId="166" fontId="8" fillId="3" borderId="16" xfId="5" applyNumberFormat="1" applyFont="1" applyFill="1" applyBorder="1" applyAlignment="1">
      <alignment horizontal="right"/>
    </xf>
    <xf numFmtId="0" fontId="17" fillId="0" borderId="0" xfId="5" applyFont="1" applyFill="1" applyBorder="1"/>
    <xf numFmtId="166" fontId="21" fillId="0" borderId="0" xfId="5" quotePrefix="1" applyNumberFormat="1" applyFont="1" applyFill="1" applyBorder="1" applyAlignment="1">
      <alignment horizontal="center"/>
    </xf>
    <xf numFmtId="0" fontId="22" fillId="0" borderId="0" xfId="5" applyFont="1" applyBorder="1"/>
    <xf numFmtId="166" fontId="8" fillId="0" borderId="0" xfId="5" applyNumberFormat="1" applyFont="1" applyFill="1" applyBorder="1" applyAlignment="1">
      <alignment horizontal="center"/>
    </xf>
    <xf numFmtId="0" fontId="23" fillId="0" borderId="0" xfId="5" applyFont="1" applyBorder="1"/>
    <xf numFmtId="166" fontId="9" fillId="3" borderId="0" xfId="5" applyNumberFormat="1" applyFont="1" applyFill="1" applyAlignment="1">
      <alignment horizontal="center"/>
    </xf>
    <xf numFmtId="166" fontId="9" fillId="3" borderId="0" xfId="5" applyNumberFormat="1" applyFont="1" applyFill="1" applyAlignment="1">
      <alignment horizontal="right"/>
    </xf>
    <xf numFmtId="166" fontId="9" fillId="4" borderId="0" xfId="5" applyNumberFormat="1" applyFont="1" applyFill="1" applyAlignment="1">
      <alignment horizontal="center"/>
    </xf>
    <xf numFmtId="0" fontId="13" fillId="0" borderId="0" xfId="5" applyFont="1" applyBorder="1"/>
    <xf numFmtId="166" fontId="9" fillId="0" borderId="0" xfId="5" applyNumberFormat="1" applyFont="1" applyAlignment="1">
      <alignment horizontal="right"/>
    </xf>
    <xf numFmtId="166" fontId="9" fillId="7" borderId="0" xfId="5" applyNumberFormat="1" applyFont="1" applyFill="1"/>
    <xf numFmtId="166" fontId="9" fillId="7" borderId="0" xfId="5" applyNumberFormat="1" applyFont="1" applyFill="1" applyAlignment="1">
      <alignment horizontal="right"/>
    </xf>
    <xf numFmtId="0" fontId="22" fillId="3" borderId="2" xfId="5" applyFont="1" applyFill="1" applyBorder="1" applyAlignment="1">
      <alignment horizontal="center"/>
    </xf>
    <xf numFmtId="0" fontId="22" fillId="0" borderId="12" xfId="5" applyFont="1" applyBorder="1" applyAlignment="1">
      <alignment horizontal="right"/>
    </xf>
    <xf numFmtId="166" fontId="14" fillId="0" borderId="2" xfId="5" applyNumberFormat="1" applyFont="1" applyBorder="1" applyAlignment="1">
      <alignment horizontal="right"/>
    </xf>
    <xf numFmtId="166" fontId="14" fillId="0" borderId="13" xfId="5" applyNumberFormat="1" applyFont="1" applyBorder="1" applyAlignment="1">
      <alignment horizontal="right"/>
    </xf>
    <xf numFmtId="166" fontId="8" fillId="0" borderId="12" xfId="5" applyNumberFormat="1" applyFont="1" applyBorder="1" applyAlignment="1">
      <alignment horizontal="right"/>
    </xf>
    <xf numFmtId="0" fontId="22" fillId="0" borderId="3" xfId="5" applyFont="1" applyBorder="1" applyAlignment="1">
      <alignment horizontal="right"/>
    </xf>
    <xf numFmtId="166" fontId="9" fillId="3" borderId="6" xfId="5" applyNumberFormat="1" applyFont="1" applyFill="1" applyBorder="1" applyAlignment="1">
      <alignment horizontal="center"/>
    </xf>
    <xf numFmtId="166" fontId="9" fillId="0" borderId="9" xfId="5" applyNumberFormat="1" applyFont="1" applyBorder="1" applyAlignment="1">
      <alignment horizontal="right"/>
    </xf>
    <xf numFmtId="166" fontId="9" fillId="0" borderId="6" xfId="5" applyNumberFormat="1" applyFont="1" applyBorder="1" applyAlignment="1">
      <alignment horizontal="right"/>
    </xf>
    <xf numFmtId="166" fontId="9" fillId="0" borderId="0" xfId="5" applyNumberFormat="1" applyFont="1" applyBorder="1" applyAlignment="1">
      <alignment horizontal="right"/>
    </xf>
    <xf numFmtId="166" fontId="24" fillId="0" borderId="9" xfId="5" applyNumberFormat="1" applyFont="1" applyBorder="1" applyAlignment="1">
      <alignment horizontal="right"/>
    </xf>
    <xf numFmtId="169" fontId="24" fillId="0" borderId="5" xfId="3" applyNumberFormat="1" applyFont="1" applyBorder="1" applyAlignment="1">
      <alignment horizontal="right"/>
    </xf>
    <xf numFmtId="169" fontId="6" fillId="0" borderId="5" xfId="3" applyNumberFormat="1" applyFont="1" applyBorder="1" applyAlignment="1">
      <alignment horizontal="right"/>
    </xf>
    <xf numFmtId="0" fontId="9" fillId="8" borderId="0" xfId="5" applyFont="1" applyFill="1"/>
    <xf numFmtId="166" fontId="9" fillId="3" borderId="4" xfId="5" applyNumberFormat="1" applyFont="1" applyFill="1" applyBorder="1" applyAlignment="1">
      <alignment horizontal="center"/>
    </xf>
    <xf numFmtId="166" fontId="9" fillId="0" borderId="14" xfId="5" applyNumberFormat="1" applyFont="1" applyBorder="1" applyAlignment="1">
      <alignment horizontal="right"/>
    </xf>
    <xf numFmtId="166" fontId="9" fillId="0" borderId="4" xfId="5" applyNumberFormat="1" applyFont="1" applyBorder="1" applyAlignment="1">
      <alignment horizontal="right"/>
    </xf>
    <xf numFmtId="166" fontId="9" fillId="0" borderId="8" xfId="5" applyNumberFormat="1" applyFont="1" applyBorder="1" applyAlignment="1">
      <alignment horizontal="right"/>
    </xf>
    <xf numFmtId="169" fontId="6" fillId="0" borderId="7" xfId="3" applyNumberFormat="1" applyFont="1" applyBorder="1" applyAlignment="1">
      <alignment horizontal="right"/>
    </xf>
    <xf numFmtId="0" fontId="8" fillId="0" borderId="2" xfId="6" applyFont="1" applyFill="1" applyBorder="1"/>
    <xf numFmtId="166" fontId="9" fillId="9" borderId="3" xfId="5" applyNumberFormat="1" applyFont="1" applyFill="1" applyBorder="1"/>
    <xf numFmtId="166" fontId="9" fillId="10" borderId="5" xfId="5" applyNumberFormat="1" applyFont="1" applyFill="1" applyBorder="1"/>
    <xf numFmtId="166" fontId="9" fillId="9" borderId="5" xfId="5" applyNumberFormat="1" applyFont="1" applyFill="1" applyBorder="1"/>
    <xf numFmtId="0" fontId="9" fillId="0" borderId="0" xfId="5" quotePrefix="1" applyFont="1" applyAlignment="1">
      <alignment horizontal="right"/>
    </xf>
    <xf numFmtId="1" fontId="9" fillId="0" borderId="0" xfId="5" applyNumberFormat="1" applyFont="1" applyAlignment="1">
      <alignment horizontal="right"/>
    </xf>
    <xf numFmtId="166" fontId="9" fillId="10" borderId="7" xfId="5" applyNumberFormat="1" applyFont="1" applyFill="1" applyBorder="1"/>
    <xf numFmtId="0" fontId="8" fillId="0" borderId="4" xfId="5" applyFont="1" applyFill="1" applyBorder="1"/>
    <xf numFmtId="166" fontId="8" fillId="10" borderId="7" xfId="5" applyNumberFormat="1" applyFont="1" applyFill="1" applyBorder="1"/>
    <xf numFmtId="172" fontId="9" fillId="0" borderId="0" xfId="5" applyNumberFormat="1" applyFont="1" applyAlignment="1">
      <alignment horizontal="right"/>
    </xf>
    <xf numFmtId="9" fontId="9" fillId="0" borderId="0" xfId="5" applyNumberFormat="1" applyFont="1" applyAlignment="1">
      <alignment horizontal="right"/>
    </xf>
    <xf numFmtId="0" fontId="8" fillId="0" borderId="10" xfId="5" applyFont="1" applyFill="1" applyBorder="1"/>
    <xf numFmtId="9" fontId="13" fillId="10" borderId="11" xfId="3" applyFont="1" applyFill="1" applyBorder="1" applyAlignment="1">
      <alignment horizontal="center"/>
    </xf>
    <xf numFmtId="170" fontId="13" fillId="10" borderId="11" xfId="3" applyNumberFormat="1" applyFont="1" applyFill="1" applyBorder="1" applyAlignment="1">
      <alignment horizontal="center"/>
    </xf>
    <xf numFmtId="0" fontId="25" fillId="11" borderId="4" xfId="5" applyFont="1" applyFill="1" applyBorder="1" applyAlignment="1">
      <alignment horizontal="center"/>
    </xf>
    <xf numFmtId="0" fontId="25" fillId="11" borderId="14" xfId="5" applyFont="1" applyFill="1" applyBorder="1" applyAlignment="1">
      <alignment horizontal="center"/>
    </xf>
    <xf numFmtId="0" fontId="25" fillId="11" borderId="2" xfId="5" applyFont="1" applyFill="1" applyBorder="1" applyAlignment="1">
      <alignment horizontal="center"/>
    </xf>
    <xf numFmtId="0" fontId="25" fillId="11" borderId="3" xfId="5" applyFont="1" applyFill="1" applyBorder="1" applyAlignment="1">
      <alignment horizontal="center"/>
    </xf>
    <xf numFmtId="0" fontId="25" fillId="11" borderId="7" xfId="5" applyFont="1" applyFill="1" applyBorder="1" applyAlignment="1">
      <alignment horizontal="center"/>
    </xf>
    <xf numFmtId="0" fontId="25" fillId="11" borderId="8" xfId="5" applyFont="1" applyFill="1" applyBorder="1" applyAlignment="1">
      <alignment horizontal="center"/>
    </xf>
    <xf numFmtId="0" fontId="25" fillId="11" borderId="4" xfId="5" applyFont="1" applyFill="1" applyBorder="1" applyAlignment="1">
      <alignment horizontal="left"/>
    </xf>
    <xf numFmtId="166" fontId="7" fillId="10" borderId="5" xfId="4" applyNumberFormat="1" applyFill="1" applyBorder="1"/>
    <xf numFmtId="0" fontId="26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</cellXfs>
  <cellStyles count="7">
    <cellStyle name="Hipervínculo" xfId="4" builtinId="8"/>
    <cellStyle name="Millares 2" xfId="2" xr:uid="{87700E9D-F911-4F17-A041-DD10522DC762}"/>
    <cellStyle name="Normal" xfId="0" builtinId="0"/>
    <cellStyle name="Normal 2" xfId="1" xr:uid="{F4EE09A4-A38B-43F6-9E2D-E2F4CF202D51}"/>
    <cellStyle name="Normal 2 2" xfId="6" xr:uid="{612390B2-5E5E-4DA0-8B1E-434D03A5B2B9}"/>
    <cellStyle name="Normal 3" xfId="5" xr:uid="{37BF3F8F-14D8-49B0-9893-1F166D008399}"/>
    <cellStyle name="Porcentaje 2" xfId="3" xr:uid="{4A76B610-4358-4FAF-BFB7-DE58F9B28B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psom.com/2018/07/ayudas-y-subvenciones-para-la-instalacion-de-sistemas-de-generacion-solar-fotovoltaica-en-las-distintas-comunidades-autonomas-a-nivel-industrial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4311-1925-4359-A5E8-398AE2301BC8}">
  <dimension ref="A1:BG83"/>
  <sheetViews>
    <sheetView tabSelected="1" zoomScale="80" zoomScaleNormal="80" workbookViewId="0">
      <pane xSplit="2" ySplit="2" topLeftCell="C59" activePane="bottomRight" state="frozen"/>
      <selection activeCell="H7" sqref="H7"/>
      <selection pane="topRight" activeCell="H7" sqref="H7"/>
      <selection pane="bottomLeft" activeCell="H7" sqref="H7"/>
      <selection pane="bottomRight" activeCell="C77" sqref="C77"/>
    </sheetView>
  </sheetViews>
  <sheetFormatPr baseColWidth="10" defaultRowHeight="12.75" outlineLevelRow="2" x14ac:dyDescent="0.2"/>
  <cols>
    <col min="1" max="1" width="51" style="11" bestFit="1" customWidth="1"/>
    <col min="2" max="2" width="13.85546875" style="11" customWidth="1"/>
    <col min="3" max="3" width="20.5703125" style="30" bestFit="1" customWidth="1"/>
    <col min="4" max="7" width="19.140625" style="30" customWidth="1"/>
    <col min="8" max="8" width="12.42578125" style="11" bestFit="1" customWidth="1"/>
    <col min="9" max="15" width="10.85546875" style="11" bestFit="1" customWidth="1"/>
    <col min="16" max="59" width="12" style="11" bestFit="1" customWidth="1"/>
    <col min="60" max="16384" width="11.42578125" style="11"/>
  </cols>
  <sheetData>
    <row r="1" spans="1:8" x14ac:dyDescent="0.2">
      <c r="A1" s="126" t="s">
        <v>284</v>
      </c>
      <c r="B1" s="126">
        <v>0</v>
      </c>
      <c r="C1" s="127">
        <f>B1+1</f>
        <v>1</v>
      </c>
      <c r="D1" s="127">
        <f t="shared" ref="D1:H1" si="0">C1+1</f>
        <v>2</v>
      </c>
      <c r="E1" s="127">
        <f t="shared" si="0"/>
        <v>3</v>
      </c>
      <c r="F1" s="127">
        <f t="shared" si="0"/>
        <v>4</v>
      </c>
      <c r="G1" s="127">
        <f t="shared" si="0"/>
        <v>5</v>
      </c>
      <c r="H1" s="127">
        <f t="shared" si="0"/>
        <v>6</v>
      </c>
    </row>
    <row r="2" spans="1:8" ht="13.5" thickBot="1" x14ac:dyDescent="0.25">
      <c r="A2" s="130" t="s">
        <v>285</v>
      </c>
      <c r="B2" s="124" t="s">
        <v>286</v>
      </c>
      <c r="C2" s="128" t="s">
        <v>287</v>
      </c>
      <c r="D2" s="129" t="s">
        <v>288</v>
      </c>
      <c r="E2" s="128" t="s">
        <v>289</v>
      </c>
      <c r="F2" s="129" t="s">
        <v>290</v>
      </c>
      <c r="G2" s="128" t="s">
        <v>291</v>
      </c>
      <c r="H2" s="125" t="s">
        <v>292</v>
      </c>
    </row>
    <row r="3" spans="1:8" ht="15" outlineLevel="1" x14ac:dyDescent="0.25">
      <c r="A3" s="15" t="s">
        <v>355</v>
      </c>
      <c r="B3" s="15"/>
      <c r="C3" s="12">
        <v>0</v>
      </c>
      <c r="D3" s="13">
        <v>22000</v>
      </c>
      <c r="E3" s="12">
        <f t="shared" ref="E3:G4" si="1">D3</f>
        <v>22000</v>
      </c>
      <c r="F3" s="13">
        <f t="shared" si="1"/>
        <v>22000</v>
      </c>
      <c r="G3" s="12">
        <f t="shared" si="1"/>
        <v>22000</v>
      </c>
      <c r="H3" s="14"/>
    </row>
    <row r="4" spans="1:8" ht="15" outlineLevel="1" x14ac:dyDescent="0.25">
      <c r="A4" s="15" t="s">
        <v>356</v>
      </c>
      <c r="B4" s="16"/>
      <c r="C4" s="12">
        <v>3000</v>
      </c>
      <c r="D4" s="13">
        <f>C4</f>
        <v>3000</v>
      </c>
      <c r="E4" s="12">
        <f t="shared" si="1"/>
        <v>3000</v>
      </c>
      <c r="F4" s="13">
        <f t="shared" si="1"/>
        <v>3000</v>
      </c>
      <c r="G4" s="12">
        <f t="shared" si="1"/>
        <v>3000</v>
      </c>
      <c r="H4" s="14"/>
    </row>
    <row r="5" spans="1:8" ht="15" outlineLevel="1" x14ac:dyDescent="0.25">
      <c r="A5" s="15" t="s">
        <v>357</v>
      </c>
      <c r="B5" s="17">
        <v>-2.5000000000000001E-2</v>
      </c>
      <c r="C5" s="18">
        <v>5.8</v>
      </c>
      <c r="D5" s="19">
        <f>C5+$B$5</f>
        <v>5.7749999999999995</v>
      </c>
      <c r="E5" s="18">
        <f t="shared" ref="E5:G5" si="2">D5+$B$5</f>
        <v>5.7499999999999991</v>
      </c>
      <c r="F5" s="19">
        <f t="shared" si="2"/>
        <v>5.7249999999999988</v>
      </c>
      <c r="G5" s="18">
        <f t="shared" si="2"/>
        <v>5.6999999999999984</v>
      </c>
      <c r="H5" s="20">
        <f>AVERAGE(C5:G5)</f>
        <v>5.7499999999999991</v>
      </c>
    </row>
    <row r="6" spans="1:8" ht="15" outlineLevel="1" x14ac:dyDescent="0.25">
      <c r="A6" s="15" t="s">
        <v>318</v>
      </c>
      <c r="B6" s="15"/>
      <c r="C6" s="12">
        <f>C5*30</f>
        <v>174</v>
      </c>
      <c r="D6" s="12">
        <f t="shared" ref="D6:G6" si="3">D5*30</f>
        <v>173.24999999999997</v>
      </c>
      <c r="E6" s="12">
        <f t="shared" si="3"/>
        <v>172.49999999999997</v>
      </c>
      <c r="F6" s="12">
        <f t="shared" si="3"/>
        <v>171.74999999999997</v>
      </c>
      <c r="G6" s="12">
        <f t="shared" si="3"/>
        <v>170.99999999999994</v>
      </c>
      <c r="H6" s="14"/>
    </row>
    <row r="7" spans="1:8" ht="15" outlineLevel="1" x14ac:dyDescent="0.25">
      <c r="A7" s="15" t="s">
        <v>319</v>
      </c>
      <c r="B7" s="15"/>
      <c r="C7" s="12">
        <f>C3*C6*12</f>
        <v>0</v>
      </c>
      <c r="D7" s="12">
        <f>(D3*D6*12)/1000</f>
        <v>45737.999999999993</v>
      </c>
      <c r="E7" s="12">
        <f t="shared" ref="E7:G7" si="4">(E3*E6*12)/1000</f>
        <v>45539.999999999993</v>
      </c>
      <c r="F7" s="12">
        <f t="shared" si="4"/>
        <v>45341.999999999993</v>
      </c>
      <c r="G7" s="12">
        <f t="shared" si="4"/>
        <v>45143.999999999985</v>
      </c>
      <c r="H7" s="21">
        <f>SUM(C7:G7)</f>
        <v>181763.99999999994</v>
      </c>
    </row>
    <row r="8" spans="1:8" ht="15" outlineLevel="1" x14ac:dyDescent="0.25">
      <c r="A8" s="15" t="s">
        <v>320</v>
      </c>
      <c r="B8" s="22">
        <v>5.6399999999999999E-2</v>
      </c>
      <c r="C8" s="23">
        <f>($B$8*C7)</f>
        <v>0</v>
      </c>
      <c r="D8" s="13">
        <f>($B$8*D7)</f>
        <v>2579.6231999999995</v>
      </c>
      <c r="E8" s="12">
        <f>+D8</f>
        <v>2579.6231999999995</v>
      </c>
      <c r="F8" s="13">
        <f>+E8</f>
        <v>2579.6231999999995</v>
      </c>
      <c r="G8" s="12">
        <f>+F8</f>
        <v>2579.6231999999995</v>
      </c>
      <c r="H8" s="14"/>
    </row>
    <row r="9" spans="1:8" x14ac:dyDescent="0.2">
      <c r="A9" s="15"/>
      <c r="B9" s="15"/>
      <c r="C9" s="24"/>
      <c r="D9" s="25"/>
      <c r="E9" s="24"/>
      <c r="F9" s="25"/>
      <c r="G9" s="24"/>
    </row>
    <row r="10" spans="1:8" x14ac:dyDescent="0.2">
      <c r="A10" s="26" t="s">
        <v>321</v>
      </c>
      <c r="B10" s="26"/>
      <c r="C10" s="27">
        <f>C7*C8</f>
        <v>0</v>
      </c>
      <c r="D10" s="27">
        <f>D7*D8/1000</f>
        <v>117986.80592159995</v>
      </c>
      <c r="E10" s="27">
        <f t="shared" ref="E10:G10" si="5">E7*E8/100</f>
        <v>1174760.4052799996</v>
      </c>
      <c r="F10" s="27">
        <f t="shared" si="5"/>
        <v>1169652.7513439998</v>
      </c>
      <c r="G10" s="27">
        <f t="shared" si="5"/>
        <v>1164545.0974079994</v>
      </c>
    </row>
    <row r="11" spans="1:8" outlineLevel="1" x14ac:dyDescent="0.2">
      <c r="A11" s="15"/>
      <c r="B11" s="15"/>
      <c r="C11" s="28"/>
      <c r="D11" s="25"/>
      <c r="E11" s="24"/>
      <c r="F11" s="25"/>
      <c r="G11" s="24"/>
    </row>
    <row r="12" spans="1:8" outlineLevel="1" x14ac:dyDescent="0.2">
      <c r="A12" s="29" t="s">
        <v>322</v>
      </c>
      <c r="B12" s="30"/>
      <c r="C12" s="31">
        <f>(B71/20*0.04)</f>
        <v>-390.5</v>
      </c>
      <c r="D12" s="31">
        <f>C12</f>
        <v>-390.5</v>
      </c>
      <c r="E12" s="31">
        <f t="shared" ref="E12:G13" si="6">D12</f>
        <v>-390.5</v>
      </c>
      <c r="F12" s="31">
        <f t="shared" si="6"/>
        <v>-390.5</v>
      </c>
      <c r="G12" s="32">
        <f t="shared" si="6"/>
        <v>-390.5</v>
      </c>
    </row>
    <row r="13" spans="1:8" ht="15" outlineLevel="1" x14ac:dyDescent="0.25">
      <c r="A13" s="29" t="s">
        <v>323</v>
      </c>
      <c r="C13" s="31">
        <f>-75702</f>
        <v>-75702</v>
      </c>
      <c r="D13" s="12">
        <f>C13</f>
        <v>-75702</v>
      </c>
      <c r="E13" s="12">
        <f t="shared" si="6"/>
        <v>-75702</v>
      </c>
      <c r="F13" s="12">
        <f t="shared" si="6"/>
        <v>-75702</v>
      </c>
      <c r="G13" s="12">
        <f t="shared" si="6"/>
        <v>-75702</v>
      </c>
    </row>
    <row r="14" spans="1:8" x14ac:dyDescent="0.2">
      <c r="A14" s="26" t="s">
        <v>324</v>
      </c>
      <c r="B14" s="26"/>
      <c r="C14" s="27">
        <f>SUM(C12:C13)</f>
        <v>-76092.5</v>
      </c>
      <c r="D14" s="27">
        <f>SUM(D12:D13)</f>
        <v>-76092.5</v>
      </c>
      <c r="E14" s="27">
        <f>SUM(E12:E13)</f>
        <v>-76092.5</v>
      </c>
      <c r="F14" s="27">
        <f>SUM(F12:F13)</f>
        <v>-76092.5</v>
      </c>
      <c r="G14" s="27">
        <f>SUM(G12:G13)</f>
        <v>-76092.5</v>
      </c>
    </row>
    <row r="15" spans="1:8" outlineLevel="1" x14ac:dyDescent="0.2">
      <c r="A15" s="15"/>
      <c r="B15" s="15"/>
      <c r="C15" s="24"/>
      <c r="D15" s="25"/>
      <c r="E15" s="24"/>
      <c r="F15" s="25"/>
      <c r="G15" s="24"/>
    </row>
    <row r="16" spans="1:8" x14ac:dyDescent="0.2">
      <c r="A16" s="26" t="s">
        <v>325</v>
      </c>
      <c r="B16" s="26"/>
      <c r="C16" s="27">
        <f>+C10+C14</f>
        <v>-76092.5</v>
      </c>
      <c r="D16" s="33">
        <f>+D10+D14</f>
        <v>41894.305921599953</v>
      </c>
      <c r="E16" s="34">
        <f>+E10+E14</f>
        <v>1098667.9052799996</v>
      </c>
      <c r="F16" s="33">
        <f>+F10+F14</f>
        <v>1093560.2513439998</v>
      </c>
      <c r="G16" s="34">
        <f>+G10+G14</f>
        <v>1088452.5974079994</v>
      </c>
    </row>
    <row r="17" spans="1:8" s="38" customFormat="1" ht="15" outlineLevel="2" x14ac:dyDescent="0.25">
      <c r="A17" s="35"/>
      <c r="B17" s="35"/>
      <c r="C17" s="36">
        <v>0</v>
      </c>
      <c r="D17" s="37">
        <f>D16/D10</f>
        <v>0.35507619342994962</v>
      </c>
      <c r="E17" s="36">
        <f>E16/E10</f>
        <v>0.93522721768796446</v>
      </c>
      <c r="F17" s="37">
        <f>F16/F10</f>
        <v>0.93494436711018269</v>
      </c>
      <c r="G17" s="36">
        <f>G16/G10</f>
        <v>0.9346590353869817</v>
      </c>
    </row>
    <row r="18" spans="1:8" outlineLevel="2" x14ac:dyDescent="0.2">
      <c r="A18" s="39" t="s">
        <v>326</v>
      </c>
      <c r="B18" s="40">
        <v>2</v>
      </c>
      <c r="C18" s="24"/>
      <c r="D18" s="25"/>
      <c r="E18" s="24"/>
      <c r="F18" s="25"/>
      <c r="G18" s="24"/>
    </row>
    <row r="19" spans="1:8" ht="15" outlineLevel="2" x14ac:dyDescent="0.25">
      <c r="A19" s="41" t="s">
        <v>344</v>
      </c>
      <c r="B19" s="42">
        <v>-3000</v>
      </c>
      <c r="C19" s="12">
        <f>+$B19*$B18*12</f>
        <v>-72000</v>
      </c>
      <c r="D19" s="13">
        <f>+$B19*$B18*D$4/1000000*12</f>
        <v>-216</v>
      </c>
      <c r="E19" s="12">
        <f>+$B19*$B18*E$4/1000000*12</f>
        <v>-216</v>
      </c>
      <c r="F19" s="13">
        <f>+$B19*$B18*F$4/1000000*12</f>
        <v>-216</v>
      </c>
      <c r="G19" s="12">
        <f>+$B19*$B18*G$4/1000000*12</f>
        <v>-216</v>
      </c>
    </row>
    <row r="20" spans="1:8" outlineLevel="2" x14ac:dyDescent="0.2">
      <c r="A20" s="39"/>
      <c r="B20" s="15"/>
      <c r="C20" s="24"/>
      <c r="D20" s="25"/>
      <c r="E20" s="24"/>
      <c r="F20" s="25"/>
      <c r="G20" s="24"/>
    </row>
    <row r="21" spans="1:8" outlineLevel="2" x14ac:dyDescent="0.2">
      <c r="A21" s="39" t="s">
        <v>327</v>
      </c>
      <c r="B21" s="40">
        <v>1</v>
      </c>
      <c r="C21" s="24"/>
      <c r="D21" s="25"/>
      <c r="E21" s="24"/>
      <c r="F21" s="25"/>
      <c r="G21" s="24"/>
    </row>
    <row r="22" spans="1:8" ht="15" outlineLevel="2" x14ac:dyDescent="0.25">
      <c r="A22" s="41" t="s">
        <v>345</v>
      </c>
      <c r="B22" s="42">
        <v>-2800</v>
      </c>
      <c r="C22" s="12">
        <f>+$B22*$B21*12</f>
        <v>-33600</v>
      </c>
      <c r="D22" s="13">
        <f>+$B22*$B21*D$4/1000000*12</f>
        <v>-100.80000000000001</v>
      </c>
      <c r="E22" s="12">
        <f>+$B22*$B21*E$4/1000000*12</f>
        <v>-100.80000000000001</v>
      </c>
      <c r="F22" s="13">
        <f>+$B22*$B21*F$4/1000000*12</f>
        <v>-100.80000000000001</v>
      </c>
      <c r="G22" s="12">
        <f>+$B22*$B21*G$4/1000000*12</f>
        <v>-100.80000000000001</v>
      </c>
    </row>
    <row r="23" spans="1:8" outlineLevel="2" x14ac:dyDescent="0.2">
      <c r="A23" s="39"/>
      <c r="B23" s="15"/>
      <c r="C23" s="24"/>
      <c r="D23" s="25"/>
      <c r="E23" s="24"/>
      <c r="F23" s="25"/>
      <c r="G23" s="24"/>
    </row>
    <row r="24" spans="1:8" outlineLevel="2" x14ac:dyDescent="0.2">
      <c r="A24" s="39" t="s">
        <v>328</v>
      </c>
      <c r="B24" s="40">
        <v>4</v>
      </c>
      <c r="C24" s="24"/>
      <c r="D24" s="25"/>
      <c r="E24" s="24"/>
      <c r="F24" s="25"/>
      <c r="G24" s="24"/>
    </row>
    <row r="25" spans="1:8" ht="15" outlineLevel="2" x14ac:dyDescent="0.25">
      <c r="A25" s="41" t="s">
        <v>346</v>
      </c>
      <c r="B25" s="42">
        <v>-2100</v>
      </c>
      <c r="C25" s="12">
        <f>+$B25*$B24*12</f>
        <v>-100800</v>
      </c>
      <c r="D25" s="12">
        <f t="shared" ref="D25:G25" si="7">+$B25*$B24*12</f>
        <v>-100800</v>
      </c>
      <c r="E25" s="12">
        <f t="shared" si="7"/>
        <v>-100800</v>
      </c>
      <c r="F25" s="12">
        <f t="shared" si="7"/>
        <v>-100800</v>
      </c>
      <c r="G25" s="12">
        <f t="shared" si="7"/>
        <v>-100800</v>
      </c>
    </row>
    <row r="26" spans="1:8" ht="15" outlineLevel="2" x14ac:dyDescent="0.25">
      <c r="A26" s="41"/>
      <c r="B26" s="42"/>
      <c r="C26" s="12"/>
      <c r="D26" s="13"/>
      <c r="E26" s="12"/>
      <c r="F26" s="13"/>
      <c r="G26" s="12"/>
    </row>
    <row r="27" spans="1:8" ht="15" outlineLevel="2" x14ac:dyDescent="0.25">
      <c r="A27" s="39" t="s">
        <v>329</v>
      </c>
      <c r="B27" s="40">
        <v>2</v>
      </c>
      <c r="C27" s="12"/>
      <c r="D27" s="13"/>
      <c r="E27" s="12"/>
      <c r="F27" s="13"/>
      <c r="G27" s="12"/>
    </row>
    <row r="28" spans="1:8" ht="15" outlineLevel="2" x14ac:dyDescent="0.25">
      <c r="A28" s="41" t="s">
        <v>347</v>
      </c>
      <c r="B28" s="42">
        <v>-2100</v>
      </c>
      <c r="C28" s="12">
        <f>+$B28*$B27*12</f>
        <v>-50400</v>
      </c>
      <c r="D28" s="12">
        <f t="shared" ref="D28:G28" si="8">+$B28*$B27*12</f>
        <v>-50400</v>
      </c>
      <c r="E28" s="12">
        <f t="shared" si="8"/>
        <v>-50400</v>
      </c>
      <c r="F28" s="12">
        <f t="shared" si="8"/>
        <v>-50400</v>
      </c>
      <c r="G28" s="12">
        <f t="shared" si="8"/>
        <v>-50400</v>
      </c>
    </row>
    <row r="29" spans="1:8" outlineLevel="2" x14ac:dyDescent="0.2">
      <c r="A29" s="41"/>
      <c r="B29" s="15"/>
      <c r="C29" s="24"/>
      <c r="D29" s="25"/>
      <c r="E29" s="24"/>
      <c r="F29" s="25"/>
      <c r="G29" s="24"/>
    </row>
    <row r="30" spans="1:8" outlineLevel="1" x14ac:dyDescent="0.2">
      <c r="A30" s="43" t="s">
        <v>330</v>
      </c>
      <c r="B30" s="44"/>
      <c r="C30" s="45">
        <f>SUM(C19:C29)</f>
        <v>-256800</v>
      </c>
      <c r="D30" s="45">
        <f>SUM(D19:D29)</f>
        <v>-151516.79999999999</v>
      </c>
      <c r="E30" s="45">
        <f>SUM(E19:E29)</f>
        <v>-151516.79999999999</v>
      </c>
      <c r="F30" s="45">
        <f>SUM(F19:F29)</f>
        <v>-151516.79999999999</v>
      </c>
      <c r="G30" s="45">
        <f>SUM(G19:G29)</f>
        <v>-151516.79999999999</v>
      </c>
      <c r="H30" s="46">
        <f>SUM(G19:G29)</f>
        <v>-151516.79999999999</v>
      </c>
    </row>
    <row r="31" spans="1:8" ht="15" outlineLevel="2" x14ac:dyDescent="0.25">
      <c r="A31" s="41"/>
      <c r="B31" s="42"/>
      <c r="C31" s="12"/>
      <c r="D31" s="13"/>
      <c r="E31" s="12"/>
      <c r="F31" s="13"/>
      <c r="G31" s="12"/>
    </row>
    <row r="32" spans="1:8" ht="15" outlineLevel="2" x14ac:dyDescent="0.25">
      <c r="A32" s="41" t="s">
        <v>293</v>
      </c>
      <c r="B32" s="47">
        <v>0.01</v>
      </c>
      <c r="C32" s="12">
        <f>-$B$32*C10</f>
        <v>0</v>
      </c>
      <c r="D32" s="13">
        <f>-$B$32*D10</f>
        <v>-1179.8680592159997</v>
      </c>
      <c r="E32" s="12">
        <f>-$B$32*E10</f>
        <v>-11747.604052799996</v>
      </c>
      <c r="F32" s="13">
        <f>-$B$32*F10</f>
        <v>-11696.527513439998</v>
      </c>
      <c r="G32" s="12">
        <f>-$B$32*G10</f>
        <v>-11645.450974079995</v>
      </c>
    </row>
    <row r="33" spans="1:7" ht="15" outlineLevel="2" x14ac:dyDescent="0.25">
      <c r="A33" s="41" t="s">
        <v>331</v>
      </c>
      <c r="B33" s="48">
        <v>0.15</v>
      </c>
      <c r="C33" s="12">
        <f>-(((56.4*C$5)*$B$33)*12)</f>
        <v>-588.81600000000003</v>
      </c>
      <c r="D33" s="12">
        <f>-(((56.4*D$5)*$B$33)*12)</f>
        <v>-586.27800000000002</v>
      </c>
      <c r="E33" s="12">
        <f>-(((56.4*E$5)*$B$33)*12)</f>
        <v>-583.7399999999999</v>
      </c>
      <c r="F33" s="12">
        <f>-(((56.4*F$5)*$B$33)*12)</f>
        <v>-581.20199999999988</v>
      </c>
      <c r="G33" s="12">
        <f>-(((56.4*G$5)*$B$33)*12)</f>
        <v>-578.66399999999987</v>
      </c>
    </row>
    <row r="34" spans="1:7" ht="15" outlineLevel="2" x14ac:dyDescent="0.25">
      <c r="A34" s="41"/>
      <c r="B34" s="15"/>
      <c r="C34" s="12"/>
      <c r="D34" s="13"/>
      <c r="E34" s="12"/>
      <c r="F34" s="13"/>
      <c r="G34" s="12"/>
    </row>
    <row r="35" spans="1:7" ht="15" outlineLevel="1" x14ac:dyDescent="0.25">
      <c r="A35" s="49" t="s">
        <v>332</v>
      </c>
      <c r="B35" s="50">
        <f>+B69/20</f>
        <v>-78750</v>
      </c>
      <c r="C35" s="12">
        <f>+B35</f>
        <v>-78750</v>
      </c>
      <c r="D35" s="13">
        <f>+C35</f>
        <v>-78750</v>
      </c>
      <c r="E35" s="12">
        <f>+D35</f>
        <v>-78750</v>
      </c>
      <c r="F35" s="13">
        <f>+E35</f>
        <v>-78750</v>
      </c>
      <c r="G35" s="12">
        <f>+F35</f>
        <v>-78750</v>
      </c>
    </row>
    <row r="36" spans="1:7" x14ac:dyDescent="0.2">
      <c r="A36" s="51" t="s">
        <v>333</v>
      </c>
      <c r="B36" s="15"/>
      <c r="C36" s="52">
        <f>SUM(C30:C35)</f>
        <v>-336138.81599999999</v>
      </c>
      <c r="D36" s="53">
        <f>SUM(D30:D35)</f>
        <v>-232032.94605921599</v>
      </c>
      <c r="E36" s="52">
        <f>SUM(E30:E35)</f>
        <v>-242598.14405279997</v>
      </c>
      <c r="F36" s="53">
        <f>SUM(F30:F35)</f>
        <v>-242544.52951343998</v>
      </c>
      <c r="G36" s="52">
        <f>SUM(G30:G35)</f>
        <v>-242490.91497407996</v>
      </c>
    </row>
    <row r="37" spans="1:7" x14ac:dyDescent="0.2">
      <c r="A37" s="15"/>
      <c r="B37" s="15"/>
      <c r="C37" s="24"/>
      <c r="D37" s="25"/>
      <c r="E37" s="24"/>
      <c r="F37" s="25"/>
      <c r="G37" s="24"/>
    </row>
    <row r="38" spans="1:7" x14ac:dyDescent="0.2">
      <c r="A38" s="51" t="s">
        <v>348</v>
      </c>
      <c r="B38" s="15"/>
      <c r="C38" s="52">
        <f>+C16+C36</f>
        <v>-412231.31599999999</v>
      </c>
      <c r="D38" s="53">
        <f>+D16+D36</f>
        <v>-190138.64013761602</v>
      </c>
      <c r="E38" s="52">
        <f>+E16+E36</f>
        <v>856069.76122719957</v>
      </c>
      <c r="F38" s="53">
        <f>+F16+F36</f>
        <v>851015.72183055978</v>
      </c>
      <c r="G38" s="52">
        <f>+G16+G36</f>
        <v>845961.68243391952</v>
      </c>
    </row>
    <row r="39" spans="1:7" outlineLevel="1" x14ac:dyDescent="0.2">
      <c r="A39" s="15"/>
      <c r="B39" s="15"/>
      <c r="C39" s="24"/>
      <c r="D39" s="25"/>
      <c r="E39" s="24"/>
      <c r="F39" s="25"/>
      <c r="G39" s="24"/>
    </row>
    <row r="40" spans="1:7" outlineLevel="1" x14ac:dyDescent="0.2">
      <c r="A40" s="39" t="s">
        <v>334</v>
      </c>
      <c r="B40" s="42">
        <f>(C14*0.015)</f>
        <v>-1141.3875</v>
      </c>
      <c r="C40" s="32">
        <f>+B40*12</f>
        <v>-13696.650000000001</v>
      </c>
      <c r="D40" s="54">
        <f t="shared" ref="D40:G42" si="9">+C40</f>
        <v>-13696.650000000001</v>
      </c>
      <c r="E40" s="32">
        <f t="shared" si="9"/>
        <v>-13696.650000000001</v>
      </c>
      <c r="F40" s="54">
        <f t="shared" si="9"/>
        <v>-13696.650000000001</v>
      </c>
      <c r="G40" s="32">
        <f t="shared" si="9"/>
        <v>-13696.650000000001</v>
      </c>
    </row>
    <row r="41" spans="1:7" outlineLevel="1" x14ac:dyDescent="0.2">
      <c r="A41" s="39" t="s">
        <v>335</v>
      </c>
      <c r="B41" s="42">
        <f>(C16*-0.002)</f>
        <v>152.185</v>
      </c>
      <c r="C41" s="32">
        <f>+B41*12</f>
        <v>1826.22</v>
      </c>
      <c r="D41" s="54">
        <f t="shared" si="9"/>
        <v>1826.22</v>
      </c>
      <c r="E41" s="32">
        <f t="shared" si="9"/>
        <v>1826.22</v>
      </c>
      <c r="F41" s="54">
        <f t="shared" si="9"/>
        <v>1826.22</v>
      </c>
      <c r="G41" s="32">
        <f t="shared" si="9"/>
        <v>1826.22</v>
      </c>
    </row>
    <row r="42" spans="1:7" outlineLevel="1" x14ac:dyDescent="0.2">
      <c r="A42" s="39" t="s">
        <v>336</v>
      </c>
      <c r="B42" s="42">
        <v>0</v>
      </c>
      <c r="C42" s="32">
        <f>+B42*12</f>
        <v>0</v>
      </c>
      <c r="D42" s="54">
        <f t="shared" si="9"/>
        <v>0</v>
      </c>
      <c r="E42" s="32">
        <f t="shared" si="9"/>
        <v>0</v>
      </c>
      <c r="F42" s="54">
        <f t="shared" si="9"/>
        <v>0</v>
      </c>
      <c r="G42" s="32">
        <f t="shared" si="9"/>
        <v>0</v>
      </c>
    </row>
    <row r="43" spans="1:7" x14ac:dyDescent="0.2">
      <c r="A43" s="55" t="s">
        <v>294</v>
      </c>
      <c r="B43" s="56">
        <f t="shared" ref="B43:G43" si="10">SUM(B40:B42)</f>
        <v>-989.2025000000001</v>
      </c>
      <c r="C43" s="57">
        <f t="shared" si="10"/>
        <v>-11870.430000000002</v>
      </c>
      <c r="D43" s="58">
        <f t="shared" si="10"/>
        <v>-11870.430000000002</v>
      </c>
      <c r="E43" s="57">
        <f t="shared" si="10"/>
        <v>-11870.430000000002</v>
      </c>
      <c r="F43" s="58">
        <f t="shared" si="10"/>
        <v>-11870.430000000002</v>
      </c>
      <c r="G43" s="57">
        <f t="shared" si="10"/>
        <v>-11870.430000000002</v>
      </c>
    </row>
    <row r="44" spans="1:7" outlineLevel="1" x14ac:dyDescent="0.2">
      <c r="A44" s="15"/>
      <c r="B44" s="15"/>
      <c r="C44" s="24"/>
      <c r="D44" s="25"/>
      <c r="E44" s="24"/>
      <c r="F44" s="25"/>
      <c r="G44" s="24"/>
    </row>
    <row r="45" spans="1:7" x14ac:dyDescent="0.2">
      <c r="A45" s="59" t="s">
        <v>295</v>
      </c>
      <c r="B45" s="60"/>
      <c r="C45" s="61">
        <f>C38+C43</f>
        <v>-424101.74599999998</v>
      </c>
      <c r="D45" s="62">
        <f>D38+D43</f>
        <v>-202009.07013761601</v>
      </c>
      <c r="E45" s="61">
        <f>E38+E43</f>
        <v>844199.33122719952</v>
      </c>
      <c r="F45" s="62">
        <f>F38+F43</f>
        <v>839145.29183055973</v>
      </c>
      <c r="G45" s="61">
        <f>G38+G43</f>
        <v>834091.25243391946</v>
      </c>
    </row>
    <row r="46" spans="1:7" outlineLevel="1" x14ac:dyDescent="0.2">
      <c r="A46" s="63"/>
      <c r="B46" s="64"/>
      <c r="C46" s="65"/>
      <c r="D46" s="66"/>
      <c r="E46" s="65"/>
      <c r="F46" s="66"/>
      <c r="G46" s="65"/>
    </row>
    <row r="47" spans="1:7" x14ac:dyDescent="0.2">
      <c r="A47" s="55" t="s">
        <v>337</v>
      </c>
      <c r="B47" s="67">
        <v>0.25</v>
      </c>
      <c r="C47" s="57">
        <f>C45*$B$47</f>
        <v>-106025.4365</v>
      </c>
      <c r="D47" s="57">
        <f>D45*$B$47</f>
        <v>-50502.267534404004</v>
      </c>
      <c r="E47" s="57">
        <f>-E45*$B$47</f>
        <v>-211049.83280679988</v>
      </c>
      <c r="F47" s="57">
        <f>-F45*$B$47</f>
        <v>-209786.32295763993</v>
      </c>
      <c r="G47" s="57">
        <f>-G45*$B$47</f>
        <v>-208522.81310847987</v>
      </c>
    </row>
    <row r="48" spans="1:7" outlineLevel="1" x14ac:dyDescent="0.2">
      <c r="A48" s="15"/>
      <c r="B48" s="15"/>
      <c r="C48" s="24"/>
      <c r="D48" s="25"/>
      <c r="E48" s="24"/>
      <c r="F48" s="25"/>
      <c r="G48" s="24"/>
    </row>
    <row r="49" spans="1:59" ht="13.5" thickBot="1" x14ac:dyDescent="0.25">
      <c r="A49" s="68" t="s">
        <v>349</v>
      </c>
      <c r="B49" s="69"/>
      <c r="C49" s="70">
        <f>+C45+C47</f>
        <v>-530127.1825</v>
      </c>
      <c r="D49" s="71">
        <f>+D45+D47</f>
        <v>-252511.33767202002</v>
      </c>
      <c r="E49" s="70">
        <f>+E45+E47</f>
        <v>633149.49842039961</v>
      </c>
      <c r="F49" s="71">
        <f>+F45+F47</f>
        <v>629358.9688729198</v>
      </c>
      <c r="G49" s="70">
        <f>+G45+G47</f>
        <v>625568.43932543963</v>
      </c>
    </row>
    <row r="50" spans="1:59" ht="13.5" outlineLevel="1" thickBot="1" x14ac:dyDescent="0.25">
      <c r="A50" s="15"/>
      <c r="B50" s="72"/>
      <c r="C50" s="25"/>
      <c r="D50" s="25"/>
      <c r="E50" s="25"/>
      <c r="F50" s="25"/>
      <c r="G50" s="73"/>
    </row>
    <row r="51" spans="1:59" ht="13.5" thickBot="1" x14ac:dyDescent="0.25">
      <c r="A51" s="74" t="s">
        <v>350</v>
      </c>
      <c r="B51" s="75">
        <f>+B78</f>
        <v>-1638764.4079999998</v>
      </c>
      <c r="C51" s="76">
        <f>+C49-C35</f>
        <v>-451377.1825</v>
      </c>
      <c r="D51" s="77">
        <f>+D49-D35</f>
        <v>-173761.33767202002</v>
      </c>
      <c r="E51" s="76">
        <f>+E49-E35</f>
        <v>711899.49842039961</v>
      </c>
      <c r="F51" s="76">
        <f>+F49-F35</f>
        <v>708108.9688729198</v>
      </c>
      <c r="G51" s="78">
        <f>+G49-G35</f>
        <v>704318.43932543963</v>
      </c>
    </row>
    <row r="52" spans="1:59" x14ac:dyDescent="0.2">
      <c r="A52" s="79"/>
      <c r="B52" s="80" t="s">
        <v>1</v>
      </c>
      <c r="C52" s="58"/>
      <c r="D52" s="58"/>
      <c r="E52" s="58"/>
      <c r="F52" s="58"/>
      <c r="G52" s="58"/>
    </row>
    <row r="53" spans="1:59" x14ac:dyDescent="0.2">
      <c r="A53" s="81" t="s">
        <v>296</v>
      </c>
      <c r="B53" s="82"/>
      <c r="C53" s="58"/>
      <c r="D53" s="58"/>
      <c r="E53" s="58"/>
      <c r="F53" s="58"/>
      <c r="G53" s="58"/>
    </row>
    <row r="54" spans="1:59" x14ac:dyDescent="0.2">
      <c r="A54" s="83" t="s">
        <v>297</v>
      </c>
      <c r="B54" s="84">
        <f t="shared" ref="B54:G54" si="11">+B51</f>
        <v>-1638764.4079999998</v>
      </c>
      <c r="C54" s="85">
        <f t="shared" si="11"/>
        <v>-451377.1825</v>
      </c>
      <c r="D54" s="85">
        <f t="shared" si="11"/>
        <v>-173761.33767202002</v>
      </c>
      <c r="E54" s="85">
        <f t="shared" si="11"/>
        <v>711899.49842039961</v>
      </c>
      <c r="F54" s="85">
        <f t="shared" si="11"/>
        <v>708108.9688729198</v>
      </c>
      <c r="G54" s="85">
        <f t="shared" si="11"/>
        <v>704318.43932543963</v>
      </c>
      <c r="H54" s="86">
        <f>+G54/$B$80</f>
        <v>4695456.2621695977</v>
      </c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</row>
    <row r="55" spans="1:59" hidden="1" outlineLevel="1" x14ac:dyDescent="0.2">
      <c r="A55" s="83" t="s">
        <v>298</v>
      </c>
      <c r="B55" s="84">
        <f>+B54</f>
        <v>-1638764.4079999998</v>
      </c>
      <c r="C55" s="85">
        <f t="shared" ref="C55:G56" si="12">+C54</f>
        <v>-451377.1825</v>
      </c>
      <c r="D55" s="85">
        <f t="shared" si="12"/>
        <v>-173761.33767202002</v>
      </c>
      <c r="E55" s="85">
        <f t="shared" si="12"/>
        <v>711899.49842039961</v>
      </c>
      <c r="F55" s="85">
        <f t="shared" si="12"/>
        <v>708108.9688729198</v>
      </c>
      <c r="G55" s="85">
        <f t="shared" si="12"/>
        <v>704318.43932543963</v>
      </c>
      <c r="H55" s="86">
        <f>+G55/($B$80-B81)</f>
        <v>5030845.9951817123</v>
      </c>
      <c r="I55" s="46">
        <f>+G55*1.01</f>
        <v>711361.62371869409</v>
      </c>
      <c r="J55" s="46">
        <f>+I55*1.01</f>
        <v>718475.23995588103</v>
      </c>
      <c r="K55" s="46">
        <f t="shared" ref="K55:BG55" si="13">+J55*1.01</f>
        <v>725659.99235543981</v>
      </c>
      <c r="L55" s="46">
        <f t="shared" si="13"/>
        <v>732916.59227899427</v>
      </c>
      <c r="M55" s="46">
        <f t="shared" si="13"/>
        <v>740245.75820178422</v>
      </c>
      <c r="N55" s="46">
        <f t="shared" si="13"/>
        <v>747648.21578380209</v>
      </c>
      <c r="O55" s="46">
        <f t="shared" si="13"/>
        <v>755124.69794164016</v>
      </c>
      <c r="P55" s="46">
        <f t="shared" si="13"/>
        <v>762675.94492105662</v>
      </c>
      <c r="Q55" s="46">
        <f t="shared" si="13"/>
        <v>770302.70437026722</v>
      </c>
      <c r="R55" s="46">
        <f t="shared" si="13"/>
        <v>778005.73141396989</v>
      </c>
      <c r="S55" s="46">
        <f t="shared" si="13"/>
        <v>785785.78872810956</v>
      </c>
      <c r="T55" s="46">
        <f t="shared" si="13"/>
        <v>793643.64661539067</v>
      </c>
      <c r="U55" s="46">
        <f t="shared" si="13"/>
        <v>801580.08308154461</v>
      </c>
      <c r="V55" s="46">
        <f t="shared" si="13"/>
        <v>809595.88391236006</v>
      </c>
      <c r="W55" s="46">
        <f t="shared" si="13"/>
        <v>817691.84275148367</v>
      </c>
      <c r="X55" s="46">
        <f t="shared" si="13"/>
        <v>825868.76117899851</v>
      </c>
      <c r="Y55" s="46">
        <f t="shared" si="13"/>
        <v>834127.44879078853</v>
      </c>
      <c r="Z55" s="46">
        <f t="shared" si="13"/>
        <v>842468.72327869642</v>
      </c>
      <c r="AA55" s="46">
        <f t="shared" si="13"/>
        <v>850893.41051148344</v>
      </c>
      <c r="AB55" s="46">
        <f t="shared" si="13"/>
        <v>859402.34461659833</v>
      </c>
      <c r="AC55" s="46">
        <f t="shared" si="13"/>
        <v>867996.36806276429</v>
      </c>
      <c r="AD55" s="46">
        <f t="shared" si="13"/>
        <v>876676.33174339193</v>
      </c>
      <c r="AE55" s="46">
        <f t="shared" si="13"/>
        <v>885443.09506082581</v>
      </c>
      <c r="AF55" s="46">
        <f t="shared" si="13"/>
        <v>894297.52601143403</v>
      </c>
      <c r="AG55" s="46">
        <f t="shared" si="13"/>
        <v>903240.50127154833</v>
      </c>
      <c r="AH55" s="46">
        <f t="shared" si="13"/>
        <v>912272.90628426382</v>
      </c>
      <c r="AI55" s="46">
        <f t="shared" si="13"/>
        <v>921395.63534710649</v>
      </c>
      <c r="AJ55" s="46">
        <f t="shared" si="13"/>
        <v>930609.59170057753</v>
      </c>
      <c r="AK55" s="46">
        <f t="shared" si="13"/>
        <v>939915.68761758332</v>
      </c>
      <c r="AL55" s="46">
        <f t="shared" si="13"/>
        <v>949314.84449375921</v>
      </c>
      <c r="AM55" s="46">
        <f t="shared" si="13"/>
        <v>958807.99293869687</v>
      </c>
      <c r="AN55" s="46">
        <f t="shared" si="13"/>
        <v>968396.07286808384</v>
      </c>
      <c r="AO55" s="46">
        <f t="shared" si="13"/>
        <v>978080.03359676467</v>
      </c>
      <c r="AP55" s="46">
        <f t="shared" si="13"/>
        <v>987860.83393273235</v>
      </c>
      <c r="AQ55" s="46">
        <f t="shared" si="13"/>
        <v>997739.44227205974</v>
      </c>
      <c r="AR55" s="46">
        <f t="shared" si="13"/>
        <v>1007716.8366947804</v>
      </c>
      <c r="AS55" s="46">
        <f t="shared" si="13"/>
        <v>1017794.0050617282</v>
      </c>
      <c r="AT55" s="46">
        <f t="shared" si="13"/>
        <v>1027971.9451123455</v>
      </c>
      <c r="AU55" s="46">
        <f t="shared" si="13"/>
        <v>1038251.664563469</v>
      </c>
      <c r="AV55" s="46">
        <f t="shared" si="13"/>
        <v>1048634.1812091037</v>
      </c>
      <c r="AW55" s="46">
        <f t="shared" si="13"/>
        <v>1059120.5230211946</v>
      </c>
      <c r="AX55" s="46">
        <f t="shared" si="13"/>
        <v>1069711.7282514067</v>
      </c>
      <c r="AY55" s="46">
        <f t="shared" si="13"/>
        <v>1080408.8455339207</v>
      </c>
      <c r="AZ55" s="46">
        <f t="shared" si="13"/>
        <v>1091212.9339892599</v>
      </c>
      <c r="BA55" s="46">
        <f t="shared" si="13"/>
        <v>1102125.0633291525</v>
      </c>
      <c r="BB55" s="46">
        <f t="shared" si="13"/>
        <v>1113146.313962444</v>
      </c>
      <c r="BC55" s="46">
        <f t="shared" si="13"/>
        <v>1124277.7771020683</v>
      </c>
      <c r="BD55" s="46">
        <f t="shared" si="13"/>
        <v>1135520.5548730891</v>
      </c>
      <c r="BE55" s="46">
        <f t="shared" si="13"/>
        <v>1146875.76042182</v>
      </c>
      <c r="BF55" s="46">
        <f t="shared" si="13"/>
        <v>1158344.5180260383</v>
      </c>
      <c r="BG55" s="46">
        <f t="shared" si="13"/>
        <v>1169927.9632062986</v>
      </c>
    </row>
    <row r="56" spans="1:59" hidden="1" outlineLevel="1" x14ac:dyDescent="0.2">
      <c r="A56" s="83" t="s">
        <v>299</v>
      </c>
      <c r="B56" s="84">
        <f>+B55</f>
        <v>-1638764.4079999998</v>
      </c>
      <c r="C56" s="85">
        <f t="shared" si="12"/>
        <v>-451377.1825</v>
      </c>
      <c r="D56" s="85">
        <f t="shared" si="12"/>
        <v>-173761.33767202002</v>
      </c>
      <c r="E56" s="85">
        <f t="shared" si="12"/>
        <v>711899.49842039961</v>
      </c>
      <c r="F56" s="85">
        <f t="shared" si="12"/>
        <v>708108.9688729198</v>
      </c>
      <c r="G56" s="85">
        <f t="shared" si="12"/>
        <v>704318.43932543963</v>
      </c>
      <c r="H56" s="86">
        <f>+G56*B82</f>
        <v>7043184.3932543965</v>
      </c>
    </row>
    <row r="57" spans="1:59" ht="4.5" customHeight="1" collapsed="1" x14ac:dyDescent="0.2">
      <c r="A57" s="87"/>
      <c r="B57" s="46"/>
      <c r="C57" s="88"/>
      <c r="D57" s="88"/>
      <c r="E57" s="88"/>
      <c r="F57" s="88"/>
      <c r="G57" s="88"/>
      <c r="H57" s="46"/>
    </row>
    <row r="58" spans="1:59" x14ac:dyDescent="0.2">
      <c r="A58" s="81" t="s">
        <v>300</v>
      </c>
    </row>
    <row r="59" spans="1:59" x14ac:dyDescent="0.2">
      <c r="A59" s="87" t="s">
        <v>351</v>
      </c>
      <c r="B59" s="89">
        <f t="shared" ref="B59:H61" si="14">B54/(1+$B$80)^B$1</f>
        <v>-1638764.4079999998</v>
      </c>
      <c r="C59" s="90">
        <f t="shared" si="14"/>
        <v>-392501.89782608696</v>
      </c>
      <c r="D59" s="90">
        <f t="shared" si="14"/>
        <v>-131388.53510171649</v>
      </c>
      <c r="E59" s="90">
        <f t="shared" si="14"/>
        <v>468085.47607160342</v>
      </c>
      <c r="F59" s="90">
        <f t="shared" si="14"/>
        <v>404863.60118662816</v>
      </c>
      <c r="G59" s="90">
        <f t="shared" si="14"/>
        <v>350170.74227420875</v>
      </c>
      <c r="H59" s="86">
        <f t="shared" si="14"/>
        <v>2029975.3175316451</v>
      </c>
    </row>
    <row r="60" spans="1:59" hidden="1" outlineLevel="1" x14ac:dyDescent="0.2">
      <c r="A60" s="87" t="s">
        <v>352</v>
      </c>
      <c r="B60" s="89">
        <f t="shared" si="14"/>
        <v>-1638764.4079999998</v>
      </c>
      <c r="C60" s="90">
        <f t="shared" si="14"/>
        <v>-392501.89782608696</v>
      </c>
      <c r="D60" s="90">
        <f t="shared" si="14"/>
        <v>-131388.53510171649</v>
      </c>
      <c r="E60" s="90">
        <f t="shared" si="14"/>
        <v>468085.47607160342</v>
      </c>
      <c r="F60" s="90">
        <f t="shared" si="14"/>
        <v>404863.60118662816</v>
      </c>
      <c r="G60" s="90">
        <f t="shared" si="14"/>
        <v>350170.74227420875</v>
      </c>
      <c r="H60" s="86">
        <f t="shared" si="14"/>
        <v>2174973.5544981915</v>
      </c>
    </row>
    <row r="61" spans="1:59" hidden="1" outlineLevel="1" x14ac:dyDescent="0.2">
      <c r="A61" s="87" t="s">
        <v>353</v>
      </c>
      <c r="B61" s="89">
        <f t="shared" si="14"/>
        <v>-1638764.4079999998</v>
      </c>
      <c r="C61" s="90">
        <f t="shared" si="14"/>
        <v>-392501.89782608696</v>
      </c>
      <c r="D61" s="90">
        <f t="shared" si="14"/>
        <v>-131388.53510171649</v>
      </c>
      <c r="E61" s="90">
        <f t="shared" si="14"/>
        <v>468085.47607160342</v>
      </c>
      <c r="F61" s="90">
        <f t="shared" si="14"/>
        <v>404863.60118662816</v>
      </c>
      <c r="G61" s="90">
        <f t="shared" si="14"/>
        <v>350170.74227420875</v>
      </c>
      <c r="H61" s="86">
        <f t="shared" si="14"/>
        <v>3044962.9762974675</v>
      </c>
    </row>
    <row r="62" spans="1:59" ht="6" customHeight="1" collapsed="1" thickBot="1" x14ac:dyDescent="0.25">
      <c r="A62" s="79"/>
      <c r="B62" s="82"/>
      <c r="C62" s="58"/>
      <c r="D62" s="58"/>
      <c r="E62" s="58"/>
      <c r="F62" s="58"/>
      <c r="G62" s="58"/>
    </row>
    <row r="63" spans="1:59" x14ac:dyDescent="0.2">
      <c r="A63" s="81" t="s">
        <v>301</v>
      </c>
      <c r="B63" s="91" t="s">
        <v>302</v>
      </c>
      <c r="C63" s="92" t="s">
        <v>303</v>
      </c>
      <c r="D63" s="93" t="s">
        <v>304</v>
      </c>
      <c r="E63" s="94" t="s">
        <v>305</v>
      </c>
      <c r="F63" s="95" t="s">
        <v>306</v>
      </c>
      <c r="G63" s="96" t="s">
        <v>307</v>
      </c>
    </row>
    <row r="64" spans="1:59" x14ac:dyDescent="0.2">
      <c r="A64" s="87" t="s">
        <v>351</v>
      </c>
      <c r="B64" s="97">
        <f>SUM(B59:H59)</f>
        <v>1090440.2961362819</v>
      </c>
      <c r="C64" s="98">
        <f>NPV($B$80,C54:H54)+B54</f>
        <v>1090440.2961362824</v>
      </c>
      <c r="D64" s="99">
        <f>NPV($B$80,C54:H54)</f>
        <v>2729204.7041362822</v>
      </c>
      <c r="E64" s="100">
        <f>+B54</f>
        <v>-1638764.4079999998</v>
      </c>
      <c r="F64" s="101">
        <f>+D64+E64</f>
        <v>1090440.2961362824</v>
      </c>
      <c r="G64" s="102">
        <f>IRR(B54:H54)</f>
        <v>0.25063004098484631</v>
      </c>
    </row>
    <row r="65" spans="1:9" ht="15" outlineLevel="2" x14ac:dyDescent="0.25">
      <c r="A65" s="87" t="s">
        <v>352</v>
      </c>
      <c r="B65" s="97">
        <f>SUM(B60:H60)</f>
        <v>1235438.5331028283</v>
      </c>
      <c r="C65" s="98">
        <f>NPV($B$80,C55:H55)+B55</f>
        <v>1235438.5331028285</v>
      </c>
      <c r="D65" s="99">
        <f>NPV($B$80,C55:H55)</f>
        <v>2874202.9411028284</v>
      </c>
      <c r="E65" s="100">
        <f>+B55</f>
        <v>-1638764.4079999998</v>
      </c>
      <c r="F65" s="98">
        <f>+D65+E65</f>
        <v>1235438.5331028285</v>
      </c>
      <c r="G65" s="103">
        <f>IRR(B55:H55)</f>
        <v>0.26115616060304991</v>
      </c>
      <c r="H65" s="104" t="s">
        <v>308</v>
      </c>
      <c r="I65" s="104"/>
    </row>
    <row r="66" spans="1:9" ht="15.75" outlineLevel="2" thickBot="1" x14ac:dyDescent="0.3">
      <c r="A66" s="87" t="s">
        <v>353</v>
      </c>
      <c r="B66" s="105">
        <f>SUM(B61:H61)</f>
        <v>2105427.9549021041</v>
      </c>
      <c r="C66" s="106">
        <f>NPV($B$80,C56:H56)+B56</f>
        <v>2105427.954902105</v>
      </c>
      <c r="D66" s="107">
        <f>NPV($B$80,C56:H56)</f>
        <v>3744192.3629021049</v>
      </c>
      <c r="E66" s="108">
        <f>+B56</f>
        <v>-1638764.4079999998</v>
      </c>
      <c r="F66" s="106">
        <f>+D66+E66</f>
        <v>2105427.954902105</v>
      </c>
      <c r="G66" s="109">
        <f>IRR(B56:H56)</f>
        <v>0.31609086024266242</v>
      </c>
      <c r="H66" s="104" t="s">
        <v>309</v>
      </c>
      <c r="I66" s="104"/>
    </row>
    <row r="67" spans="1:9" outlineLevel="2" x14ac:dyDescent="0.2">
      <c r="A67" s="79"/>
      <c r="B67" s="82"/>
      <c r="C67" s="58"/>
      <c r="D67" s="58"/>
      <c r="E67" s="58"/>
      <c r="F67" s="58"/>
      <c r="G67" s="58"/>
    </row>
    <row r="68" spans="1:9" ht="13.5" outlineLevel="2" thickBot="1" x14ac:dyDescent="0.25"/>
    <row r="69" spans="1:9" ht="15.75" outlineLevel="1" x14ac:dyDescent="0.25">
      <c r="A69" s="110" t="s">
        <v>338</v>
      </c>
      <c r="B69" s="111">
        <v>-1575000</v>
      </c>
      <c r="C69" s="132" t="s">
        <v>0</v>
      </c>
    </row>
    <row r="70" spans="1:9" outlineLevel="1" x14ac:dyDescent="0.2">
      <c r="A70" s="41" t="s">
        <v>354</v>
      </c>
      <c r="B70" s="112">
        <v>-200000</v>
      </c>
    </row>
    <row r="71" spans="1:9" outlineLevel="1" x14ac:dyDescent="0.2">
      <c r="A71" s="41" t="s">
        <v>339</v>
      </c>
      <c r="B71" s="112">
        <f>(B69+B70)*0.11</f>
        <v>-195250</v>
      </c>
    </row>
    <row r="72" spans="1:9" outlineLevel="1" x14ac:dyDescent="0.2">
      <c r="A72" s="41" t="s">
        <v>340</v>
      </c>
      <c r="B72" s="113">
        <f>+(C36-C35)/2</f>
        <v>-128694.408</v>
      </c>
      <c r="C72" s="114" t="s">
        <v>310</v>
      </c>
      <c r="F72" s="115" t="s">
        <v>1</v>
      </c>
    </row>
    <row r="73" spans="1:9" outlineLevel="1" x14ac:dyDescent="0.2">
      <c r="A73" s="41" t="s">
        <v>311</v>
      </c>
      <c r="B73" s="112">
        <v>-6000</v>
      </c>
    </row>
    <row r="74" spans="1:9" outlineLevel="1" x14ac:dyDescent="0.2">
      <c r="A74" s="41" t="s">
        <v>312</v>
      </c>
      <c r="B74" s="112">
        <v>-10000</v>
      </c>
    </row>
    <row r="75" spans="1:9" outlineLevel="1" x14ac:dyDescent="0.2">
      <c r="A75" s="41" t="s">
        <v>313</v>
      </c>
      <c r="B75" s="112">
        <v>-31320</v>
      </c>
    </row>
    <row r="76" spans="1:9" ht="15" outlineLevel="1" x14ac:dyDescent="0.25">
      <c r="A76" s="41" t="s">
        <v>341</v>
      </c>
      <c r="B76" s="131">
        <f>((B69+B70)*0.3)*-1</f>
        <v>532500</v>
      </c>
    </row>
    <row r="77" spans="1:9" ht="13.5" outlineLevel="1" thickBot="1" x14ac:dyDescent="0.25">
      <c r="A77" s="41" t="s">
        <v>317</v>
      </c>
      <c r="B77" s="116">
        <v>-25000</v>
      </c>
    </row>
    <row r="78" spans="1:9" ht="13.5" thickBot="1" x14ac:dyDescent="0.25">
      <c r="A78" s="117" t="s">
        <v>342</v>
      </c>
      <c r="B78" s="118">
        <f>SUM(B69:B77)</f>
        <v>-1638764.4079999998</v>
      </c>
      <c r="C78" s="119">
        <f>(B78*700)</f>
        <v>-1147135085.5999999</v>
      </c>
      <c r="D78" s="30" t="s">
        <v>343</v>
      </c>
      <c r="F78" s="120"/>
    </row>
    <row r="79" spans="1:9" ht="13.5" thickBot="1" x14ac:dyDescent="0.25">
      <c r="C79" s="119"/>
      <c r="F79" s="120"/>
    </row>
    <row r="80" spans="1:9" s="30" customFormat="1" ht="13.5" outlineLevel="1" thickBot="1" x14ac:dyDescent="0.25">
      <c r="A80" s="121" t="s">
        <v>314</v>
      </c>
      <c r="B80" s="122">
        <v>0.15</v>
      </c>
    </row>
    <row r="81" spans="1:3" s="30" customFormat="1" ht="13.5" outlineLevel="1" thickBot="1" x14ac:dyDescent="0.25">
      <c r="A81" s="121" t="s">
        <v>315</v>
      </c>
      <c r="B81" s="122">
        <v>0.01</v>
      </c>
    </row>
    <row r="82" spans="1:3" s="30" customFormat="1" ht="13.5" outlineLevel="1" thickBot="1" x14ac:dyDescent="0.25">
      <c r="A82" s="121" t="s">
        <v>316</v>
      </c>
      <c r="B82" s="123">
        <v>10</v>
      </c>
      <c r="C82" s="30">
        <v>7.1</v>
      </c>
    </row>
    <row r="83" spans="1:3" s="30" customFormat="1" x14ac:dyDescent="0.2">
      <c r="A83" s="11" t="s">
        <v>1</v>
      </c>
      <c r="B83" s="11"/>
    </row>
  </sheetData>
  <hyperlinks>
    <hyperlink ref="B76" r:id="rId1" display="https://www.ipsom.com/2018/07/ayudas-y-subvenciones-para-la-instalacion-de-sistemas-de-generacion-solar-fotovoltaica-en-las-distintas-comunidades-autonomas-a-nivel-industrial/" xr:uid="{BC29FE59-5C4F-4756-900B-78D1C40FAB83}"/>
  </hyperlinks>
  <pageMargins left="0.7" right="0.7" top="0.75" bottom="0.75" header="0.3" footer="0.3"/>
  <pageSetup orientation="portrait" horizontalDpi="1200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592B-4BB2-4FFD-956B-CE0C27EE3691}">
  <dimension ref="A1:AE53"/>
  <sheetViews>
    <sheetView topLeftCell="A10" workbookViewId="0">
      <selection activeCell="A29" sqref="A29"/>
    </sheetView>
  </sheetViews>
  <sheetFormatPr baseColWidth="10" defaultRowHeight="15" x14ac:dyDescent="0.25"/>
  <cols>
    <col min="1" max="1" width="53.42578125" bestFit="1" customWidth="1"/>
    <col min="2" max="2" width="14.5703125" customWidth="1"/>
    <col min="7" max="7" width="9.7109375" bestFit="1" customWidth="1"/>
    <col min="12" max="12" width="3" bestFit="1" customWidth="1"/>
    <col min="13" max="13" width="18.85546875" bestFit="1" customWidth="1"/>
    <col min="14" max="14" width="16.5703125" bestFit="1" customWidth="1"/>
    <col min="15" max="15" width="15" bestFit="1" customWidth="1"/>
    <col min="18" max="18" width="14.7109375" customWidth="1"/>
    <col min="20" max="20" width="13.140625" customWidth="1"/>
  </cols>
  <sheetData>
    <row r="1" spans="1:30" x14ac:dyDescent="0.25">
      <c r="A1" s="1" t="s">
        <v>9</v>
      </c>
      <c r="B1" s="1" t="s">
        <v>10</v>
      </c>
      <c r="C1" s="1" t="s">
        <v>11</v>
      </c>
      <c r="D1" s="1" t="s">
        <v>12</v>
      </c>
      <c r="G1" s="1" t="s">
        <v>34</v>
      </c>
      <c r="H1" s="1" t="s">
        <v>35</v>
      </c>
      <c r="I1" s="1" t="s">
        <v>36</v>
      </c>
      <c r="J1" s="1" t="s">
        <v>37</v>
      </c>
      <c r="AB1" s="1"/>
      <c r="AC1" s="1" t="s">
        <v>263</v>
      </c>
      <c r="AD1" s="1" t="s">
        <v>262</v>
      </c>
    </row>
    <row r="2" spans="1:30" x14ac:dyDescent="0.25">
      <c r="A2" s="1" t="s">
        <v>0</v>
      </c>
      <c r="B2" s="1"/>
      <c r="C2" s="1"/>
      <c r="D2" s="2">
        <v>525</v>
      </c>
      <c r="G2" s="1">
        <v>1</v>
      </c>
      <c r="H2" s="1" t="s">
        <v>38</v>
      </c>
      <c r="I2" s="1" t="s">
        <v>38</v>
      </c>
      <c r="J2" s="1" t="s">
        <v>38</v>
      </c>
      <c r="L2" s="1" t="s">
        <v>1</v>
      </c>
      <c r="M2" s="1" t="s">
        <v>159</v>
      </c>
      <c r="N2" s="1" t="s">
        <v>158</v>
      </c>
      <c r="O2" s="1" t="s">
        <v>157</v>
      </c>
      <c r="W2" s="8"/>
      <c r="X2" s="8" t="s">
        <v>235</v>
      </c>
      <c r="AB2" s="1">
        <v>1</v>
      </c>
      <c r="AC2" s="7" t="s">
        <v>261</v>
      </c>
      <c r="AD2" s="5">
        <v>0.11</v>
      </c>
    </row>
    <row r="3" spans="1:30" x14ac:dyDescent="0.25">
      <c r="A3" s="1" t="s">
        <v>2</v>
      </c>
      <c r="B3" s="1"/>
      <c r="C3" s="1"/>
      <c r="D3" s="2">
        <v>10</v>
      </c>
      <c r="G3" s="1">
        <v>2</v>
      </c>
      <c r="H3" s="1" t="s">
        <v>39</v>
      </c>
      <c r="I3" s="1" t="s">
        <v>40</v>
      </c>
      <c r="J3" s="1" t="s">
        <v>41</v>
      </c>
      <c r="L3" s="1">
        <v>1</v>
      </c>
      <c r="M3" s="1" t="s">
        <v>99</v>
      </c>
      <c r="N3" s="1" t="s">
        <v>99</v>
      </c>
      <c r="O3" s="1" t="s">
        <v>99</v>
      </c>
      <c r="Q3" s="1" t="s">
        <v>217</v>
      </c>
      <c r="R3" s="1" t="s">
        <v>161</v>
      </c>
      <c r="S3" s="1" t="s">
        <v>162</v>
      </c>
      <c r="T3" s="1" t="s">
        <v>163</v>
      </c>
      <c r="U3" s="1" t="s">
        <v>160</v>
      </c>
      <c r="W3" s="8">
        <v>1</v>
      </c>
      <c r="X3" s="8">
        <v>0</v>
      </c>
      <c r="AB3" s="1">
        <v>2</v>
      </c>
      <c r="AC3" s="1" t="s">
        <v>241</v>
      </c>
      <c r="AD3" s="1"/>
    </row>
    <row r="4" spans="1:30" x14ac:dyDescent="0.25">
      <c r="A4" s="1" t="s">
        <v>6</v>
      </c>
      <c r="B4" s="1"/>
      <c r="C4" s="1"/>
      <c r="D4" s="2">
        <v>41.32</v>
      </c>
      <c r="G4" s="1">
        <v>3</v>
      </c>
      <c r="H4" s="1" t="s">
        <v>42</v>
      </c>
      <c r="I4" s="1" t="s">
        <v>43</v>
      </c>
      <c r="J4" s="1" t="s">
        <v>44</v>
      </c>
      <c r="L4" s="1">
        <v>2</v>
      </c>
      <c r="M4" s="1" t="s">
        <v>100</v>
      </c>
      <c r="N4" s="1" t="s">
        <v>101</v>
      </c>
      <c r="O4" s="1" t="s">
        <v>102</v>
      </c>
      <c r="Q4" s="7" t="s">
        <v>216</v>
      </c>
      <c r="R4" s="7" t="s">
        <v>164</v>
      </c>
      <c r="S4" s="7" t="s">
        <v>164</v>
      </c>
      <c r="T4" s="7" t="s">
        <v>99</v>
      </c>
      <c r="U4" s="7" t="s">
        <v>164</v>
      </c>
      <c r="W4" s="8">
        <v>2</v>
      </c>
      <c r="X4" s="8" t="s">
        <v>218</v>
      </c>
      <c r="AB4" s="1">
        <v>3</v>
      </c>
      <c r="AC4" s="1" t="s">
        <v>242</v>
      </c>
      <c r="AD4" s="1"/>
    </row>
    <row r="5" spans="1:30" x14ac:dyDescent="0.25">
      <c r="A5" s="1" t="s">
        <v>7</v>
      </c>
      <c r="B5" s="1"/>
      <c r="C5" s="1"/>
      <c r="D5" s="2">
        <v>10</v>
      </c>
      <c r="G5" s="1">
        <v>4</v>
      </c>
      <c r="H5" s="1" t="s">
        <v>45</v>
      </c>
      <c r="I5" s="1" t="s">
        <v>46</v>
      </c>
      <c r="J5" s="1" t="s">
        <v>47</v>
      </c>
      <c r="L5" s="1">
        <v>3</v>
      </c>
      <c r="M5" s="1" t="s">
        <v>103</v>
      </c>
      <c r="N5" s="1" t="s">
        <v>104</v>
      </c>
      <c r="O5" s="1" t="s">
        <v>105</v>
      </c>
      <c r="Q5" s="7" t="s">
        <v>182</v>
      </c>
      <c r="R5" s="7" t="s">
        <v>165</v>
      </c>
      <c r="S5" s="7" t="s">
        <v>164</v>
      </c>
      <c r="T5" s="7" t="s">
        <v>183</v>
      </c>
      <c r="U5" s="7" t="s">
        <v>165</v>
      </c>
      <c r="W5" s="8">
        <v>3</v>
      </c>
      <c r="X5" s="8" t="s">
        <v>219</v>
      </c>
      <c r="AB5" s="1">
        <v>4</v>
      </c>
      <c r="AC5" s="1" t="s">
        <v>243</v>
      </c>
      <c r="AD5" s="1"/>
    </row>
    <row r="6" spans="1:30" x14ac:dyDescent="0.25">
      <c r="A6" s="1"/>
      <c r="B6" s="1"/>
      <c r="C6" s="1"/>
      <c r="D6" s="1"/>
      <c r="G6" s="1">
        <v>5</v>
      </c>
      <c r="H6" s="1" t="s">
        <v>48</v>
      </c>
      <c r="I6" s="1" t="s">
        <v>49</v>
      </c>
      <c r="J6" s="1" t="s">
        <v>50</v>
      </c>
      <c r="L6" s="1">
        <v>4</v>
      </c>
      <c r="M6" s="1" t="s">
        <v>106</v>
      </c>
      <c r="N6" s="1" t="s">
        <v>107</v>
      </c>
      <c r="O6" s="1" t="s">
        <v>108</v>
      </c>
      <c r="Q6" s="7" t="s">
        <v>184</v>
      </c>
      <c r="R6" s="7" t="s">
        <v>166</v>
      </c>
      <c r="S6" s="7" t="s">
        <v>165</v>
      </c>
      <c r="T6" s="7" t="s">
        <v>185</v>
      </c>
      <c r="U6" s="7" t="s">
        <v>166</v>
      </c>
      <c r="W6" s="9">
        <v>4</v>
      </c>
      <c r="X6" s="8" t="s">
        <v>220</v>
      </c>
      <c r="AB6" s="1">
        <v>5</v>
      </c>
      <c r="AC6" s="1" t="s">
        <v>244</v>
      </c>
      <c r="AD6" s="1"/>
    </row>
    <row r="7" spans="1:30" x14ac:dyDescent="0.25">
      <c r="A7" s="1" t="s">
        <v>3</v>
      </c>
      <c r="B7" s="1"/>
      <c r="C7" s="1"/>
      <c r="D7" s="2">
        <v>25</v>
      </c>
      <c r="G7" s="1">
        <v>6</v>
      </c>
      <c r="H7" s="1" t="s">
        <v>51</v>
      </c>
      <c r="I7" s="1" t="s">
        <v>52</v>
      </c>
      <c r="J7" s="1" t="s">
        <v>53</v>
      </c>
      <c r="L7" s="1">
        <v>5</v>
      </c>
      <c r="M7" s="1" t="s">
        <v>109</v>
      </c>
      <c r="N7" s="1" t="s">
        <v>110</v>
      </c>
      <c r="O7" s="1" t="s">
        <v>111</v>
      </c>
      <c r="Q7" s="7" t="s">
        <v>186</v>
      </c>
      <c r="R7" s="7" t="s">
        <v>167</v>
      </c>
      <c r="S7" s="7" t="s">
        <v>166</v>
      </c>
      <c r="T7" s="7" t="s">
        <v>187</v>
      </c>
      <c r="U7" s="7" t="s">
        <v>168</v>
      </c>
      <c r="W7" s="9">
        <v>5</v>
      </c>
      <c r="X7" s="8" t="s">
        <v>221</v>
      </c>
      <c r="AB7" s="1">
        <v>6</v>
      </c>
      <c r="AC7" s="1" t="s">
        <v>245</v>
      </c>
      <c r="AD7" s="1"/>
    </row>
    <row r="8" spans="1:30" x14ac:dyDescent="0.25">
      <c r="A8" s="1" t="s">
        <v>4</v>
      </c>
      <c r="B8" s="1"/>
      <c r="C8" s="1"/>
      <c r="D8" s="2">
        <v>60</v>
      </c>
      <c r="G8" s="1">
        <v>7</v>
      </c>
      <c r="H8" s="1" t="s">
        <v>54</v>
      </c>
      <c r="I8" s="1" t="s">
        <v>55</v>
      </c>
      <c r="J8" s="1" t="s">
        <v>56</v>
      </c>
      <c r="L8" s="1">
        <v>6</v>
      </c>
      <c r="M8" s="1" t="s">
        <v>112</v>
      </c>
      <c r="N8" s="1" t="s">
        <v>113</v>
      </c>
      <c r="O8" s="1" t="s">
        <v>114</v>
      </c>
      <c r="Q8" s="7" t="s">
        <v>188</v>
      </c>
      <c r="R8" s="7" t="s">
        <v>169</v>
      </c>
      <c r="S8" s="7" t="s">
        <v>168</v>
      </c>
      <c r="T8" s="7" t="s">
        <v>189</v>
      </c>
      <c r="U8" s="7" t="s">
        <v>169</v>
      </c>
      <c r="W8" s="9">
        <v>6</v>
      </c>
      <c r="X8" s="8" t="s">
        <v>222</v>
      </c>
      <c r="AB8" s="1">
        <v>7</v>
      </c>
      <c r="AC8" s="1" t="s">
        <v>246</v>
      </c>
      <c r="AD8" s="1"/>
    </row>
    <row r="9" spans="1:30" x14ac:dyDescent="0.25">
      <c r="A9" s="1" t="s">
        <v>5</v>
      </c>
      <c r="B9" s="1"/>
      <c r="C9" s="1"/>
      <c r="D9" s="2">
        <v>53.5</v>
      </c>
      <c r="G9" s="1">
        <v>8</v>
      </c>
      <c r="H9" s="1" t="s">
        <v>57</v>
      </c>
      <c r="I9" s="1" t="s">
        <v>58</v>
      </c>
      <c r="J9" s="1" t="s">
        <v>59</v>
      </c>
      <c r="L9" s="1">
        <v>7</v>
      </c>
      <c r="M9" s="1" t="s">
        <v>115</v>
      </c>
      <c r="N9" s="1" t="s">
        <v>116</v>
      </c>
      <c r="O9" s="1" t="s">
        <v>117</v>
      </c>
      <c r="Q9" s="7" t="s">
        <v>190</v>
      </c>
      <c r="R9" s="7" t="s">
        <v>170</v>
      </c>
      <c r="S9" s="7" t="s">
        <v>169</v>
      </c>
      <c r="T9" s="7" t="s">
        <v>191</v>
      </c>
      <c r="U9" s="7" t="s">
        <v>170</v>
      </c>
      <c r="W9" s="9">
        <v>7</v>
      </c>
      <c r="X9" s="8" t="s">
        <v>223</v>
      </c>
      <c r="AB9" s="1">
        <v>8</v>
      </c>
      <c r="AC9" s="1" t="s">
        <v>247</v>
      </c>
      <c r="AD9" s="1"/>
    </row>
    <row r="10" spans="1:30" x14ac:dyDescent="0.25">
      <c r="A10" s="1" t="s">
        <v>8</v>
      </c>
      <c r="B10" s="1"/>
      <c r="C10" s="1"/>
      <c r="D10" s="3">
        <v>724.82</v>
      </c>
      <c r="G10" s="1">
        <v>9</v>
      </c>
      <c r="H10" s="1" t="s">
        <v>60</v>
      </c>
      <c r="I10" s="1" t="s">
        <v>61</v>
      </c>
      <c r="J10" s="1" t="s">
        <v>62</v>
      </c>
      <c r="L10" s="1">
        <v>8</v>
      </c>
      <c r="M10" s="1" t="s">
        <v>118</v>
      </c>
      <c r="N10" s="1" t="s">
        <v>119</v>
      </c>
      <c r="O10" s="1" t="s">
        <v>120</v>
      </c>
      <c r="Q10" s="7" t="s">
        <v>192</v>
      </c>
      <c r="R10" s="7" t="s">
        <v>171</v>
      </c>
      <c r="S10" s="7" t="s">
        <v>170</v>
      </c>
      <c r="T10" s="7" t="s">
        <v>193</v>
      </c>
      <c r="U10" s="7" t="s">
        <v>171</v>
      </c>
      <c r="W10" s="9">
        <v>8</v>
      </c>
      <c r="X10" s="8" t="s">
        <v>224</v>
      </c>
      <c r="AB10" s="1">
        <v>9</v>
      </c>
      <c r="AC10" s="1" t="s">
        <v>248</v>
      </c>
      <c r="AD10" s="1"/>
    </row>
    <row r="11" spans="1:30" x14ac:dyDescent="0.25">
      <c r="G11" s="1">
        <v>10</v>
      </c>
      <c r="H11" s="1" t="s">
        <v>63</v>
      </c>
      <c r="I11" s="1" t="s">
        <v>64</v>
      </c>
      <c r="J11" s="1" t="s">
        <v>65</v>
      </c>
      <c r="L11" s="1">
        <v>9</v>
      </c>
      <c r="M11" s="1" t="s">
        <v>121</v>
      </c>
      <c r="N11" s="1" t="s">
        <v>122</v>
      </c>
      <c r="O11" s="1" t="s">
        <v>123</v>
      </c>
      <c r="Q11" s="7" t="s">
        <v>194</v>
      </c>
      <c r="R11" s="7" t="s">
        <v>172</v>
      </c>
      <c r="S11" s="7" t="s">
        <v>171</v>
      </c>
      <c r="T11" s="7" t="s">
        <v>195</v>
      </c>
      <c r="U11" s="7" t="s">
        <v>172</v>
      </c>
      <c r="W11" s="9">
        <v>9</v>
      </c>
      <c r="X11" s="8" t="s">
        <v>225</v>
      </c>
      <c r="AB11" s="1">
        <v>10</v>
      </c>
      <c r="AC11" s="1" t="s">
        <v>249</v>
      </c>
      <c r="AD11" s="1"/>
    </row>
    <row r="12" spans="1:30" x14ac:dyDescent="0.25">
      <c r="G12" s="1">
        <v>11</v>
      </c>
      <c r="H12" s="1" t="s">
        <v>66</v>
      </c>
      <c r="I12" s="1" t="s">
        <v>67</v>
      </c>
      <c r="J12" s="1" t="s">
        <v>68</v>
      </c>
      <c r="L12" s="1">
        <v>10</v>
      </c>
      <c r="M12" s="1" t="s">
        <v>124</v>
      </c>
      <c r="N12" s="1" t="s">
        <v>125</v>
      </c>
      <c r="O12" s="1" t="s">
        <v>126</v>
      </c>
      <c r="Q12" s="7" t="s">
        <v>196</v>
      </c>
      <c r="R12" s="7" t="s">
        <v>173</v>
      </c>
      <c r="S12" s="7" t="s">
        <v>172</v>
      </c>
      <c r="T12" s="7" t="s">
        <v>197</v>
      </c>
      <c r="U12" s="7" t="s">
        <v>173</v>
      </c>
      <c r="W12" s="9">
        <v>10</v>
      </c>
      <c r="X12" s="8" t="s">
        <v>226</v>
      </c>
      <c r="AB12" s="1">
        <v>11</v>
      </c>
      <c r="AC12" s="1" t="s">
        <v>250</v>
      </c>
      <c r="AD12" s="1"/>
    </row>
    <row r="13" spans="1:30" x14ac:dyDescent="0.25">
      <c r="A13" s="1" t="s">
        <v>13</v>
      </c>
      <c r="B13" s="1"/>
      <c r="G13" s="1">
        <v>12</v>
      </c>
      <c r="H13" s="1" t="s">
        <v>69</v>
      </c>
      <c r="I13" s="1" t="s">
        <v>70</v>
      </c>
      <c r="J13" s="1" t="s">
        <v>71</v>
      </c>
      <c r="L13" s="1">
        <v>11</v>
      </c>
      <c r="M13" s="1" t="s">
        <v>127</v>
      </c>
      <c r="N13" s="1" t="s">
        <v>128</v>
      </c>
      <c r="O13" s="1" t="s">
        <v>129</v>
      </c>
      <c r="Q13" s="7" t="s">
        <v>198</v>
      </c>
      <c r="R13" s="7" t="s">
        <v>174</v>
      </c>
      <c r="S13" s="7" t="s">
        <v>173</v>
      </c>
      <c r="T13" s="7" t="s">
        <v>199</v>
      </c>
      <c r="U13" s="7" t="s">
        <v>174</v>
      </c>
      <c r="W13" s="9">
        <v>11</v>
      </c>
      <c r="X13" s="8" t="s">
        <v>227</v>
      </c>
      <c r="AB13" s="1">
        <v>12</v>
      </c>
      <c r="AC13" s="1" t="s">
        <v>251</v>
      </c>
      <c r="AD13" s="1"/>
    </row>
    <row r="14" spans="1:30" x14ac:dyDescent="0.25">
      <c r="A14" s="1" t="s">
        <v>14</v>
      </c>
      <c r="B14" s="3">
        <v>750</v>
      </c>
      <c r="G14" s="1">
        <v>13</v>
      </c>
      <c r="H14" s="1" t="s">
        <v>72</v>
      </c>
      <c r="I14" s="1" t="s">
        <v>73</v>
      </c>
      <c r="J14" s="1" t="s">
        <v>74</v>
      </c>
      <c r="L14" s="1">
        <v>12</v>
      </c>
      <c r="M14" s="1" t="s">
        <v>130</v>
      </c>
      <c r="N14" s="1" t="s">
        <v>131</v>
      </c>
      <c r="O14" s="1" t="s">
        <v>132</v>
      </c>
      <c r="Q14" s="7" t="s">
        <v>200</v>
      </c>
      <c r="R14" s="7" t="s">
        <v>175</v>
      </c>
      <c r="S14" s="7" t="s">
        <v>174</v>
      </c>
      <c r="T14" s="7" t="s">
        <v>201</v>
      </c>
      <c r="U14" s="7" t="s">
        <v>175</v>
      </c>
      <c r="W14" s="9">
        <v>12</v>
      </c>
      <c r="X14" s="8" t="s">
        <v>228</v>
      </c>
      <c r="AB14" s="1">
        <v>13</v>
      </c>
      <c r="AC14" s="1" t="s">
        <v>252</v>
      </c>
      <c r="AD14" s="1"/>
    </row>
    <row r="15" spans="1:30" x14ac:dyDescent="0.25">
      <c r="A15" s="1" t="s">
        <v>15</v>
      </c>
      <c r="B15" s="4">
        <v>2.1</v>
      </c>
      <c r="G15" s="1">
        <v>14</v>
      </c>
      <c r="H15" s="1" t="s">
        <v>75</v>
      </c>
      <c r="I15" s="1" t="s">
        <v>76</v>
      </c>
      <c r="J15" s="1" t="s">
        <v>77</v>
      </c>
      <c r="L15" s="1">
        <v>13</v>
      </c>
      <c r="M15" s="1" t="s">
        <v>133</v>
      </c>
      <c r="N15" s="1" t="s">
        <v>134</v>
      </c>
      <c r="O15" s="1" t="s">
        <v>135</v>
      </c>
      <c r="Q15" s="7" t="s">
        <v>202</v>
      </c>
      <c r="R15" s="7" t="s">
        <v>176</v>
      </c>
      <c r="S15" s="7" t="s">
        <v>175</v>
      </c>
      <c r="T15" s="7" t="s">
        <v>203</v>
      </c>
      <c r="U15" s="7" t="s">
        <v>176</v>
      </c>
      <c r="W15" s="9">
        <v>13</v>
      </c>
      <c r="X15" s="8" t="s">
        <v>229</v>
      </c>
      <c r="AB15" s="1">
        <v>14</v>
      </c>
      <c r="AC15" s="1" t="s">
        <v>253</v>
      </c>
      <c r="AD15" s="1"/>
    </row>
    <row r="16" spans="1:30" x14ac:dyDescent="0.25">
      <c r="A16" s="1" t="s">
        <v>16</v>
      </c>
      <c r="B16" s="5">
        <v>0.98</v>
      </c>
      <c r="G16" s="1">
        <v>15</v>
      </c>
      <c r="H16" s="1" t="s">
        <v>78</v>
      </c>
      <c r="I16" s="1" t="s">
        <v>79</v>
      </c>
      <c r="J16" s="1" t="s">
        <v>80</v>
      </c>
      <c r="L16" s="1">
        <v>14</v>
      </c>
      <c r="M16" s="1" t="s">
        <v>136</v>
      </c>
      <c r="N16" s="1" t="s">
        <v>137</v>
      </c>
      <c r="O16" s="1" t="s">
        <v>138</v>
      </c>
      <c r="Q16" s="7" t="s">
        <v>204</v>
      </c>
      <c r="R16" s="7" t="s">
        <v>177</v>
      </c>
      <c r="S16" s="7" t="s">
        <v>176</v>
      </c>
      <c r="T16" s="7" t="s">
        <v>205</v>
      </c>
      <c r="U16" s="7" t="s">
        <v>177</v>
      </c>
      <c r="W16" s="9">
        <v>14</v>
      </c>
      <c r="X16" s="8" t="s">
        <v>230</v>
      </c>
      <c r="AB16" s="1">
        <v>15</v>
      </c>
      <c r="AC16" s="1" t="s">
        <v>254</v>
      </c>
      <c r="AD16" s="1"/>
    </row>
    <row r="17" spans="1:31" x14ac:dyDescent="0.25">
      <c r="A17" s="1" t="s">
        <v>17</v>
      </c>
      <c r="B17" s="1" t="s">
        <v>18</v>
      </c>
      <c r="G17" s="1">
        <v>16</v>
      </c>
      <c r="H17" s="1" t="s">
        <v>81</v>
      </c>
      <c r="I17" s="1" t="s">
        <v>82</v>
      </c>
      <c r="J17" s="1" t="s">
        <v>83</v>
      </c>
      <c r="L17" s="1">
        <v>15</v>
      </c>
      <c r="M17" s="1" t="s">
        <v>139</v>
      </c>
      <c r="N17" s="1" t="s">
        <v>140</v>
      </c>
      <c r="O17" s="1" t="s">
        <v>141</v>
      </c>
      <c r="Q17" s="7" t="s">
        <v>206</v>
      </c>
      <c r="R17" s="7" t="s">
        <v>178</v>
      </c>
      <c r="S17" s="7" t="s">
        <v>177</v>
      </c>
      <c r="T17" s="7" t="s">
        <v>207</v>
      </c>
      <c r="U17" s="7" t="s">
        <v>178</v>
      </c>
      <c r="W17" s="9">
        <v>15</v>
      </c>
      <c r="X17" s="8" t="s">
        <v>231</v>
      </c>
      <c r="AB17" s="1">
        <v>16</v>
      </c>
      <c r="AC17" s="1" t="s">
        <v>255</v>
      </c>
      <c r="AD17" s="1"/>
    </row>
    <row r="18" spans="1:31" x14ac:dyDescent="0.25">
      <c r="A18" s="1"/>
      <c r="B18" s="1"/>
      <c r="G18" s="1">
        <v>17</v>
      </c>
      <c r="H18" s="1" t="s">
        <v>84</v>
      </c>
      <c r="I18" s="1" t="s">
        <v>85</v>
      </c>
      <c r="J18" s="1" t="s">
        <v>86</v>
      </c>
      <c r="L18" s="1">
        <v>16</v>
      </c>
      <c r="M18" s="1" t="s">
        <v>142</v>
      </c>
      <c r="N18" s="1" t="s">
        <v>143</v>
      </c>
      <c r="O18" s="1" t="s">
        <v>144</v>
      </c>
      <c r="Q18" s="7" t="s">
        <v>208</v>
      </c>
      <c r="R18" s="7" t="s">
        <v>179</v>
      </c>
      <c r="S18" s="7" t="s">
        <v>178</v>
      </c>
      <c r="T18" s="7" t="s">
        <v>209</v>
      </c>
      <c r="U18" s="7" t="s">
        <v>179</v>
      </c>
      <c r="W18" s="9">
        <v>16</v>
      </c>
      <c r="X18" s="8" t="s">
        <v>232</v>
      </c>
      <c r="AB18" s="1">
        <v>17</v>
      </c>
      <c r="AC18" s="1" t="s">
        <v>256</v>
      </c>
      <c r="AD18" s="1"/>
    </row>
    <row r="19" spans="1:31" x14ac:dyDescent="0.25">
      <c r="A19" s="1" t="s">
        <v>19</v>
      </c>
      <c r="B19" s="1"/>
      <c r="G19" s="1">
        <v>18</v>
      </c>
      <c r="H19" s="1" t="s">
        <v>87</v>
      </c>
      <c r="I19" s="1" t="s">
        <v>88</v>
      </c>
      <c r="J19" s="1" t="s">
        <v>89</v>
      </c>
      <c r="L19" s="1">
        <v>17</v>
      </c>
      <c r="M19" s="1" t="s">
        <v>145</v>
      </c>
      <c r="N19" s="1" t="s">
        <v>146</v>
      </c>
      <c r="O19" s="1" t="s">
        <v>147</v>
      </c>
      <c r="Q19" s="7" t="s">
        <v>210</v>
      </c>
      <c r="R19" s="7" t="s">
        <v>180</v>
      </c>
      <c r="S19" s="7" t="s">
        <v>179</v>
      </c>
      <c r="T19" s="7" t="s">
        <v>211</v>
      </c>
      <c r="U19" s="7" t="s">
        <v>180</v>
      </c>
      <c r="W19" s="9">
        <v>17</v>
      </c>
      <c r="X19" s="8" t="s">
        <v>233</v>
      </c>
      <c r="AB19" s="1">
        <v>18</v>
      </c>
      <c r="AC19" s="1" t="s">
        <v>257</v>
      </c>
      <c r="AD19" s="1"/>
    </row>
    <row r="20" spans="1:31" x14ac:dyDescent="0.25">
      <c r="G20" s="1">
        <v>19</v>
      </c>
      <c r="H20" s="1" t="s">
        <v>90</v>
      </c>
      <c r="I20" s="1" t="s">
        <v>91</v>
      </c>
      <c r="J20" s="1" t="s">
        <v>92</v>
      </c>
      <c r="L20" s="1">
        <v>18</v>
      </c>
      <c r="M20" s="1" t="s">
        <v>148</v>
      </c>
      <c r="N20" s="1" t="s">
        <v>149</v>
      </c>
      <c r="O20" s="1" t="s">
        <v>150</v>
      </c>
      <c r="Q20" s="7" t="s">
        <v>212</v>
      </c>
      <c r="R20" s="7" t="s">
        <v>181</v>
      </c>
      <c r="S20" s="7" t="s">
        <v>180</v>
      </c>
      <c r="T20" s="7" t="s">
        <v>213</v>
      </c>
      <c r="U20" s="7" t="s">
        <v>181</v>
      </c>
      <c r="W20" s="9">
        <v>18</v>
      </c>
      <c r="X20" s="8" t="s">
        <v>234</v>
      </c>
      <c r="AB20" s="1">
        <v>19</v>
      </c>
      <c r="AC20" s="1" t="s">
        <v>258</v>
      </c>
      <c r="AD20" s="1"/>
    </row>
    <row r="21" spans="1:31" x14ac:dyDescent="0.25">
      <c r="A21" t="s">
        <v>24</v>
      </c>
      <c r="G21" s="1">
        <v>20</v>
      </c>
      <c r="H21" s="1" t="s">
        <v>93</v>
      </c>
      <c r="I21" s="1" t="s">
        <v>94</v>
      </c>
      <c r="J21" s="1" t="s">
        <v>95</v>
      </c>
      <c r="L21" s="1">
        <v>19</v>
      </c>
      <c r="M21" s="1" t="s">
        <v>151</v>
      </c>
      <c r="N21" s="1" t="s">
        <v>152</v>
      </c>
      <c r="O21" s="1" t="s">
        <v>153</v>
      </c>
      <c r="Q21" s="7" t="s">
        <v>214</v>
      </c>
      <c r="R21" s="7" t="s">
        <v>99</v>
      </c>
      <c r="S21" s="7" t="s">
        <v>181</v>
      </c>
      <c r="T21" s="7" t="s">
        <v>215</v>
      </c>
      <c r="U21" s="7" t="s">
        <v>99</v>
      </c>
      <c r="W21" s="6"/>
      <c r="AB21" s="1">
        <v>20</v>
      </c>
      <c r="AC21" s="1" t="s">
        <v>259</v>
      </c>
      <c r="AD21" s="1"/>
    </row>
    <row r="22" spans="1:31" x14ac:dyDescent="0.25">
      <c r="G22" s="1">
        <v>21</v>
      </c>
      <c r="H22" s="1" t="s">
        <v>96</v>
      </c>
      <c r="I22" s="1" t="s">
        <v>97</v>
      </c>
      <c r="J22" s="1" t="s">
        <v>98</v>
      </c>
      <c r="L22" s="1">
        <v>20</v>
      </c>
      <c r="M22" s="1" t="s">
        <v>154</v>
      </c>
      <c r="N22" s="1" t="s">
        <v>155</v>
      </c>
      <c r="O22" s="1" t="s">
        <v>156</v>
      </c>
      <c r="W22" t="s">
        <v>239</v>
      </c>
      <c r="X22" t="s">
        <v>238</v>
      </c>
      <c r="AB22" s="1">
        <v>21</v>
      </c>
      <c r="AC22" s="1" t="s">
        <v>260</v>
      </c>
      <c r="AD22" s="1"/>
    </row>
    <row r="23" spans="1:31" x14ac:dyDescent="0.25">
      <c r="A23" s="1" t="s">
        <v>20</v>
      </c>
      <c r="B23" s="4">
        <v>525</v>
      </c>
      <c r="G23" s="1"/>
      <c r="H23" s="1"/>
      <c r="I23" s="1"/>
      <c r="J23" s="1"/>
      <c r="W23" t="s">
        <v>218</v>
      </c>
      <c r="X23" t="s">
        <v>236</v>
      </c>
      <c r="AB23" s="1">
        <v>22</v>
      </c>
      <c r="AC23" s="1" t="s">
        <v>156</v>
      </c>
      <c r="AD23" s="1"/>
    </row>
    <row r="24" spans="1:31" x14ac:dyDescent="0.25">
      <c r="A24" s="1" t="s">
        <v>21</v>
      </c>
      <c r="B24" s="4">
        <v>10</v>
      </c>
      <c r="G24" s="133" t="s">
        <v>33</v>
      </c>
      <c r="H24" s="133"/>
      <c r="I24" s="133"/>
      <c r="J24" s="133"/>
      <c r="AE24" t="s">
        <v>237</v>
      </c>
    </row>
    <row r="25" spans="1:31" x14ac:dyDescent="0.25">
      <c r="A25" s="1" t="s">
        <v>22</v>
      </c>
      <c r="B25" s="4">
        <v>41.32</v>
      </c>
      <c r="W25" s="134" t="s">
        <v>240</v>
      </c>
      <c r="X25" s="134"/>
      <c r="Y25" s="134"/>
      <c r="Z25" s="134"/>
      <c r="AA25" s="134"/>
    </row>
    <row r="26" spans="1:31" x14ac:dyDescent="0.25">
      <c r="A26" s="1" t="s">
        <v>23</v>
      </c>
      <c r="B26" s="4">
        <v>10</v>
      </c>
    </row>
    <row r="27" spans="1:31" x14ac:dyDescent="0.25">
      <c r="A27" s="1" t="s">
        <v>4</v>
      </c>
      <c r="B27" s="4">
        <v>25</v>
      </c>
    </row>
    <row r="28" spans="1:31" x14ac:dyDescent="0.25">
      <c r="A28" s="1" t="s">
        <v>5</v>
      </c>
      <c r="B28" s="4">
        <v>60</v>
      </c>
    </row>
    <row r="29" spans="1:31" x14ac:dyDescent="0.25">
      <c r="A29" s="1" t="s">
        <v>25</v>
      </c>
      <c r="B29" s="4">
        <v>683.85400000000004</v>
      </c>
    </row>
    <row r="30" spans="1:31" x14ac:dyDescent="0.25">
      <c r="A30" s="1" t="s">
        <v>26</v>
      </c>
      <c r="B30" s="4">
        <v>2.831</v>
      </c>
      <c r="R30" s="10" t="s">
        <v>268</v>
      </c>
      <c r="S30" s="1" t="s">
        <v>272</v>
      </c>
      <c r="T30" t="s">
        <v>1</v>
      </c>
    </row>
    <row r="31" spans="1:31" x14ac:dyDescent="0.25">
      <c r="A31" s="1" t="s">
        <v>27</v>
      </c>
      <c r="B31" s="4">
        <v>9.0440000000000005</v>
      </c>
      <c r="R31" s="1" t="s">
        <v>269</v>
      </c>
      <c r="S31" s="1" t="s">
        <v>262</v>
      </c>
    </row>
    <row r="32" spans="1:31" x14ac:dyDescent="0.25">
      <c r="A32" s="1" t="s">
        <v>28</v>
      </c>
      <c r="B32" s="4">
        <f>SUM(B23+B24+B25+B26+B27+B28+B30+B31)</f>
        <v>683.19500000000005</v>
      </c>
      <c r="R32" s="5">
        <v>0.06</v>
      </c>
      <c r="S32" s="5">
        <v>0.18</v>
      </c>
    </row>
    <row r="33" spans="1:22" x14ac:dyDescent="0.25">
      <c r="R33" s="1" t="s">
        <v>270</v>
      </c>
      <c r="S33" s="1" t="s">
        <v>270</v>
      </c>
      <c r="T33" t="s">
        <v>1</v>
      </c>
    </row>
    <row r="34" spans="1:22" x14ac:dyDescent="0.25">
      <c r="R34" s="1" t="s">
        <v>264</v>
      </c>
      <c r="S34" s="1" t="s">
        <v>265</v>
      </c>
    </row>
    <row r="35" spans="1:22" x14ac:dyDescent="0.25">
      <c r="A35" s="133" t="s">
        <v>32</v>
      </c>
      <c r="B35" s="133"/>
      <c r="C35" s="133"/>
      <c r="R35" s="1" t="s">
        <v>271</v>
      </c>
      <c r="S35" s="1" t="s">
        <v>271</v>
      </c>
      <c r="T35" t="s">
        <v>1</v>
      </c>
    </row>
    <row r="36" spans="1:22" x14ac:dyDescent="0.25">
      <c r="A36" s="1" t="s">
        <v>29</v>
      </c>
      <c r="B36" s="4">
        <v>333.95</v>
      </c>
      <c r="C36" s="4">
        <v>333.95</v>
      </c>
      <c r="R36" s="1" t="s">
        <v>266</v>
      </c>
      <c r="S36" s="1" t="s">
        <v>267</v>
      </c>
    </row>
    <row r="37" spans="1:22" x14ac:dyDescent="0.25">
      <c r="A37" s="1" t="s">
        <v>31</v>
      </c>
      <c r="B37" s="1">
        <v>361.779</v>
      </c>
      <c r="C37" s="1">
        <v>361.779</v>
      </c>
    </row>
    <row r="38" spans="1:22" x14ac:dyDescent="0.25">
      <c r="A38" s="1" t="s">
        <v>30</v>
      </c>
      <c r="B38" s="1">
        <v>695.72900000000004</v>
      </c>
      <c r="C38" s="1">
        <v>695.72900000000004</v>
      </c>
    </row>
    <row r="39" spans="1:22" x14ac:dyDescent="0.25">
      <c r="R39" s="1" t="s">
        <v>277</v>
      </c>
      <c r="S39" s="1" t="s">
        <v>279</v>
      </c>
      <c r="U39">
        <v>4</v>
      </c>
      <c r="V39" t="s">
        <v>1</v>
      </c>
    </row>
    <row r="40" spans="1:22" x14ac:dyDescent="0.25">
      <c r="R40" s="1" t="s">
        <v>262</v>
      </c>
      <c r="S40" s="1" t="s">
        <v>262</v>
      </c>
      <c r="U40" t="s">
        <v>1</v>
      </c>
    </row>
    <row r="41" spans="1:22" x14ac:dyDescent="0.25">
      <c r="R41" s="5">
        <v>7.0000000000000007E-2</v>
      </c>
      <c r="S41" s="5">
        <v>0.12</v>
      </c>
    </row>
    <row r="42" spans="1:22" x14ac:dyDescent="0.25">
      <c r="R42" s="1" t="s">
        <v>270</v>
      </c>
      <c r="S42" s="1" t="s">
        <v>270</v>
      </c>
      <c r="U42" t="s">
        <v>1</v>
      </c>
    </row>
    <row r="43" spans="1:22" x14ac:dyDescent="0.25">
      <c r="R43" s="1" t="s">
        <v>273</v>
      </c>
      <c r="S43" s="1" t="s">
        <v>274</v>
      </c>
    </row>
    <row r="44" spans="1:22" x14ac:dyDescent="0.25">
      <c r="R44" s="1" t="s">
        <v>278</v>
      </c>
      <c r="S44" s="1" t="s">
        <v>278</v>
      </c>
      <c r="U44" t="s">
        <v>1</v>
      </c>
    </row>
    <row r="45" spans="1:22" x14ac:dyDescent="0.25">
      <c r="R45" s="1" t="s">
        <v>275</v>
      </c>
      <c r="S45" s="1" t="s">
        <v>276</v>
      </c>
    </row>
    <row r="47" spans="1:22" x14ac:dyDescent="0.25">
      <c r="R47" s="1" t="s">
        <v>282</v>
      </c>
      <c r="S47" t="s">
        <v>1</v>
      </c>
    </row>
    <row r="48" spans="1:22" x14ac:dyDescent="0.25">
      <c r="R48" s="1" t="s">
        <v>262</v>
      </c>
    </row>
    <row r="49" spans="18:19" x14ac:dyDescent="0.25">
      <c r="R49" s="5">
        <v>0.09</v>
      </c>
    </row>
    <row r="50" spans="18:19" x14ac:dyDescent="0.25">
      <c r="R50" s="1" t="s">
        <v>283</v>
      </c>
      <c r="S50" t="s">
        <v>1</v>
      </c>
    </row>
    <row r="51" spans="18:19" x14ac:dyDescent="0.25">
      <c r="R51" s="1" t="s">
        <v>280</v>
      </c>
    </row>
    <row r="52" spans="18:19" x14ac:dyDescent="0.25">
      <c r="R52" s="1" t="s">
        <v>278</v>
      </c>
      <c r="S52" t="s">
        <v>1</v>
      </c>
    </row>
    <row r="53" spans="18:19" x14ac:dyDescent="0.25">
      <c r="R53" s="1" t="s">
        <v>281</v>
      </c>
    </row>
  </sheetData>
  <mergeCells count="3">
    <mergeCell ref="A35:C35"/>
    <mergeCell ref="G24:J24"/>
    <mergeCell ref="W25:A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arcila</dc:creator>
  <cp:lastModifiedBy>paU arcila</cp:lastModifiedBy>
  <dcterms:created xsi:type="dcterms:W3CDTF">2019-05-30T04:27:18Z</dcterms:created>
  <dcterms:modified xsi:type="dcterms:W3CDTF">2021-04-16T09:08:29Z</dcterms:modified>
</cp:coreProperties>
</file>