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7ACD92F-3943-42A7-A076-DD8F409D3C82}" xr6:coauthVersionLast="37" xr6:coauthVersionMax="37" xr10:uidLastSave="{00000000-0000-0000-0000-000000000000}"/>
  <bookViews>
    <workbookView xWindow="0" yWindow="0" windowWidth="19200" windowHeight="6940" xr2:uid="{00000000-000D-0000-FFFF-FFFF00000000}"/>
  </bookViews>
  <sheets>
    <sheet name="Supplementary Table S1" sheetId="4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4" l="1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I13" i="4" l="1"/>
  <c r="I5" i="4"/>
  <c r="I11" i="4"/>
  <c r="J13" i="4"/>
  <c r="J10" i="4"/>
  <c r="J15" i="4"/>
  <c r="J17" i="4"/>
  <c r="I48" i="4"/>
  <c r="J48" i="4"/>
  <c r="I54" i="4"/>
  <c r="I55" i="4"/>
  <c r="J55" i="4"/>
  <c r="I56" i="4"/>
  <c r="J56" i="4"/>
  <c r="J12" i="4" l="1"/>
  <c r="I12" i="4"/>
  <c r="J54" i="4"/>
  <c r="I6" i="4"/>
  <c r="I53" i="4"/>
  <c r="J53" i="4"/>
  <c r="I52" i="4"/>
  <c r="J52" i="4"/>
  <c r="I51" i="4"/>
  <c r="J51" i="4"/>
  <c r="I50" i="4"/>
  <c r="J50" i="4"/>
  <c r="I49" i="4"/>
  <c r="J49" i="4"/>
  <c r="I47" i="4"/>
  <c r="J47" i="4"/>
  <c r="I46" i="4"/>
  <c r="J16" i="4"/>
  <c r="J46" i="4"/>
  <c r="I45" i="4"/>
  <c r="J45" i="4"/>
  <c r="I44" i="4"/>
  <c r="J44" i="4"/>
  <c r="I43" i="4"/>
  <c r="J43" i="4"/>
  <c r="I19" i="4"/>
  <c r="J19" i="4"/>
  <c r="I18" i="4"/>
  <c r="J18" i="4"/>
  <c r="I17" i="4"/>
  <c r="I16" i="4"/>
  <c r="I15" i="4"/>
  <c r="I14" i="4"/>
  <c r="J14" i="4"/>
  <c r="J11" i="4"/>
  <c r="I10" i="4"/>
  <c r="I9" i="4"/>
  <c r="J9" i="4"/>
  <c r="I8" i="4"/>
  <c r="J8" i="4"/>
  <c r="J5" i="4"/>
  <c r="J6" i="4"/>
  <c r="I7" i="4" l="1"/>
  <c r="J7" i="4"/>
</calcChain>
</file>

<file path=xl/sharedStrings.xml><?xml version="1.0" encoding="utf-8"?>
<sst xmlns="http://schemas.openxmlformats.org/spreadsheetml/2006/main" count="249" uniqueCount="103">
  <si>
    <t>Number of reads</t>
  </si>
  <si>
    <t>Size, Gbp.</t>
  </si>
  <si>
    <t>Number of contigs</t>
  </si>
  <si>
    <t>Assembly length, Mbp.</t>
  </si>
  <si>
    <t>N50, b.p.</t>
  </si>
  <si>
    <t>Maximum contig length, kbp.</t>
  </si>
  <si>
    <t>Sex</t>
  </si>
  <si>
    <t>Diagnosis</t>
  </si>
  <si>
    <t>Healthy</t>
  </si>
  <si>
    <t>F32.2</t>
  </si>
  <si>
    <t>F32.1</t>
  </si>
  <si>
    <t>F33.1</t>
  </si>
  <si>
    <t>F33.2</t>
  </si>
  <si>
    <t>F32.3</t>
  </si>
  <si>
    <t>F31.3</t>
  </si>
  <si>
    <t>F33.3</t>
  </si>
  <si>
    <t>CES-D</t>
  </si>
  <si>
    <t>GAD-7</t>
  </si>
  <si>
    <t>HAMD-17</t>
  </si>
  <si>
    <t>Male</t>
  </si>
  <si>
    <t>Female</t>
  </si>
  <si>
    <t>HC_1</t>
  </si>
  <si>
    <t>HC_2</t>
  </si>
  <si>
    <t>HC_3</t>
  </si>
  <si>
    <t>HC_4</t>
  </si>
  <si>
    <t>HC_5</t>
  </si>
  <si>
    <t>HC_6</t>
  </si>
  <si>
    <t>HC_7</t>
  </si>
  <si>
    <t>HC_8</t>
  </si>
  <si>
    <t>HC_9</t>
  </si>
  <si>
    <t>HC_10</t>
  </si>
  <si>
    <t>HC_11</t>
  </si>
  <si>
    <t>HC_12</t>
  </si>
  <si>
    <t>HC_13</t>
  </si>
  <si>
    <t>HC_14</t>
  </si>
  <si>
    <t>HC_15</t>
  </si>
  <si>
    <t>HC_16</t>
  </si>
  <si>
    <t>HC_17</t>
  </si>
  <si>
    <t>HC_18</t>
  </si>
  <si>
    <t>HC_19</t>
  </si>
  <si>
    <t>HC_20</t>
  </si>
  <si>
    <t>HC_21</t>
  </si>
  <si>
    <t>HC_22</t>
  </si>
  <si>
    <t>HC_23</t>
  </si>
  <si>
    <t>HC_24</t>
  </si>
  <si>
    <t>HC_25</t>
  </si>
  <si>
    <t>HC_27</t>
  </si>
  <si>
    <t>HC_28</t>
  </si>
  <si>
    <t>HC_30</t>
  </si>
  <si>
    <t>HC_31</t>
  </si>
  <si>
    <t>HC_32</t>
  </si>
  <si>
    <t>HC_33</t>
  </si>
  <si>
    <t>HC_34</t>
  </si>
  <si>
    <t>HC_35</t>
  </si>
  <si>
    <t>HC_36</t>
  </si>
  <si>
    <t>HC_37</t>
  </si>
  <si>
    <t>HC_38</t>
  </si>
  <si>
    <t>HC_39</t>
  </si>
  <si>
    <t>HC_40</t>
  </si>
  <si>
    <t>Volunteer's parameters</t>
  </si>
  <si>
    <t>Assembly Parameters</t>
  </si>
  <si>
    <t>Age, y.o.</t>
  </si>
  <si>
    <t>Sequence parameters after trimming</t>
  </si>
  <si>
    <t>BMI, kg/m2</t>
  </si>
  <si>
    <t>-</t>
  </si>
  <si>
    <t>Sample id</t>
  </si>
  <si>
    <t>Supplementary Table S1. Parameters of metagenomic samples after trimming and decontamination and their assemblies.</t>
  </si>
  <si>
    <t>PwD_2</t>
  </si>
  <si>
    <t>PwD_3</t>
  </si>
  <si>
    <t>PwD_4</t>
  </si>
  <si>
    <t>PwD_5</t>
  </si>
  <si>
    <t>PwD_6</t>
  </si>
  <si>
    <t>PwD_7</t>
  </si>
  <si>
    <t>PwD_8</t>
  </si>
  <si>
    <t>PwD_9</t>
  </si>
  <si>
    <t>PwD_10</t>
  </si>
  <si>
    <t>PwD_11</t>
  </si>
  <si>
    <t>PwD_12</t>
  </si>
  <si>
    <t>PwD_13</t>
  </si>
  <si>
    <t>PwD_14</t>
  </si>
  <si>
    <t>PwD_15</t>
  </si>
  <si>
    <t>PwD_16</t>
  </si>
  <si>
    <t>PwD_17</t>
  </si>
  <si>
    <t>PwD_18</t>
  </si>
  <si>
    <t>PwD_19</t>
  </si>
  <si>
    <t>PwD_20</t>
  </si>
  <si>
    <t>PwD_21</t>
  </si>
  <si>
    <t>PwD_22</t>
  </si>
  <si>
    <t>PwD_23</t>
  </si>
  <si>
    <t>PwD_24</t>
  </si>
  <si>
    <t>PwD_25</t>
  </si>
  <si>
    <t>PwD_26</t>
  </si>
  <si>
    <t>PwD_27</t>
  </si>
  <si>
    <t>PwD_28</t>
  </si>
  <si>
    <t>PwD_29</t>
  </si>
  <si>
    <t>PwD_30</t>
  </si>
  <si>
    <t>PwD_31</t>
  </si>
  <si>
    <t>PwD_32</t>
  </si>
  <si>
    <t>PwD_33</t>
  </si>
  <si>
    <t>PwD_34</t>
  </si>
  <si>
    <t>PwD_35</t>
  </si>
  <si>
    <t>PwD_36</t>
  </si>
  <si>
    <t>PwD_37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</si>
</sst>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0" fontId="2" fillId="0" borderId="1" xfId="0" applyNumberFormat="1" applyFont="1" applyFill="1" applyBorder="1"/>
    <xf numFmtId="2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2" applyFont="1" applyFill="1" applyBorder="1"/>
    <xf numFmtId="0" fontId="2" fillId="0" borderId="1" xfId="3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6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tabSelected="1" workbookViewId="0"/>
  </sheetViews>
  <sheetFormatPr defaultRowHeight="14.5" x14ac:dyDescent="0.35"/>
  <cols>
    <col min="1" max="1" width="14" customWidth="1"/>
    <col min="2" max="2" width="8" bestFit="1" customWidth="1"/>
    <col min="3" max="3" width="6.81640625" bestFit="1" customWidth="1"/>
    <col min="4" max="4" width="8.7265625" style="1" bestFit="1" customWidth="1"/>
    <col min="5" max="5" width="5.7265625" style="1" bestFit="1" customWidth="1"/>
    <col min="6" max="6" width="6.1796875" style="1" bestFit="1" customWidth="1"/>
    <col min="7" max="8" width="8.90625" bestFit="1" customWidth="1"/>
    <col min="9" max="9" width="9" bestFit="1" customWidth="1"/>
    <col min="10" max="10" width="15" bestFit="1" customWidth="1"/>
    <col min="11" max="11" width="16.26953125" bestFit="1" customWidth="1"/>
    <col min="12" max="12" width="20.08984375" bestFit="1" customWidth="1"/>
    <col min="13" max="13" width="8.36328125" bestFit="1" customWidth="1"/>
    <col min="14" max="14" width="25.6328125" bestFit="1" customWidth="1"/>
  </cols>
  <sheetData>
    <row r="1" spans="1:14" x14ac:dyDescent="0.35">
      <c r="A1" s="1" t="s">
        <v>66</v>
      </c>
      <c r="B1" s="2"/>
      <c r="C1" s="2"/>
      <c r="D1" s="2"/>
      <c r="E1" s="2"/>
    </row>
    <row r="2" spans="1:14" x14ac:dyDescent="0.35">
      <c r="F2" s="3"/>
    </row>
    <row r="3" spans="1:14" ht="29" customHeight="1" x14ac:dyDescent="0.35">
      <c r="A3" s="25" t="s">
        <v>65</v>
      </c>
      <c r="B3" s="22" t="s">
        <v>59</v>
      </c>
      <c r="C3" s="23"/>
      <c r="D3" s="23"/>
      <c r="E3" s="23"/>
      <c r="F3" s="23"/>
      <c r="G3" s="23"/>
      <c r="H3" s="24"/>
      <c r="I3" s="26" t="s">
        <v>62</v>
      </c>
      <c r="J3" s="26"/>
      <c r="K3" s="21" t="s">
        <v>60</v>
      </c>
      <c r="L3" s="21"/>
      <c r="M3" s="21"/>
      <c r="N3" s="21"/>
    </row>
    <row r="4" spans="1:14" ht="29" x14ac:dyDescent="0.35">
      <c r="A4" s="25"/>
      <c r="B4" s="19" t="s">
        <v>61</v>
      </c>
      <c r="C4" s="19" t="s">
        <v>6</v>
      </c>
      <c r="D4" s="19" t="s">
        <v>7</v>
      </c>
      <c r="E4" s="17" t="s">
        <v>16</v>
      </c>
      <c r="F4" s="17" t="s">
        <v>17</v>
      </c>
      <c r="G4" s="17" t="s">
        <v>18</v>
      </c>
      <c r="H4" s="17" t="s">
        <v>63</v>
      </c>
      <c r="I4" s="19" t="s">
        <v>1</v>
      </c>
      <c r="J4" s="19" t="s">
        <v>0</v>
      </c>
      <c r="K4" s="20" t="s">
        <v>2</v>
      </c>
      <c r="L4" s="20" t="s">
        <v>3</v>
      </c>
      <c r="M4" s="20" t="s">
        <v>4</v>
      </c>
      <c r="N4" s="20" t="s">
        <v>5</v>
      </c>
    </row>
    <row r="5" spans="1:14" x14ac:dyDescent="0.35">
      <c r="A5" s="7" t="s">
        <v>21</v>
      </c>
      <c r="B5" s="8">
        <v>45</v>
      </c>
      <c r="C5" s="7" t="s">
        <v>19</v>
      </c>
      <c r="D5" s="6" t="s">
        <v>8</v>
      </c>
      <c r="E5" s="6">
        <v>17</v>
      </c>
      <c r="F5" s="6">
        <v>10</v>
      </c>
      <c r="G5" s="6">
        <v>8</v>
      </c>
      <c r="H5" s="6">
        <v>28</v>
      </c>
      <c r="I5" s="5">
        <f>(4553135163+4424868952)/1000000000</f>
        <v>8.9780041149999992</v>
      </c>
      <c r="J5" s="6">
        <f>38617150*2</f>
        <v>77234300</v>
      </c>
      <c r="K5" s="4">
        <v>611321</v>
      </c>
      <c r="L5" s="4">
        <v>475.23</v>
      </c>
      <c r="M5" s="4">
        <v>1415</v>
      </c>
      <c r="N5" s="4">
        <v>548.45000000000005</v>
      </c>
    </row>
    <row r="6" spans="1:14" x14ac:dyDescent="0.35">
      <c r="A6" s="7" t="s">
        <v>22</v>
      </c>
      <c r="B6" s="8">
        <v>44</v>
      </c>
      <c r="C6" s="7" t="s">
        <v>19</v>
      </c>
      <c r="D6" s="6" t="s">
        <v>8</v>
      </c>
      <c r="E6" s="9">
        <v>10</v>
      </c>
      <c r="F6" s="9">
        <v>4</v>
      </c>
      <c r="G6" s="9">
        <v>5</v>
      </c>
      <c r="H6" s="9">
        <v>30</v>
      </c>
      <c r="I6" s="5">
        <f>(4074323451+3962721973)/1000000000</f>
        <v>8.0370454240000004</v>
      </c>
      <c r="J6" s="6">
        <f>34222082*2</f>
        <v>68444164</v>
      </c>
      <c r="K6" s="4">
        <v>547126</v>
      </c>
      <c r="L6" s="4">
        <v>414.53</v>
      </c>
      <c r="M6" s="4">
        <v>1232</v>
      </c>
      <c r="N6" s="4">
        <v>648.94000000000005</v>
      </c>
    </row>
    <row r="7" spans="1:14" x14ac:dyDescent="0.35">
      <c r="A7" s="7" t="s">
        <v>23</v>
      </c>
      <c r="B7" s="8">
        <v>18</v>
      </c>
      <c r="C7" s="7" t="s">
        <v>19</v>
      </c>
      <c r="D7" s="6" t="s">
        <v>8</v>
      </c>
      <c r="E7" s="6">
        <v>0</v>
      </c>
      <c r="F7" s="6">
        <v>0</v>
      </c>
      <c r="G7" s="6">
        <v>0</v>
      </c>
      <c r="H7" s="18" t="s">
        <v>64</v>
      </c>
      <c r="I7" s="5">
        <f>(3944424932+4087432460)/1000000000</f>
        <v>8.0318573919999992</v>
      </c>
      <c r="J7" s="6">
        <f>33794409*2</f>
        <v>67588818</v>
      </c>
      <c r="K7" s="4">
        <v>235013</v>
      </c>
      <c r="L7" s="4">
        <v>230.52</v>
      </c>
      <c r="M7" s="4">
        <v>2571</v>
      </c>
      <c r="N7" s="4">
        <v>421.6</v>
      </c>
    </row>
    <row r="8" spans="1:14" x14ac:dyDescent="0.35">
      <c r="A8" s="7" t="s">
        <v>24</v>
      </c>
      <c r="B8" s="8">
        <v>33</v>
      </c>
      <c r="C8" s="7" t="s">
        <v>19</v>
      </c>
      <c r="D8" s="6" t="s">
        <v>8</v>
      </c>
      <c r="E8" s="9">
        <v>1</v>
      </c>
      <c r="F8" s="9">
        <v>3</v>
      </c>
      <c r="G8" s="9">
        <v>4</v>
      </c>
      <c r="H8" s="9">
        <v>26</v>
      </c>
      <c r="I8" s="5">
        <f>(3963066805+3841541400)/1000000000</f>
        <v>7.8046082050000001</v>
      </c>
      <c r="J8" s="6">
        <f>33104085*2</f>
        <v>66208170</v>
      </c>
      <c r="K8" s="4">
        <v>343919</v>
      </c>
      <c r="L8" s="4">
        <v>326.67</v>
      </c>
      <c r="M8" s="4">
        <v>2287</v>
      </c>
      <c r="N8" s="4">
        <v>525.38</v>
      </c>
    </row>
    <row r="9" spans="1:14" x14ac:dyDescent="0.35">
      <c r="A9" s="7" t="s">
        <v>25</v>
      </c>
      <c r="B9" s="8">
        <v>24</v>
      </c>
      <c r="C9" s="7" t="s">
        <v>20</v>
      </c>
      <c r="D9" s="6" t="s">
        <v>8</v>
      </c>
      <c r="E9" s="6">
        <v>11</v>
      </c>
      <c r="F9" s="6">
        <v>2</v>
      </c>
      <c r="G9" s="10">
        <v>0</v>
      </c>
      <c r="H9" s="18">
        <v>22</v>
      </c>
      <c r="I9" s="5">
        <f>(3825617051+3704536516)/1000000000</f>
        <v>7.5301535670000002</v>
      </c>
      <c r="J9" s="6">
        <f>32200400*2</f>
        <v>64400800</v>
      </c>
      <c r="K9" s="4">
        <v>230896</v>
      </c>
      <c r="L9" s="4">
        <v>221.66</v>
      </c>
      <c r="M9" s="4">
        <v>2952</v>
      </c>
      <c r="N9" s="4">
        <v>488.86</v>
      </c>
    </row>
    <row r="10" spans="1:14" x14ac:dyDescent="0.35">
      <c r="A10" s="7" t="s">
        <v>26</v>
      </c>
      <c r="B10" s="8">
        <v>24</v>
      </c>
      <c r="C10" s="7" t="s">
        <v>20</v>
      </c>
      <c r="D10" s="6" t="s">
        <v>8</v>
      </c>
      <c r="E10" s="9">
        <v>9</v>
      </c>
      <c r="F10" s="9">
        <v>3</v>
      </c>
      <c r="G10" s="9">
        <v>3</v>
      </c>
      <c r="H10" s="9">
        <v>22</v>
      </c>
      <c r="I10" s="5">
        <f>(3838011297+3711127616)/1000000000</f>
        <v>7.5491389130000002</v>
      </c>
      <c r="J10" s="6">
        <f>31769395*2</f>
        <v>63538790</v>
      </c>
      <c r="K10" s="4">
        <v>500259</v>
      </c>
      <c r="L10" s="4">
        <v>395.22</v>
      </c>
      <c r="M10" s="4">
        <v>1503</v>
      </c>
      <c r="N10" s="4">
        <v>606.79999999999995</v>
      </c>
    </row>
    <row r="11" spans="1:14" x14ac:dyDescent="0.35">
      <c r="A11" s="7" t="s">
        <v>27</v>
      </c>
      <c r="B11" s="8">
        <v>24</v>
      </c>
      <c r="C11" s="7" t="s">
        <v>19</v>
      </c>
      <c r="D11" s="6" t="s">
        <v>8</v>
      </c>
      <c r="E11" s="9">
        <v>5</v>
      </c>
      <c r="F11" s="9">
        <v>1</v>
      </c>
      <c r="G11" s="9">
        <v>3</v>
      </c>
      <c r="H11" s="9">
        <v>23</v>
      </c>
      <c r="I11" s="5">
        <f>(3690360511+3556273302)/1000000000</f>
        <v>7.2466338129999999</v>
      </c>
      <c r="J11" s="6">
        <f>30900585*2</f>
        <v>61801170</v>
      </c>
      <c r="K11" s="4">
        <v>417686</v>
      </c>
      <c r="L11" s="4">
        <v>326.72000000000003</v>
      </c>
      <c r="M11" s="4">
        <v>1381</v>
      </c>
      <c r="N11" s="4">
        <v>685.3</v>
      </c>
    </row>
    <row r="12" spans="1:14" x14ac:dyDescent="0.35">
      <c r="A12" s="7" t="s">
        <v>28</v>
      </c>
      <c r="B12" s="8">
        <v>29</v>
      </c>
      <c r="C12" s="7" t="s">
        <v>20</v>
      </c>
      <c r="D12" s="6" t="s">
        <v>8</v>
      </c>
      <c r="E12" s="9">
        <v>6</v>
      </c>
      <c r="F12" s="9">
        <v>2</v>
      </c>
      <c r="G12" s="9">
        <v>2</v>
      </c>
      <c r="H12" s="9">
        <v>19</v>
      </c>
      <c r="I12" s="5">
        <f>(3913880288+3556273302)/1000000000</f>
        <v>7.4701535899999998</v>
      </c>
      <c r="J12" s="6">
        <f>32842743*2</f>
        <v>65685486</v>
      </c>
      <c r="K12" s="4">
        <v>408586</v>
      </c>
      <c r="L12" s="4">
        <v>349.88</v>
      </c>
      <c r="M12" s="4">
        <v>1949</v>
      </c>
      <c r="N12" s="4">
        <v>591.12</v>
      </c>
    </row>
    <row r="13" spans="1:14" x14ac:dyDescent="0.35">
      <c r="A13" s="7" t="s">
        <v>29</v>
      </c>
      <c r="B13" s="8">
        <v>25</v>
      </c>
      <c r="C13" s="7" t="s">
        <v>20</v>
      </c>
      <c r="D13" s="6" t="s">
        <v>8</v>
      </c>
      <c r="E13" s="9">
        <v>5</v>
      </c>
      <c r="F13" s="9">
        <v>3</v>
      </c>
      <c r="G13" s="9">
        <v>3</v>
      </c>
      <c r="H13" s="9">
        <v>18</v>
      </c>
      <c r="I13" s="5">
        <f>(3530707484+3448175632)/1000000000</f>
        <v>6.9788831160000004</v>
      </c>
      <c r="J13" s="6">
        <f>31090774*2</f>
        <v>62181548</v>
      </c>
      <c r="K13" s="4">
        <v>271082</v>
      </c>
      <c r="L13" s="4">
        <v>236.37</v>
      </c>
      <c r="M13" s="4">
        <v>1969</v>
      </c>
      <c r="N13" s="4">
        <v>328.64</v>
      </c>
    </row>
    <row r="14" spans="1:14" x14ac:dyDescent="0.35">
      <c r="A14" s="7" t="s">
        <v>30</v>
      </c>
      <c r="B14" s="8">
        <v>25</v>
      </c>
      <c r="C14" s="7" t="s">
        <v>20</v>
      </c>
      <c r="D14" s="6" t="s">
        <v>8</v>
      </c>
      <c r="E14" s="9">
        <v>0</v>
      </c>
      <c r="F14" s="9">
        <v>2</v>
      </c>
      <c r="G14" s="9">
        <v>3</v>
      </c>
      <c r="H14" s="9">
        <v>23</v>
      </c>
      <c r="I14" s="5">
        <f>(3634938631+3721480332)/1000000000</f>
        <v>7.3564189630000003</v>
      </c>
      <c r="J14" s="6">
        <f>32837131*2</f>
        <v>65674262</v>
      </c>
      <c r="K14" s="4">
        <v>484405</v>
      </c>
      <c r="L14" s="4">
        <v>373.48</v>
      </c>
      <c r="M14" s="4">
        <v>1327</v>
      </c>
      <c r="N14" s="4">
        <v>369.46</v>
      </c>
    </row>
    <row r="15" spans="1:14" x14ac:dyDescent="0.35">
      <c r="A15" s="7" t="s">
        <v>31</v>
      </c>
      <c r="B15" s="8">
        <v>24</v>
      </c>
      <c r="C15" s="7" t="s">
        <v>20</v>
      </c>
      <c r="D15" s="6" t="s">
        <v>8</v>
      </c>
      <c r="E15" s="9">
        <v>8</v>
      </c>
      <c r="F15" s="9">
        <v>0</v>
      </c>
      <c r="G15" s="9">
        <v>4</v>
      </c>
      <c r="H15" s="9">
        <v>19</v>
      </c>
      <c r="I15" s="5">
        <f>(5678848832+1)/1000000000</f>
        <v>5.678848833</v>
      </c>
      <c r="J15" s="6">
        <f>47598706*2</f>
        <v>95197412</v>
      </c>
      <c r="K15" s="4">
        <v>406102</v>
      </c>
      <c r="L15" s="4">
        <v>368.75</v>
      </c>
      <c r="M15" s="4">
        <v>2182</v>
      </c>
      <c r="N15" s="4">
        <v>1032.1199999999999</v>
      </c>
    </row>
    <row r="16" spans="1:14" x14ac:dyDescent="0.35">
      <c r="A16" s="7" t="s">
        <v>32</v>
      </c>
      <c r="B16" s="8">
        <v>25</v>
      </c>
      <c r="C16" s="7" t="s">
        <v>20</v>
      </c>
      <c r="D16" s="6" t="s">
        <v>8</v>
      </c>
      <c r="E16" s="9">
        <v>3</v>
      </c>
      <c r="F16" s="9">
        <v>0</v>
      </c>
      <c r="G16" s="10">
        <v>0</v>
      </c>
      <c r="H16" s="9">
        <v>22</v>
      </c>
      <c r="I16" s="5">
        <f>(5375764195+1)/1000000000</f>
        <v>5.3757641960000004</v>
      </c>
      <c r="J16" s="6">
        <f>45593148*2</f>
        <v>91186296</v>
      </c>
      <c r="K16" s="4">
        <v>603367</v>
      </c>
      <c r="L16" s="4">
        <v>494.35</v>
      </c>
      <c r="M16" s="4">
        <v>1733</v>
      </c>
      <c r="N16" s="4">
        <v>684.6</v>
      </c>
    </row>
    <row r="17" spans="1:14" x14ac:dyDescent="0.35">
      <c r="A17" s="7" t="s">
        <v>33</v>
      </c>
      <c r="B17" s="8">
        <v>30</v>
      </c>
      <c r="C17" s="7" t="s">
        <v>19</v>
      </c>
      <c r="D17" s="6" t="s">
        <v>8</v>
      </c>
      <c r="E17" s="9">
        <v>11</v>
      </c>
      <c r="F17" s="9">
        <v>3</v>
      </c>
      <c r="G17" s="9">
        <v>5</v>
      </c>
      <c r="H17" s="9">
        <v>27</v>
      </c>
      <c r="I17" s="5">
        <f>(5661258092+5454909901)/1000000000</f>
        <v>11.116167992999999</v>
      </c>
      <c r="J17" s="6">
        <f>47340985*2</f>
        <v>94681970</v>
      </c>
      <c r="K17" s="4">
        <v>645842</v>
      </c>
      <c r="L17" s="4">
        <v>506.22</v>
      </c>
      <c r="M17" s="4">
        <v>1476</v>
      </c>
      <c r="N17" s="4">
        <v>801.76</v>
      </c>
    </row>
    <row r="18" spans="1:14" x14ac:dyDescent="0.35">
      <c r="A18" s="7" t="s">
        <v>34</v>
      </c>
      <c r="B18" s="8">
        <v>45</v>
      </c>
      <c r="C18" s="7" t="s">
        <v>20</v>
      </c>
      <c r="D18" s="6" t="s">
        <v>8</v>
      </c>
      <c r="E18" s="9">
        <v>13</v>
      </c>
      <c r="F18" s="9">
        <v>3</v>
      </c>
      <c r="G18" s="9">
        <v>2</v>
      </c>
      <c r="H18" s="9">
        <v>21</v>
      </c>
      <c r="I18" s="5">
        <f>(5277788994+5121218301)/1000000000</f>
        <v>10.399007295000001</v>
      </c>
      <c r="J18" s="6">
        <f>44846068*2</f>
        <v>89692136</v>
      </c>
      <c r="K18" s="4">
        <v>349016</v>
      </c>
      <c r="L18" s="4">
        <v>336.27</v>
      </c>
      <c r="M18" s="4">
        <v>3588</v>
      </c>
      <c r="N18" s="4">
        <v>776.21</v>
      </c>
    </row>
    <row r="19" spans="1:14" x14ac:dyDescent="0.35">
      <c r="A19" s="7" t="s">
        <v>35</v>
      </c>
      <c r="B19" s="8">
        <v>24</v>
      </c>
      <c r="C19" s="7" t="s">
        <v>20</v>
      </c>
      <c r="D19" s="6" t="s">
        <v>8</v>
      </c>
      <c r="E19" s="10">
        <v>0</v>
      </c>
      <c r="F19" s="10">
        <v>0</v>
      </c>
      <c r="G19" s="10">
        <v>0</v>
      </c>
      <c r="H19" s="9">
        <v>21</v>
      </c>
      <c r="I19" s="5">
        <f>(5134833759+5002097639)/1000000000</f>
        <v>10.136931398</v>
      </c>
      <c r="J19" s="6">
        <f>44428029*2</f>
        <v>88856058</v>
      </c>
      <c r="K19" s="4">
        <v>682631</v>
      </c>
      <c r="L19" s="4">
        <v>511.15</v>
      </c>
      <c r="M19" s="4">
        <v>1236</v>
      </c>
      <c r="N19" s="4">
        <v>696.29</v>
      </c>
    </row>
    <row r="20" spans="1:14" x14ac:dyDescent="0.35">
      <c r="A20" s="7" t="s">
        <v>36</v>
      </c>
      <c r="B20" s="8">
        <v>25</v>
      </c>
      <c r="C20" s="7" t="s">
        <v>19</v>
      </c>
      <c r="D20" s="6" t="s">
        <v>8</v>
      </c>
      <c r="E20" s="9">
        <v>7</v>
      </c>
      <c r="F20" s="9">
        <v>1</v>
      </c>
      <c r="G20" s="10">
        <v>0</v>
      </c>
      <c r="H20" s="9">
        <v>25</v>
      </c>
      <c r="I20" s="5">
        <f>2*2364132225/1000000000</f>
        <v>4.7282644500000002</v>
      </c>
      <c r="J20" s="11">
        <f>2*37164231</f>
        <v>74328462</v>
      </c>
      <c r="K20" s="4">
        <v>591147</v>
      </c>
      <c r="L20" s="4">
        <v>445.28</v>
      </c>
      <c r="M20" s="4">
        <v>1299</v>
      </c>
      <c r="N20" s="4">
        <v>636.53</v>
      </c>
    </row>
    <row r="21" spans="1:14" x14ac:dyDescent="0.35">
      <c r="A21" s="7" t="s">
        <v>37</v>
      </c>
      <c r="B21" s="8">
        <v>40</v>
      </c>
      <c r="C21" s="7" t="s">
        <v>19</v>
      </c>
      <c r="D21" s="6" t="s">
        <v>8</v>
      </c>
      <c r="E21" s="9">
        <v>14</v>
      </c>
      <c r="F21" s="9">
        <v>5</v>
      </c>
      <c r="G21" s="9">
        <v>2</v>
      </c>
      <c r="H21" s="9">
        <v>22</v>
      </c>
      <c r="I21" s="5">
        <f>2*2629737066/1000000000</f>
        <v>5.2594741320000002</v>
      </c>
      <c r="J21" s="11">
        <f>2*41339903</f>
        <v>82679806</v>
      </c>
      <c r="K21" s="4">
        <v>323539</v>
      </c>
      <c r="L21" s="4">
        <v>283.31</v>
      </c>
      <c r="M21" s="4">
        <v>2108</v>
      </c>
      <c r="N21" s="4">
        <v>541.45000000000005</v>
      </c>
    </row>
    <row r="22" spans="1:14" x14ac:dyDescent="0.35">
      <c r="A22" s="7" t="s">
        <v>38</v>
      </c>
      <c r="B22" s="8">
        <v>50</v>
      </c>
      <c r="C22" s="7" t="s">
        <v>20</v>
      </c>
      <c r="D22" s="6" t="s">
        <v>8</v>
      </c>
      <c r="E22" s="9">
        <v>3</v>
      </c>
      <c r="F22" s="9">
        <v>0</v>
      </c>
      <c r="G22" s="9">
        <v>1</v>
      </c>
      <c r="H22" s="9">
        <v>26</v>
      </c>
      <c r="I22" s="5">
        <f>2*2592525343/1000000000</f>
        <v>5.1850506860000003</v>
      </c>
      <c r="J22" s="11">
        <f>2*40754687</f>
        <v>81509374</v>
      </c>
      <c r="K22" s="4">
        <v>415884</v>
      </c>
      <c r="L22" s="4">
        <v>341.22</v>
      </c>
      <c r="M22" s="4">
        <v>1638</v>
      </c>
      <c r="N22" s="4">
        <v>1130.97</v>
      </c>
    </row>
    <row r="23" spans="1:14" x14ac:dyDescent="0.35">
      <c r="A23" s="7" t="s">
        <v>39</v>
      </c>
      <c r="B23" s="8">
        <v>22</v>
      </c>
      <c r="C23" s="7" t="s">
        <v>19</v>
      </c>
      <c r="D23" s="6" t="s">
        <v>8</v>
      </c>
      <c r="E23" s="9">
        <v>5</v>
      </c>
      <c r="F23" s="9">
        <v>0</v>
      </c>
      <c r="G23" s="9">
        <v>1</v>
      </c>
      <c r="H23" s="9">
        <v>22</v>
      </c>
      <c r="I23" s="5">
        <f>2*2390195680/1000000000</f>
        <v>4.7803913600000003</v>
      </c>
      <c r="J23" s="11">
        <f>2*37574154</f>
        <v>75148308</v>
      </c>
      <c r="K23" s="4">
        <v>253687</v>
      </c>
      <c r="L23" s="4">
        <v>262.82</v>
      </c>
      <c r="M23" s="4">
        <v>4024</v>
      </c>
      <c r="N23" s="4">
        <v>1197.3</v>
      </c>
    </row>
    <row r="24" spans="1:14" x14ac:dyDescent="0.35">
      <c r="A24" s="7" t="s">
        <v>40</v>
      </c>
      <c r="B24" s="8">
        <v>21</v>
      </c>
      <c r="C24" s="7" t="s">
        <v>19</v>
      </c>
      <c r="D24" s="6" t="s">
        <v>8</v>
      </c>
      <c r="E24" s="6">
        <v>0</v>
      </c>
      <c r="F24" s="6">
        <v>0</v>
      </c>
      <c r="G24" s="6">
        <v>0</v>
      </c>
      <c r="H24" s="9">
        <v>30</v>
      </c>
      <c r="I24" s="5">
        <f>2*2534553581/1000000000</f>
        <v>5.0691071619999999</v>
      </c>
      <c r="J24" s="11">
        <f>2*39843449</f>
        <v>79686898</v>
      </c>
      <c r="K24" s="4">
        <v>493086</v>
      </c>
      <c r="L24" s="4">
        <v>402.74</v>
      </c>
      <c r="M24" s="4">
        <v>1654</v>
      </c>
      <c r="N24" s="4">
        <v>331.69</v>
      </c>
    </row>
    <row r="25" spans="1:14" x14ac:dyDescent="0.35">
      <c r="A25" s="7" t="s">
        <v>41</v>
      </c>
      <c r="B25" s="8">
        <v>38</v>
      </c>
      <c r="C25" s="7" t="s">
        <v>20</v>
      </c>
      <c r="D25" s="6" t="s">
        <v>8</v>
      </c>
      <c r="E25" s="9">
        <v>12</v>
      </c>
      <c r="F25" s="9">
        <v>4</v>
      </c>
      <c r="G25" s="9">
        <v>2</v>
      </c>
      <c r="H25" s="9">
        <v>20</v>
      </c>
      <c r="I25" s="5">
        <f>2*2652805585/1000000000</f>
        <v>5.3056111699999997</v>
      </c>
      <c r="J25" s="11">
        <f>2*41702525</f>
        <v>83405050</v>
      </c>
      <c r="K25" s="4">
        <v>507516</v>
      </c>
      <c r="L25" s="4">
        <v>424.31</v>
      </c>
      <c r="M25" s="4">
        <v>1602</v>
      </c>
      <c r="N25" s="4">
        <v>752.4</v>
      </c>
    </row>
    <row r="26" spans="1:14" x14ac:dyDescent="0.35">
      <c r="A26" s="7" t="s">
        <v>42</v>
      </c>
      <c r="B26" s="8">
        <v>39</v>
      </c>
      <c r="C26" s="7" t="s">
        <v>19</v>
      </c>
      <c r="D26" s="6" t="s">
        <v>8</v>
      </c>
      <c r="E26" s="9">
        <v>7</v>
      </c>
      <c r="F26" s="9">
        <v>3</v>
      </c>
      <c r="G26" s="9">
        <v>2</v>
      </c>
      <c r="H26" s="9">
        <v>25</v>
      </c>
      <c r="I26" s="5">
        <f>2*2651916594/1000000000</f>
        <v>5.3038331879999996</v>
      </c>
      <c r="J26" s="11">
        <f>2*41688272</f>
        <v>83376544</v>
      </c>
      <c r="K26" s="4">
        <v>697287</v>
      </c>
      <c r="L26" s="4">
        <v>532.52</v>
      </c>
      <c r="M26" s="4">
        <v>1295</v>
      </c>
      <c r="N26" s="4">
        <v>552.4</v>
      </c>
    </row>
    <row r="27" spans="1:14" x14ac:dyDescent="0.35">
      <c r="A27" s="7" t="s">
        <v>43</v>
      </c>
      <c r="B27" s="8">
        <v>31</v>
      </c>
      <c r="C27" s="7" t="s">
        <v>20</v>
      </c>
      <c r="D27" s="6" t="s">
        <v>8</v>
      </c>
      <c r="E27" s="6">
        <v>0</v>
      </c>
      <c r="F27" s="6">
        <v>0</v>
      </c>
      <c r="G27" s="6">
        <v>0</v>
      </c>
      <c r="H27" s="18" t="s">
        <v>64</v>
      </c>
      <c r="I27" s="5">
        <f>2*2580612159/1000000000</f>
        <v>5.1612243180000004</v>
      </c>
      <c r="J27" s="11">
        <f>2*40567510</f>
        <v>81135020</v>
      </c>
      <c r="K27" s="4">
        <v>697287</v>
      </c>
      <c r="L27" s="4">
        <v>532.52</v>
      </c>
      <c r="M27" s="4">
        <v>1295</v>
      </c>
      <c r="N27" s="4">
        <v>552.4</v>
      </c>
    </row>
    <row r="28" spans="1:14" x14ac:dyDescent="0.35">
      <c r="A28" s="12" t="s">
        <v>44</v>
      </c>
      <c r="B28" s="8">
        <v>35</v>
      </c>
      <c r="C28" s="7" t="s">
        <v>19</v>
      </c>
      <c r="D28" s="6" t="s">
        <v>8</v>
      </c>
      <c r="E28" s="6">
        <v>0</v>
      </c>
      <c r="F28" s="6">
        <v>0</v>
      </c>
      <c r="G28" s="6">
        <v>0</v>
      </c>
      <c r="H28" s="18" t="s">
        <v>64</v>
      </c>
      <c r="I28" s="5">
        <f>2*2385199933/1000000000</f>
        <v>4.770399866</v>
      </c>
      <c r="J28" s="11">
        <f>2*37495429</f>
        <v>74990858</v>
      </c>
      <c r="K28" s="4">
        <v>492822</v>
      </c>
      <c r="L28" s="4">
        <v>404.44</v>
      </c>
      <c r="M28" s="4">
        <v>1593</v>
      </c>
      <c r="N28" s="4">
        <v>286.54000000000002</v>
      </c>
    </row>
    <row r="29" spans="1:14" x14ac:dyDescent="0.35">
      <c r="A29" s="7" t="s">
        <v>45</v>
      </c>
      <c r="B29" s="8">
        <v>40</v>
      </c>
      <c r="C29" s="7" t="s">
        <v>19</v>
      </c>
      <c r="D29" s="6" t="s">
        <v>8</v>
      </c>
      <c r="E29" s="6">
        <v>0</v>
      </c>
      <c r="F29" s="6">
        <v>0</v>
      </c>
      <c r="G29" s="6">
        <v>0</v>
      </c>
      <c r="H29" s="18" t="s">
        <v>64</v>
      </c>
      <c r="I29" s="5">
        <f>2*2713763412/1000000000</f>
        <v>5.4275268240000001</v>
      </c>
      <c r="J29" s="11">
        <f>2*42661007</f>
        <v>85322014</v>
      </c>
      <c r="K29" s="4">
        <v>88313</v>
      </c>
      <c r="L29" s="4">
        <v>133.91999999999999</v>
      </c>
      <c r="M29" s="4">
        <v>19927</v>
      </c>
      <c r="N29" s="4">
        <v>839.17</v>
      </c>
    </row>
    <row r="30" spans="1:14" x14ac:dyDescent="0.35">
      <c r="A30" s="7" t="s">
        <v>46</v>
      </c>
      <c r="B30" s="8">
        <v>28</v>
      </c>
      <c r="C30" s="7" t="s">
        <v>19</v>
      </c>
      <c r="D30" s="6" t="s">
        <v>8</v>
      </c>
      <c r="E30" s="6">
        <v>0</v>
      </c>
      <c r="F30" s="6">
        <v>0</v>
      </c>
      <c r="G30" s="6">
        <v>0</v>
      </c>
      <c r="H30" s="18" t="s">
        <v>64</v>
      </c>
      <c r="I30" s="5">
        <f>2*2484925779/1000000000</f>
        <v>4.9698515580000002</v>
      </c>
      <c r="J30" s="11">
        <f>2*39063205</f>
        <v>78126410</v>
      </c>
      <c r="K30" s="4">
        <v>570713</v>
      </c>
      <c r="L30" s="4">
        <v>444.58</v>
      </c>
      <c r="M30" s="4">
        <v>1425</v>
      </c>
      <c r="N30" s="4">
        <v>714.98</v>
      </c>
    </row>
    <row r="31" spans="1:14" x14ac:dyDescent="0.35">
      <c r="A31" s="7" t="s">
        <v>47</v>
      </c>
      <c r="B31" s="8">
        <v>37</v>
      </c>
      <c r="C31" s="7" t="s">
        <v>20</v>
      </c>
      <c r="D31" s="6" t="s">
        <v>8</v>
      </c>
      <c r="E31" s="9">
        <v>13</v>
      </c>
      <c r="F31" s="9">
        <v>4</v>
      </c>
      <c r="G31" s="10">
        <v>0</v>
      </c>
      <c r="H31" s="10">
        <v>25</v>
      </c>
      <c r="I31" s="5">
        <f>2*2554290209/1000000000</f>
        <v>5.1085804179999998</v>
      </c>
      <c r="J31" s="11">
        <f>2*40153745</f>
        <v>80307490</v>
      </c>
      <c r="K31" s="4">
        <v>399238</v>
      </c>
      <c r="L31" s="4">
        <v>340.23</v>
      </c>
      <c r="M31" s="4">
        <v>1817</v>
      </c>
      <c r="N31" s="4">
        <v>559.41999999999996</v>
      </c>
    </row>
    <row r="32" spans="1:14" x14ac:dyDescent="0.35">
      <c r="A32" s="7" t="s">
        <v>48</v>
      </c>
      <c r="B32" s="8">
        <v>20</v>
      </c>
      <c r="C32" s="7" t="s">
        <v>20</v>
      </c>
      <c r="D32" s="6" t="s">
        <v>8</v>
      </c>
      <c r="E32" s="9">
        <v>6</v>
      </c>
      <c r="F32" s="9">
        <v>2</v>
      </c>
      <c r="G32" s="9">
        <v>2</v>
      </c>
      <c r="H32" s="9">
        <v>19</v>
      </c>
      <c r="I32" s="5">
        <f>2*2471148701/1000000000</f>
        <v>4.9422974020000003</v>
      </c>
      <c r="J32" s="11">
        <f>2*38846738</f>
        <v>77693476</v>
      </c>
      <c r="K32" s="4">
        <v>369286</v>
      </c>
      <c r="L32" s="4">
        <v>340.98</v>
      </c>
      <c r="M32" s="4">
        <v>2237</v>
      </c>
      <c r="N32" s="4">
        <v>757.83</v>
      </c>
    </row>
    <row r="33" spans="1:14" x14ac:dyDescent="0.35">
      <c r="A33" s="7" t="s">
        <v>49</v>
      </c>
      <c r="B33" s="8">
        <v>40</v>
      </c>
      <c r="C33" s="7" t="s">
        <v>19</v>
      </c>
      <c r="D33" s="6" t="s">
        <v>8</v>
      </c>
      <c r="E33" s="9">
        <v>3</v>
      </c>
      <c r="F33" s="9">
        <v>0</v>
      </c>
      <c r="G33" s="9">
        <v>2</v>
      </c>
      <c r="H33" s="9">
        <v>39</v>
      </c>
      <c r="I33" s="5">
        <f>2*2539410183/1000000000</f>
        <v>5.0788203660000004</v>
      </c>
      <c r="J33" s="11">
        <f>2*39919784</f>
        <v>79839568</v>
      </c>
      <c r="K33" s="4">
        <v>381936</v>
      </c>
      <c r="L33" s="4">
        <v>301.64999999999998</v>
      </c>
      <c r="M33" s="4">
        <v>1510</v>
      </c>
      <c r="N33" s="4">
        <v>472.18</v>
      </c>
    </row>
    <row r="34" spans="1:14" x14ac:dyDescent="0.35">
      <c r="A34" s="7" t="s">
        <v>50</v>
      </c>
      <c r="B34" s="8">
        <v>35</v>
      </c>
      <c r="C34" s="7" t="s">
        <v>20</v>
      </c>
      <c r="D34" s="6" t="s">
        <v>8</v>
      </c>
      <c r="E34" s="9">
        <v>6</v>
      </c>
      <c r="F34" s="9">
        <v>3</v>
      </c>
      <c r="G34" s="9">
        <v>2</v>
      </c>
      <c r="H34" s="9">
        <v>22</v>
      </c>
      <c r="I34" s="5">
        <f>2*2551584655/1000000000</f>
        <v>5.1031693100000002</v>
      </c>
      <c r="J34" s="11">
        <f>2*40111025</f>
        <v>80222050</v>
      </c>
      <c r="K34" s="4">
        <v>456215</v>
      </c>
      <c r="L34" s="4">
        <v>410.93</v>
      </c>
      <c r="M34" s="4">
        <v>2087</v>
      </c>
      <c r="N34" s="4">
        <v>389.74</v>
      </c>
    </row>
    <row r="35" spans="1:14" x14ac:dyDescent="0.35">
      <c r="A35" s="7" t="s">
        <v>51</v>
      </c>
      <c r="B35" s="8">
        <v>21</v>
      </c>
      <c r="C35" s="7" t="s">
        <v>20</v>
      </c>
      <c r="D35" s="6" t="s">
        <v>8</v>
      </c>
      <c r="E35" s="6">
        <v>0</v>
      </c>
      <c r="F35" s="6">
        <v>0</v>
      </c>
      <c r="G35" s="6">
        <v>0</v>
      </c>
      <c r="H35" s="18" t="s">
        <v>64</v>
      </c>
      <c r="I35" s="5">
        <f>2*2686772240/1000000000</f>
        <v>5.3735444799999996</v>
      </c>
      <c r="J35" s="11">
        <f>2*42236384</f>
        <v>84472768</v>
      </c>
      <c r="K35" s="4">
        <v>393789</v>
      </c>
      <c r="L35" s="4">
        <v>339.37</v>
      </c>
      <c r="M35" s="4">
        <v>2360</v>
      </c>
      <c r="N35" s="4">
        <v>650.4</v>
      </c>
    </row>
    <row r="36" spans="1:14" x14ac:dyDescent="0.35">
      <c r="A36" s="7" t="s">
        <v>52</v>
      </c>
      <c r="B36" s="8">
        <v>35</v>
      </c>
      <c r="C36" s="7" t="s">
        <v>20</v>
      </c>
      <c r="D36" s="6" t="s">
        <v>8</v>
      </c>
      <c r="E36" s="9">
        <v>11</v>
      </c>
      <c r="F36" s="9">
        <v>3</v>
      </c>
      <c r="G36" s="9">
        <v>4</v>
      </c>
      <c r="H36" s="9">
        <v>32</v>
      </c>
      <c r="I36" s="5">
        <f>2*2771924115/1000000000</f>
        <v>5.54384823</v>
      </c>
      <c r="J36" s="11">
        <f>2*43574993</f>
        <v>87149986</v>
      </c>
      <c r="K36" s="4">
        <v>415457</v>
      </c>
      <c r="L36" s="4">
        <v>319.77</v>
      </c>
      <c r="M36" s="4">
        <v>1454</v>
      </c>
      <c r="N36" s="4">
        <v>320.5</v>
      </c>
    </row>
    <row r="37" spans="1:14" x14ac:dyDescent="0.35">
      <c r="A37" s="7" t="s">
        <v>53</v>
      </c>
      <c r="B37" s="8">
        <v>52</v>
      </c>
      <c r="C37" s="7" t="s">
        <v>19</v>
      </c>
      <c r="D37" s="6" t="s">
        <v>8</v>
      </c>
      <c r="E37" s="9">
        <v>3</v>
      </c>
      <c r="F37" s="9">
        <v>2</v>
      </c>
      <c r="G37" s="9">
        <v>0</v>
      </c>
      <c r="H37" s="9">
        <v>31</v>
      </c>
      <c r="I37" s="5">
        <f>2*2426828945/1000000000</f>
        <v>4.85365789</v>
      </c>
      <c r="J37" s="11">
        <f>2*38150006</f>
        <v>76300012</v>
      </c>
      <c r="K37" s="4">
        <v>486849</v>
      </c>
      <c r="L37" s="4">
        <v>415.1</v>
      </c>
      <c r="M37" s="4">
        <v>1897</v>
      </c>
      <c r="N37" s="4">
        <v>576.70000000000005</v>
      </c>
    </row>
    <row r="38" spans="1:14" x14ac:dyDescent="0.35">
      <c r="A38" s="7" t="s">
        <v>54</v>
      </c>
      <c r="B38" s="8">
        <v>49</v>
      </c>
      <c r="C38" s="7" t="s">
        <v>19</v>
      </c>
      <c r="D38" s="6" t="s">
        <v>8</v>
      </c>
      <c r="E38" s="6">
        <v>0</v>
      </c>
      <c r="F38" s="6">
        <v>0</v>
      </c>
      <c r="G38" s="6">
        <v>0</v>
      </c>
      <c r="H38" s="18" t="s">
        <v>64</v>
      </c>
      <c r="I38" s="5">
        <f>2*2322946981/1000000000</f>
        <v>4.6458939619999997</v>
      </c>
      <c r="J38" s="11">
        <f>2*36516793</f>
        <v>73033586</v>
      </c>
      <c r="K38" s="4">
        <v>265761</v>
      </c>
      <c r="L38" s="4">
        <v>240.73</v>
      </c>
      <c r="M38" s="4">
        <v>2017</v>
      </c>
      <c r="N38" s="4">
        <v>551.79999999999995</v>
      </c>
    </row>
    <row r="39" spans="1:14" x14ac:dyDescent="0.35">
      <c r="A39" s="7" t="s">
        <v>55</v>
      </c>
      <c r="B39" s="8">
        <v>48</v>
      </c>
      <c r="C39" s="7" t="s">
        <v>19</v>
      </c>
      <c r="D39" s="6" t="s">
        <v>8</v>
      </c>
      <c r="E39" s="6">
        <v>0</v>
      </c>
      <c r="F39" s="6">
        <v>0</v>
      </c>
      <c r="G39" s="6">
        <v>0</v>
      </c>
      <c r="H39" s="18" t="s">
        <v>64</v>
      </c>
      <c r="I39" s="5">
        <f>2*2393960834/1000000000</f>
        <v>4.7879216680000001</v>
      </c>
      <c r="J39" s="11">
        <f>2*37633258</f>
        <v>75266516</v>
      </c>
      <c r="K39" s="4">
        <v>475863</v>
      </c>
      <c r="L39" s="4">
        <v>413.47</v>
      </c>
      <c r="M39" s="4">
        <v>2068</v>
      </c>
      <c r="N39" s="4">
        <v>713.96</v>
      </c>
    </row>
    <row r="40" spans="1:14" x14ac:dyDescent="0.35">
      <c r="A40" s="7" t="s">
        <v>56</v>
      </c>
      <c r="B40" s="8">
        <v>54</v>
      </c>
      <c r="C40" s="7" t="s">
        <v>19</v>
      </c>
      <c r="D40" s="6" t="s">
        <v>8</v>
      </c>
      <c r="E40" s="9">
        <v>5</v>
      </c>
      <c r="F40" s="9">
        <v>4</v>
      </c>
      <c r="G40" s="9">
        <v>1</v>
      </c>
      <c r="H40" s="9">
        <v>25</v>
      </c>
      <c r="I40" s="5">
        <f>2*2028242342/1000000000</f>
        <v>4.056484684</v>
      </c>
      <c r="J40" s="11">
        <f>2*31883985</f>
        <v>63767970</v>
      </c>
      <c r="K40" s="4">
        <v>579596</v>
      </c>
      <c r="L40" s="4">
        <v>365.09</v>
      </c>
      <c r="M40" s="4">
        <v>891</v>
      </c>
      <c r="N40" s="4">
        <v>542.82000000000005</v>
      </c>
    </row>
    <row r="41" spans="1:14" x14ac:dyDescent="0.35">
      <c r="A41" s="7" t="s">
        <v>57</v>
      </c>
      <c r="B41" s="8">
        <v>47</v>
      </c>
      <c r="C41" s="7" t="s">
        <v>20</v>
      </c>
      <c r="D41" s="6" t="s">
        <v>8</v>
      </c>
      <c r="E41" s="9">
        <v>3</v>
      </c>
      <c r="F41" s="9">
        <v>2</v>
      </c>
      <c r="G41" s="9">
        <v>0</v>
      </c>
      <c r="H41" s="9">
        <v>23</v>
      </c>
      <c r="I41" s="5">
        <f>2*2675710882/1000000000</f>
        <v>5.3514217640000004</v>
      </c>
      <c r="J41" s="11">
        <f>2*42062233</f>
        <v>84124466</v>
      </c>
      <c r="K41" s="4">
        <v>381448</v>
      </c>
      <c r="L41" s="4">
        <v>362.46</v>
      </c>
      <c r="M41" s="4">
        <v>2534</v>
      </c>
      <c r="N41" s="4">
        <v>693.19</v>
      </c>
    </row>
    <row r="42" spans="1:14" x14ac:dyDescent="0.35">
      <c r="A42" s="7" t="s">
        <v>58</v>
      </c>
      <c r="B42" s="8">
        <v>46</v>
      </c>
      <c r="C42" s="7" t="s">
        <v>20</v>
      </c>
      <c r="D42" s="6" t="s">
        <v>8</v>
      </c>
      <c r="E42" s="6">
        <v>0</v>
      </c>
      <c r="F42" s="6">
        <v>0</v>
      </c>
      <c r="G42" s="6">
        <v>0</v>
      </c>
      <c r="H42" s="18" t="s">
        <v>64</v>
      </c>
      <c r="I42" s="5">
        <f>2*2639967832/1000000000</f>
        <v>5.2799356639999999</v>
      </c>
      <c r="J42" s="11">
        <f>2*41500534</f>
        <v>83001068</v>
      </c>
      <c r="K42" s="4">
        <v>466286</v>
      </c>
      <c r="L42" s="4">
        <v>407.29</v>
      </c>
      <c r="M42" s="4">
        <v>2221</v>
      </c>
      <c r="N42" s="4">
        <v>709.33</v>
      </c>
    </row>
    <row r="43" spans="1:14" x14ac:dyDescent="0.35">
      <c r="A43" s="13" t="s">
        <v>67</v>
      </c>
      <c r="B43" s="8">
        <v>38</v>
      </c>
      <c r="C43" s="14" t="s">
        <v>19</v>
      </c>
      <c r="D43" s="6" t="s">
        <v>9</v>
      </c>
      <c r="E43" s="15">
        <v>28</v>
      </c>
      <c r="F43" s="15">
        <v>5</v>
      </c>
      <c r="G43" s="15">
        <v>24</v>
      </c>
      <c r="H43" s="15">
        <v>27</v>
      </c>
      <c r="I43" s="5">
        <f>(3382804508+3469615409)/1000000000</f>
        <v>6.8524199169999997</v>
      </c>
      <c r="J43" s="6">
        <f>30200510*2</f>
        <v>60401020</v>
      </c>
      <c r="K43" s="4">
        <v>352702</v>
      </c>
      <c r="L43" s="4">
        <v>263.07</v>
      </c>
      <c r="M43" s="4">
        <v>1299</v>
      </c>
      <c r="N43" s="4">
        <v>536.94000000000005</v>
      </c>
    </row>
    <row r="44" spans="1:14" x14ac:dyDescent="0.35">
      <c r="A44" s="13" t="s">
        <v>68</v>
      </c>
      <c r="B44" s="8">
        <v>25</v>
      </c>
      <c r="C44" s="7" t="s">
        <v>20</v>
      </c>
      <c r="D44" s="16" t="s">
        <v>9</v>
      </c>
      <c r="E44" s="15">
        <v>31</v>
      </c>
      <c r="F44" s="15">
        <v>7</v>
      </c>
      <c r="G44" s="15">
        <v>23</v>
      </c>
      <c r="H44" s="15">
        <v>20</v>
      </c>
      <c r="I44" s="5">
        <f>(3833619335+3740595527)/1000000000</f>
        <v>7.5742148619999998</v>
      </c>
      <c r="J44" s="6">
        <f>33217300*2</f>
        <v>66434600</v>
      </c>
      <c r="K44" s="4">
        <v>399228</v>
      </c>
      <c r="L44" s="4">
        <v>298.2</v>
      </c>
      <c r="M44" s="4">
        <v>1235</v>
      </c>
      <c r="N44" s="4">
        <v>390.52</v>
      </c>
    </row>
    <row r="45" spans="1:14" x14ac:dyDescent="0.35">
      <c r="A45" s="13" t="s">
        <v>69</v>
      </c>
      <c r="B45" s="8">
        <v>29</v>
      </c>
      <c r="C45" s="14" t="s">
        <v>19</v>
      </c>
      <c r="D45" s="6" t="s">
        <v>10</v>
      </c>
      <c r="E45" s="4">
        <v>32</v>
      </c>
      <c r="F45" s="4">
        <v>8</v>
      </c>
      <c r="G45" s="4">
        <v>18</v>
      </c>
      <c r="H45" s="4">
        <v>18</v>
      </c>
      <c r="I45" s="5">
        <f>(3936292557+3841655030)/1000000000</f>
        <v>7.7779475869999999</v>
      </c>
      <c r="J45" s="6">
        <f>34372301*2</f>
        <v>68744602</v>
      </c>
      <c r="K45" s="4">
        <v>352961</v>
      </c>
      <c r="L45" s="4">
        <v>307.23</v>
      </c>
      <c r="M45" s="4">
        <v>1767</v>
      </c>
      <c r="N45" s="4">
        <v>816.94</v>
      </c>
    </row>
    <row r="46" spans="1:14" x14ac:dyDescent="0.35">
      <c r="A46" s="13" t="s">
        <v>70</v>
      </c>
      <c r="B46" s="8">
        <v>49</v>
      </c>
      <c r="C46" s="14" t="s">
        <v>19</v>
      </c>
      <c r="D46" s="16" t="s">
        <v>11</v>
      </c>
      <c r="E46" s="15">
        <v>29</v>
      </c>
      <c r="F46" s="15">
        <v>4</v>
      </c>
      <c r="G46" s="15">
        <v>17</v>
      </c>
      <c r="H46" s="15">
        <v>25</v>
      </c>
      <c r="I46" s="5">
        <f>(4340677722+4230300467)/1000000000</f>
        <v>8.5709781889999999</v>
      </c>
      <c r="J46" s="6">
        <f>37897209*2</f>
        <v>75794418</v>
      </c>
      <c r="K46" s="4">
        <v>425453</v>
      </c>
      <c r="L46" s="4">
        <v>328.84</v>
      </c>
      <c r="M46" s="4">
        <v>1297</v>
      </c>
      <c r="N46" s="4">
        <v>717.85</v>
      </c>
    </row>
    <row r="47" spans="1:14" x14ac:dyDescent="0.35">
      <c r="A47" s="13" t="s">
        <v>71</v>
      </c>
      <c r="B47" s="8">
        <v>35</v>
      </c>
      <c r="C47" s="14" t="s">
        <v>20</v>
      </c>
      <c r="D47" s="16" t="s">
        <v>11</v>
      </c>
      <c r="E47" s="15">
        <v>28</v>
      </c>
      <c r="F47" s="15">
        <v>9</v>
      </c>
      <c r="G47" s="15">
        <v>14</v>
      </c>
      <c r="H47" s="15">
        <v>18</v>
      </c>
      <c r="I47" s="5">
        <f>(4851853704+4698970711)/1000000000</f>
        <v>9.5508244149999992</v>
      </c>
      <c r="J47" s="6">
        <f>41015225*2</f>
        <v>82030450</v>
      </c>
      <c r="K47" s="4">
        <v>629473</v>
      </c>
      <c r="L47" s="4">
        <v>486.42</v>
      </c>
      <c r="M47" s="4">
        <v>1423</v>
      </c>
      <c r="N47" s="4">
        <v>598.63</v>
      </c>
    </row>
    <row r="48" spans="1:14" x14ac:dyDescent="0.35">
      <c r="A48" s="13" t="s">
        <v>72</v>
      </c>
      <c r="B48" s="8">
        <v>22</v>
      </c>
      <c r="C48" s="14" t="s">
        <v>19</v>
      </c>
      <c r="D48" s="16" t="s">
        <v>12</v>
      </c>
      <c r="E48" s="15">
        <v>29</v>
      </c>
      <c r="F48" s="15">
        <v>9</v>
      </c>
      <c r="G48" s="15">
        <v>15</v>
      </c>
      <c r="H48" s="15">
        <v>30</v>
      </c>
      <c r="I48" s="5">
        <f>(5769615409+5593389307)/1000000000</f>
        <v>11.363004716000001</v>
      </c>
      <c r="J48" s="6">
        <f>48404944*2</f>
        <v>96809888</v>
      </c>
      <c r="K48" s="4">
        <v>431756</v>
      </c>
      <c r="L48" s="4">
        <v>398.77</v>
      </c>
      <c r="M48" s="4">
        <v>2427</v>
      </c>
      <c r="N48" s="4">
        <v>853.13</v>
      </c>
    </row>
    <row r="49" spans="1:14" x14ac:dyDescent="0.35">
      <c r="A49" s="13" t="s">
        <v>73</v>
      </c>
      <c r="B49" s="8">
        <v>49</v>
      </c>
      <c r="C49" s="7" t="s">
        <v>19</v>
      </c>
      <c r="D49" s="16" t="s">
        <v>9</v>
      </c>
      <c r="E49" s="15">
        <v>27</v>
      </c>
      <c r="F49" s="15">
        <v>9</v>
      </c>
      <c r="G49" s="15">
        <v>18</v>
      </c>
      <c r="H49" s="15">
        <v>27</v>
      </c>
      <c r="I49" s="5">
        <f>(4377911900+4251478740)/1000000000</f>
        <v>8.6293906400000004</v>
      </c>
      <c r="J49" s="6">
        <f>36539600*2</f>
        <v>73079200</v>
      </c>
      <c r="K49" s="4">
        <v>460884</v>
      </c>
      <c r="L49" s="4">
        <v>313.08999999999997</v>
      </c>
      <c r="M49" s="4">
        <v>1016</v>
      </c>
      <c r="N49" s="4">
        <v>628.05999999999995</v>
      </c>
    </row>
    <row r="50" spans="1:14" x14ac:dyDescent="0.35">
      <c r="A50" s="13" t="s">
        <v>74</v>
      </c>
      <c r="B50" s="8">
        <v>50</v>
      </c>
      <c r="C50" s="14" t="s">
        <v>20</v>
      </c>
      <c r="D50" s="16" t="s">
        <v>9</v>
      </c>
      <c r="E50" s="15">
        <v>38</v>
      </c>
      <c r="F50" s="15">
        <v>5</v>
      </c>
      <c r="G50" s="15">
        <v>27</v>
      </c>
      <c r="H50" s="15">
        <v>16</v>
      </c>
      <c r="I50" s="5">
        <f>(3452922792+3548023452)/1000000000</f>
        <v>7.0009462439999997</v>
      </c>
      <c r="J50" s="6">
        <f>30721172*2</f>
        <v>61442344</v>
      </c>
      <c r="K50" s="4">
        <v>402468</v>
      </c>
      <c r="L50" s="4">
        <v>324.52999999999997</v>
      </c>
      <c r="M50" s="4">
        <v>1443</v>
      </c>
      <c r="N50" s="4">
        <v>748.63</v>
      </c>
    </row>
    <row r="51" spans="1:14" x14ac:dyDescent="0.35">
      <c r="A51" s="13" t="s">
        <v>75</v>
      </c>
      <c r="B51" s="8">
        <v>18</v>
      </c>
      <c r="C51" s="14" t="s">
        <v>19</v>
      </c>
      <c r="D51" s="16" t="s">
        <v>10</v>
      </c>
      <c r="E51" s="15">
        <v>27</v>
      </c>
      <c r="F51" s="15">
        <v>3</v>
      </c>
      <c r="G51" s="15">
        <v>22</v>
      </c>
      <c r="H51" s="15">
        <v>16</v>
      </c>
      <c r="I51" s="5">
        <f>(3918040905+3807752110)/1000000000</f>
        <v>7.7257930149999998</v>
      </c>
      <c r="J51" s="6">
        <f>33243993*2</f>
        <v>66487986</v>
      </c>
      <c r="K51" s="4">
        <v>532333</v>
      </c>
      <c r="L51" s="4">
        <v>389.51</v>
      </c>
      <c r="M51" s="4">
        <v>1150</v>
      </c>
      <c r="N51" s="4">
        <v>836.45</v>
      </c>
    </row>
    <row r="52" spans="1:14" x14ac:dyDescent="0.35">
      <c r="A52" s="13" t="s">
        <v>76</v>
      </c>
      <c r="B52" s="8">
        <v>25</v>
      </c>
      <c r="C52" s="14" t="s">
        <v>20</v>
      </c>
      <c r="D52" s="16" t="s">
        <v>11</v>
      </c>
      <c r="E52" s="15">
        <v>28</v>
      </c>
      <c r="F52" s="15">
        <v>8</v>
      </c>
      <c r="G52" s="15">
        <v>20</v>
      </c>
      <c r="H52" s="15">
        <v>17</v>
      </c>
      <c r="I52" s="5">
        <f>(3994450500+3878577352)/1000000000</f>
        <v>7.8730278519999999</v>
      </c>
      <c r="J52" s="6">
        <f>34045917*2</f>
        <v>68091834</v>
      </c>
      <c r="K52" s="4">
        <v>581981</v>
      </c>
      <c r="L52" s="4">
        <v>425.5</v>
      </c>
      <c r="M52" s="4">
        <v>1108</v>
      </c>
      <c r="N52" s="4">
        <v>616.65</v>
      </c>
    </row>
    <row r="53" spans="1:14" x14ac:dyDescent="0.35">
      <c r="A53" s="13" t="s">
        <v>77</v>
      </c>
      <c r="B53" s="8">
        <v>25</v>
      </c>
      <c r="C53" s="14" t="s">
        <v>19</v>
      </c>
      <c r="D53" s="16" t="s">
        <v>12</v>
      </c>
      <c r="E53" s="15">
        <v>28</v>
      </c>
      <c r="F53" s="15">
        <v>7</v>
      </c>
      <c r="G53" s="15">
        <v>19</v>
      </c>
      <c r="H53" s="15">
        <v>34</v>
      </c>
      <c r="I53" s="5">
        <f>(4120163383+3989358456)/1000000000</f>
        <v>8.1095218389999992</v>
      </c>
      <c r="J53" s="6">
        <f>35008480*2</f>
        <v>70016960</v>
      </c>
      <c r="K53" s="4">
        <v>604960</v>
      </c>
      <c r="L53" s="4">
        <v>426.03</v>
      </c>
      <c r="M53" s="4">
        <v>1066</v>
      </c>
      <c r="N53" s="4">
        <v>744</v>
      </c>
    </row>
    <row r="54" spans="1:14" x14ac:dyDescent="0.35">
      <c r="A54" s="13" t="s">
        <v>78</v>
      </c>
      <c r="B54" s="8">
        <v>22</v>
      </c>
      <c r="C54" s="14" t="s">
        <v>20</v>
      </c>
      <c r="D54" s="16" t="s">
        <v>11</v>
      </c>
      <c r="E54" s="15">
        <v>28</v>
      </c>
      <c r="F54" s="15">
        <v>7</v>
      </c>
      <c r="G54" s="15">
        <v>20</v>
      </c>
      <c r="H54" s="15">
        <v>23</v>
      </c>
      <c r="I54" s="5">
        <f>(5124675320+4962027341)/1000000000</f>
        <v>10.086702661</v>
      </c>
      <c r="J54" s="6">
        <f>43256208*2</f>
        <v>86512416</v>
      </c>
      <c r="K54" s="4">
        <v>611721</v>
      </c>
      <c r="L54" s="4">
        <v>501.91</v>
      </c>
      <c r="M54" s="4">
        <v>1729</v>
      </c>
      <c r="N54" s="4">
        <v>723.55</v>
      </c>
    </row>
    <row r="55" spans="1:14" x14ac:dyDescent="0.35">
      <c r="A55" s="13" t="s">
        <v>79</v>
      </c>
      <c r="B55" s="8">
        <v>20</v>
      </c>
      <c r="C55" s="14" t="s">
        <v>20</v>
      </c>
      <c r="D55" s="16" t="s">
        <v>13</v>
      </c>
      <c r="E55" s="15">
        <v>45</v>
      </c>
      <c r="F55" s="15">
        <v>8</v>
      </c>
      <c r="G55" s="15">
        <v>20</v>
      </c>
      <c r="H55" s="15">
        <v>18</v>
      </c>
      <c r="I55" s="5">
        <f>(5115897819+5291882798)/1000000000</f>
        <v>10.407780617</v>
      </c>
      <c r="J55" s="6">
        <f>43976381*2</f>
        <v>87952762</v>
      </c>
      <c r="K55" s="4">
        <v>418736</v>
      </c>
      <c r="L55" s="4">
        <v>385.55</v>
      </c>
      <c r="M55" s="4">
        <v>2215</v>
      </c>
      <c r="N55" s="4">
        <v>1093.98</v>
      </c>
    </row>
    <row r="56" spans="1:14" x14ac:dyDescent="0.35">
      <c r="A56" s="13" t="s">
        <v>80</v>
      </c>
      <c r="B56" s="8">
        <v>37</v>
      </c>
      <c r="C56" s="14" t="s">
        <v>19</v>
      </c>
      <c r="D56" s="16" t="s">
        <v>10</v>
      </c>
      <c r="E56" s="15">
        <v>27</v>
      </c>
      <c r="F56" s="15">
        <v>3</v>
      </c>
      <c r="G56" s="15">
        <v>21</v>
      </c>
      <c r="H56" s="15">
        <v>23</v>
      </c>
      <c r="I56" s="5">
        <f>(4733429690+4548693682)/1000000000</f>
        <v>9.2821233719999992</v>
      </c>
      <c r="J56" s="6">
        <f>38818397*2</f>
        <v>77636794</v>
      </c>
      <c r="K56" s="4">
        <v>478918</v>
      </c>
      <c r="L56" s="4">
        <v>399.7</v>
      </c>
      <c r="M56" s="4">
        <v>1656</v>
      </c>
      <c r="N56" s="4">
        <v>749.22</v>
      </c>
    </row>
    <row r="57" spans="1:14" x14ac:dyDescent="0.35">
      <c r="A57" s="14" t="s">
        <v>81</v>
      </c>
      <c r="B57" s="8">
        <v>38</v>
      </c>
      <c r="C57" s="14" t="s">
        <v>19</v>
      </c>
      <c r="D57" s="16" t="s">
        <v>12</v>
      </c>
      <c r="E57" s="15">
        <v>28</v>
      </c>
      <c r="F57" s="15">
        <v>7</v>
      </c>
      <c r="G57" s="15">
        <v>21</v>
      </c>
      <c r="H57" s="15">
        <v>20</v>
      </c>
      <c r="I57" s="5">
        <f>2*2431308265/1000000000</f>
        <v>4.8626165300000004</v>
      </c>
      <c r="J57" s="11">
        <f>2*38212383</f>
        <v>76424766</v>
      </c>
      <c r="K57" s="4">
        <v>552778</v>
      </c>
      <c r="L57" s="4">
        <v>429.18</v>
      </c>
      <c r="M57" s="4">
        <v>1399</v>
      </c>
      <c r="N57" s="4">
        <v>537.65</v>
      </c>
    </row>
    <row r="58" spans="1:14" x14ac:dyDescent="0.35">
      <c r="A58" s="14" t="s">
        <v>82</v>
      </c>
      <c r="B58" s="8">
        <v>18</v>
      </c>
      <c r="C58" s="14" t="s">
        <v>20</v>
      </c>
      <c r="D58" s="16" t="s">
        <v>12</v>
      </c>
      <c r="E58" s="15">
        <v>42</v>
      </c>
      <c r="F58" s="15">
        <v>8</v>
      </c>
      <c r="G58" s="15">
        <v>26</v>
      </c>
      <c r="H58" s="15">
        <v>19</v>
      </c>
      <c r="I58" s="5">
        <f>2*2467873667/1000000000</f>
        <v>4.9357473340000002</v>
      </c>
      <c r="J58" s="11">
        <f>2*38795373</f>
        <v>77590746</v>
      </c>
      <c r="K58" s="4">
        <v>489096</v>
      </c>
      <c r="L58" s="4">
        <v>347.6</v>
      </c>
      <c r="M58" s="4">
        <v>1044</v>
      </c>
      <c r="N58" s="4">
        <v>777.04</v>
      </c>
    </row>
    <row r="59" spans="1:14" x14ac:dyDescent="0.35">
      <c r="A59" s="14" t="s">
        <v>83</v>
      </c>
      <c r="B59" s="8">
        <v>43</v>
      </c>
      <c r="C59" s="14" t="s">
        <v>19</v>
      </c>
      <c r="D59" s="16" t="s">
        <v>9</v>
      </c>
      <c r="E59" s="15">
        <v>21</v>
      </c>
      <c r="F59" s="15">
        <v>9</v>
      </c>
      <c r="G59" s="15">
        <v>21</v>
      </c>
      <c r="H59" s="15">
        <v>26</v>
      </c>
      <c r="I59" s="5">
        <f>2*2448056979/1000000000</f>
        <v>4.8961139579999999</v>
      </c>
      <c r="J59" s="11">
        <f>2*38483711</f>
        <v>76967422</v>
      </c>
      <c r="K59" s="4">
        <v>431297</v>
      </c>
      <c r="L59" s="4">
        <v>411.27</v>
      </c>
      <c r="M59" s="4">
        <v>2767</v>
      </c>
      <c r="N59" s="4">
        <v>463.78</v>
      </c>
    </row>
    <row r="60" spans="1:14" x14ac:dyDescent="0.35">
      <c r="A60" s="14" t="s">
        <v>84</v>
      </c>
      <c r="B60" s="8">
        <v>19</v>
      </c>
      <c r="C60" s="14" t="s">
        <v>19</v>
      </c>
      <c r="D60" s="16" t="s">
        <v>11</v>
      </c>
      <c r="E60" s="15">
        <v>29</v>
      </c>
      <c r="F60" s="15">
        <v>3</v>
      </c>
      <c r="G60" s="15">
        <v>19</v>
      </c>
      <c r="H60" s="15">
        <v>24</v>
      </c>
      <c r="I60" s="5">
        <f>2*2668809073/1000000000</f>
        <v>5.3376181459999996</v>
      </c>
      <c r="J60" s="11">
        <f>2*41953815</f>
        <v>83907630</v>
      </c>
      <c r="K60" s="4">
        <v>366707</v>
      </c>
      <c r="L60" s="4">
        <v>339</v>
      </c>
      <c r="M60" s="4">
        <v>2334</v>
      </c>
      <c r="N60" s="4">
        <v>736.96</v>
      </c>
    </row>
    <row r="61" spans="1:14" x14ac:dyDescent="0.35">
      <c r="A61" s="14" t="s">
        <v>85</v>
      </c>
      <c r="B61" s="8">
        <v>24</v>
      </c>
      <c r="C61" s="14" t="s">
        <v>20</v>
      </c>
      <c r="D61" s="16" t="s">
        <v>12</v>
      </c>
      <c r="E61" s="15">
        <v>31</v>
      </c>
      <c r="F61" s="15">
        <v>8</v>
      </c>
      <c r="G61" s="15">
        <v>25</v>
      </c>
      <c r="H61" s="15">
        <v>21</v>
      </c>
      <c r="I61" s="5">
        <f>2*2715334112/1000000000</f>
        <v>5.4306682239999997</v>
      </c>
      <c r="J61" s="11">
        <f>2*42685382</f>
        <v>85370764</v>
      </c>
      <c r="K61" s="4">
        <v>447577</v>
      </c>
      <c r="L61" s="4">
        <v>425.37</v>
      </c>
      <c r="M61" s="4">
        <v>2986</v>
      </c>
      <c r="N61" s="4">
        <v>530.39</v>
      </c>
    </row>
    <row r="62" spans="1:14" x14ac:dyDescent="0.35">
      <c r="A62" s="14" t="s">
        <v>86</v>
      </c>
      <c r="B62" s="8">
        <v>24</v>
      </c>
      <c r="C62" s="14" t="s">
        <v>19</v>
      </c>
      <c r="D62" s="16" t="s">
        <v>11</v>
      </c>
      <c r="E62" s="15">
        <v>41</v>
      </c>
      <c r="F62" s="15">
        <v>8</v>
      </c>
      <c r="G62" s="15">
        <v>22</v>
      </c>
      <c r="H62" s="15">
        <v>20</v>
      </c>
      <c r="I62" s="5">
        <f>2*2483174268/1000000000</f>
        <v>4.9663485359999999</v>
      </c>
      <c r="J62" s="11">
        <f>2*39035699</f>
        <v>78071398</v>
      </c>
      <c r="K62" s="4">
        <v>582192</v>
      </c>
      <c r="L62" s="4">
        <v>455.14</v>
      </c>
      <c r="M62" s="4">
        <v>1522</v>
      </c>
      <c r="N62" s="4">
        <v>638.95000000000005</v>
      </c>
    </row>
    <row r="63" spans="1:14" x14ac:dyDescent="0.35">
      <c r="A63" s="14" t="s">
        <v>87</v>
      </c>
      <c r="B63" s="8">
        <v>20</v>
      </c>
      <c r="C63" s="14" t="s">
        <v>19</v>
      </c>
      <c r="D63" s="16" t="s">
        <v>10</v>
      </c>
      <c r="E63" s="15">
        <v>23</v>
      </c>
      <c r="F63" s="15">
        <v>9</v>
      </c>
      <c r="G63" s="15">
        <v>19</v>
      </c>
      <c r="H63" s="15">
        <v>23</v>
      </c>
      <c r="I63" s="5">
        <f>2*2504118153/1000000000</f>
        <v>5.0082363059999997</v>
      </c>
      <c r="J63" s="11">
        <f>2*39364758</f>
        <v>78729516</v>
      </c>
      <c r="K63" s="4">
        <v>705293</v>
      </c>
      <c r="L63" s="4">
        <v>523.4</v>
      </c>
      <c r="M63" s="4">
        <v>1264</v>
      </c>
      <c r="N63" s="4">
        <v>619.58000000000004</v>
      </c>
    </row>
    <row r="64" spans="1:14" x14ac:dyDescent="0.35">
      <c r="A64" s="14" t="s">
        <v>88</v>
      </c>
      <c r="B64" s="8">
        <v>30</v>
      </c>
      <c r="C64" s="14" t="s">
        <v>20</v>
      </c>
      <c r="D64" s="16" t="s">
        <v>9</v>
      </c>
      <c r="E64" s="15">
        <v>28</v>
      </c>
      <c r="F64" s="15">
        <v>9</v>
      </c>
      <c r="G64" s="15">
        <v>26</v>
      </c>
      <c r="H64" s="15">
        <v>18</v>
      </c>
      <c r="I64" s="5">
        <f>2*2773812364/1000000000</f>
        <v>5.5476247279999997</v>
      </c>
      <c r="J64" s="11">
        <f>2*43604699</f>
        <v>87209398</v>
      </c>
      <c r="K64" s="4">
        <v>605578</v>
      </c>
      <c r="L64" s="4">
        <v>481.58</v>
      </c>
      <c r="M64" s="4">
        <v>1505</v>
      </c>
      <c r="N64" s="4">
        <v>805.27</v>
      </c>
    </row>
    <row r="65" spans="1:14" x14ac:dyDescent="0.35">
      <c r="A65" s="14" t="s">
        <v>89</v>
      </c>
      <c r="B65" s="8">
        <v>18</v>
      </c>
      <c r="C65" s="14" t="s">
        <v>19</v>
      </c>
      <c r="D65" s="16" t="s">
        <v>9</v>
      </c>
      <c r="E65" s="15">
        <v>33</v>
      </c>
      <c r="F65" s="15">
        <v>9</v>
      </c>
      <c r="G65" s="15">
        <v>24</v>
      </c>
      <c r="H65" s="15">
        <v>19</v>
      </c>
      <c r="I65" s="5">
        <f>2*2492342820/1000000000</f>
        <v>4.9846856400000004</v>
      </c>
      <c r="J65" s="11">
        <f>2*39179957</f>
        <v>78359914</v>
      </c>
      <c r="K65" s="4">
        <v>512227</v>
      </c>
      <c r="L65" s="4">
        <v>391.75</v>
      </c>
      <c r="M65" s="4">
        <v>1381</v>
      </c>
      <c r="N65" s="4">
        <v>889.76</v>
      </c>
    </row>
    <row r="66" spans="1:14" x14ac:dyDescent="0.35">
      <c r="A66" s="14" t="s">
        <v>90</v>
      </c>
      <c r="B66" s="8">
        <v>35</v>
      </c>
      <c r="C66" s="14" t="s">
        <v>19</v>
      </c>
      <c r="D66" s="16" t="s">
        <v>11</v>
      </c>
      <c r="E66" s="15">
        <v>27</v>
      </c>
      <c r="F66" s="15">
        <v>9</v>
      </c>
      <c r="G66" s="15">
        <v>14</v>
      </c>
      <c r="H66" s="15">
        <v>33</v>
      </c>
      <c r="I66" s="5">
        <f>2*2571872964/1000000000</f>
        <v>5.1437459280000004</v>
      </c>
      <c r="J66" s="11">
        <f>2*40430223</f>
        <v>80860446</v>
      </c>
      <c r="K66" s="4">
        <v>505442</v>
      </c>
      <c r="L66" s="4">
        <v>431.54</v>
      </c>
      <c r="M66" s="4">
        <v>1711</v>
      </c>
      <c r="N66" s="4">
        <v>967.62</v>
      </c>
    </row>
    <row r="67" spans="1:14" x14ac:dyDescent="0.35">
      <c r="A67" s="14" t="s">
        <v>91</v>
      </c>
      <c r="B67" s="8">
        <v>19</v>
      </c>
      <c r="C67" s="14" t="s">
        <v>20</v>
      </c>
      <c r="D67" s="16" t="s">
        <v>9</v>
      </c>
      <c r="E67" s="15">
        <v>36</v>
      </c>
      <c r="F67" s="15">
        <v>9</v>
      </c>
      <c r="G67" s="15">
        <v>28</v>
      </c>
      <c r="H67" s="15">
        <v>20</v>
      </c>
      <c r="I67" s="5">
        <f>2*2331654161/1000000000</f>
        <v>4.6633083219999998</v>
      </c>
      <c r="J67" s="11">
        <f>2*36653845</f>
        <v>73307690</v>
      </c>
      <c r="K67" s="4">
        <v>349548</v>
      </c>
      <c r="L67" s="4">
        <v>284.26</v>
      </c>
      <c r="M67" s="4">
        <v>1555</v>
      </c>
      <c r="N67" s="4">
        <v>790.81</v>
      </c>
    </row>
    <row r="68" spans="1:14" x14ac:dyDescent="0.35">
      <c r="A68" s="14" t="s">
        <v>92</v>
      </c>
      <c r="B68" s="8">
        <v>42</v>
      </c>
      <c r="C68" s="14" t="s">
        <v>19</v>
      </c>
      <c r="D68" s="16" t="s">
        <v>10</v>
      </c>
      <c r="E68" s="15">
        <v>27</v>
      </c>
      <c r="F68" s="15">
        <v>9</v>
      </c>
      <c r="G68" s="15">
        <v>24</v>
      </c>
      <c r="H68" s="15">
        <v>33</v>
      </c>
      <c r="I68" s="5">
        <f>2*2558848126/1000000000</f>
        <v>5.117696252</v>
      </c>
      <c r="J68" s="11">
        <f>2*40225468</f>
        <v>80450936</v>
      </c>
      <c r="K68" s="4">
        <v>439691</v>
      </c>
      <c r="L68" s="4">
        <v>398.7</v>
      </c>
      <c r="M68" s="4">
        <v>2392</v>
      </c>
      <c r="N68" s="4">
        <v>554.59</v>
      </c>
    </row>
    <row r="69" spans="1:14" x14ac:dyDescent="0.35">
      <c r="A69" s="14" t="s">
        <v>93</v>
      </c>
      <c r="B69" s="8">
        <v>45</v>
      </c>
      <c r="C69" s="14" t="s">
        <v>20</v>
      </c>
      <c r="D69" s="16" t="s">
        <v>12</v>
      </c>
      <c r="E69" s="15">
        <v>28</v>
      </c>
      <c r="F69" s="15">
        <v>2</v>
      </c>
      <c r="G69" s="15">
        <v>27</v>
      </c>
      <c r="H69" s="15">
        <v>19</v>
      </c>
      <c r="I69" s="5">
        <f>2*2423007873/1000000000</f>
        <v>4.846015746</v>
      </c>
      <c r="J69" s="11">
        <f>2*38090078</f>
        <v>76180156</v>
      </c>
      <c r="K69" s="4">
        <v>393305</v>
      </c>
      <c r="L69" s="4">
        <v>372.76</v>
      </c>
      <c r="M69" s="4">
        <v>2781</v>
      </c>
      <c r="N69" s="4">
        <v>716.01</v>
      </c>
    </row>
    <row r="70" spans="1:14" x14ac:dyDescent="0.35">
      <c r="A70" s="14" t="s">
        <v>94</v>
      </c>
      <c r="B70" s="8">
        <v>28</v>
      </c>
      <c r="C70" s="14" t="s">
        <v>20</v>
      </c>
      <c r="D70" s="16" t="s">
        <v>14</v>
      </c>
      <c r="E70" s="15">
        <v>26</v>
      </c>
      <c r="F70" s="15">
        <v>7</v>
      </c>
      <c r="G70" s="15">
        <v>18</v>
      </c>
      <c r="H70" s="15">
        <v>23</v>
      </c>
      <c r="I70" s="5">
        <f>2*2898514690/1000000000</f>
        <v>5.7970293799999997</v>
      </c>
      <c r="J70" s="11">
        <f>2*45565325</f>
        <v>91130650</v>
      </c>
      <c r="K70" s="4">
        <v>231938</v>
      </c>
      <c r="L70" s="4">
        <v>238.33</v>
      </c>
      <c r="M70" s="4">
        <v>6141</v>
      </c>
      <c r="N70" s="4">
        <v>664.05</v>
      </c>
    </row>
    <row r="71" spans="1:14" x14ac:dyDescent="0.35">
      <c r="A71" s="14" t="s">
        <v>95</v>
      </c>
      <c r="B71" s="8">
        <v>53</v>
      </c>
      <c r="C71" s="14" t="s">
        <v>19</v>
      </c>
      <c r="D71" s="16" t="s">
        <v>11</v>
      </c>
      <c r="E71" s="15">
        <v>22</v>
      </c>
      <c r="F71" s="15">
        <v>9</v>
      </c>
      <c r="G71" s="15">
        <v>20</v>
      </c>
      <c r="H71" s="15">
        <v>26</v>
      </c>
      <c r="I71" s="5">
        <f>2*2691261537/1000000000</f>
        <v>5.3825230739999999</v>
      </c>
      <c r="J71" s="11">
        <f>2*42306889</f>
        <v>84613778</v>
      </c>
      <c r="K71" s="4">
        <v>401718</v>
      </c>
      <c r="L71" s="4">
        <v>362.43</v>
      </c>
      <c r="M71" s="4">
        <v>2114</v>
      </c>
      <c r="N71" s="4">
        <v>694.95</v>
      </c>
    </row>
    <row r="72" spans="1:14" x14ac:dyDescent="0.35">
      <c r="A72" s="14" t="s">
        <v>96</v>
      </c>
      <c r="B72" s="8">
        <v>25</v>
      </c>
      <c r="C72" s="14" t="s">
        <v>19</v>
      </c>
      <c r="D72" s="16" t="s">
        <v>15</v>
      </c>
      <c r="E72" s="15">
        <v>52</v>
      </c>
      <c r="F72" s="15">
        <v>9</v>
      </c>
      <c r="G72" s="15">
        <v>24</v>
      </c>
      <c r="H72" s="15">
        <v>19</v>
      </c>
      <c r="I72" s="5">
        <f>2*2746008185/1000000000</f>
        <v>5.49201637</v>
      </c>
      <c r="J72" s="11">
        <f>2*43167321</f>
        <v>86334642</v>
      </c>
      <c r="K72" s="4">
        <v>358827</v>
      </c>
      <c r="L72" s="4">
        <v>312.39</v>
      </c>
      <c r="M72" s="4">
        <v>1911</v>
      </c>
      <c r="N72" s="4">
        <v>527.94000000000005</v>
      </c>
    </row>
    <row r="73" spans="1:14" x14ac:dyDescent="0.35">
      <c r="A73" s="14" t="s">
        <v>97</v>
      </c>
      <c r="B73" s="8">
        <v>43</v>
      </c>
      <c r="C73" s="14" t="s">
        <v>20</v>
      </c>
      <c r="D73" s="16" t="s">
        <v>10</v>
      </c>
      <c r="E73" s="15">
        <v>30</v>
      </c>
      <c r="F73" s="15">
        <v>7</v>
      </c>
      <c r="G73" s="15">
        <v>19</v>
      </c>
      <c r="H73" s="15">
        <v>22</v>
      </c>
      <c r="I73" s="5">
        <f>2*2318186052/1000000000</f>
        <v>4.6363721040000003</v>
      </c>
      <c r="J73" s="11">
        <f>2*36442127</f>
        <v>72884254</v>
      </c>
      <c r="K73" s="4">
        <v>614958</v>
      </c>
      <c r="L73" s="4">
        <v>468.54</v>
      </c>
      <c r="M73" s="4">
        <v>1412</v>
      </c>
      <c r="N73" s="4">
        <v>702.64</v>
      </c>
    </row>
    <row r="74" spans="1:14" x14ac:dyDescent="0.35">
      <c r="A74" s="14" t="s">
        <v>98</v>
      </c>
      <c r="B74" s="8">
        <v>25</v>
      </c>
      <c r="C74" s="14" t="s">
        <v>20</v>
      </c>
      <c r="D74" s="16" t="s">
        <v>12</v>
      </c>
      <c r="E74" s="15">
        <v>26</v>
      </c>
      <c r="F74" s="15">
        <v>10</v>
      </c>
      <c r="G74" s="15">
        <v>20</v>
      </c>
      <c r="H74" s="15">
        <v>22</v>
      </c>
      <c r="I74" s="5">
        <f>2*2385551263/1000000000</f>
        <v>4.771102526</v>
      </c>
      <c r="J74" s="11">
        <f>2*37501170</f>
        <v>75002340</v>
      </c>
      <c r="K74" s="4">
        <v>512000</v>
      </c>
      <c r="L74" s="4">
        <v>450.43</v>
      </c>
      <c r="M74" s="4">
        <v>2036</v>
      </c>
      <c r="N74" s="4">
        <v>622.86</v>
      </c>
    </row>
    <row r="75" spans="1:14" x14ac:dyDescent="0.35">
      <c r="A75" s="14" t="s">
        <v>99</v>
      </c>
      <c r="B75" s="8">
        <v>23</v>
      </c>
      <c r="C75" s="14" t="s">
        <v>20</v>
      </c>
      <c r="D75" s="16" t="s">
        <v>15</v>
      </c>
      <c r="E75" s="15">
        <v>39</v>
      </c>
      <c r="F75" s="15">
        <v>9</v>
      </c>
      <c r="G75" s="15">
        <v>26</v>
      </c>
      <c r="H75" s="15">
        <v>21</v>
      </c>
      <c r="I75" s="5">
        <f>2*2400666672/1000000000</f>
        <v>4.8013333439999997</v>
      </c>
      <c r="J75" s="11">
        <f>2*37738782</f>
        <v>75477564</v>
      </c>
      <c r="K75" s="4">
        <v>527743</v>
      </c>
      <c r="L75" s="4">
        <v>430.23</v>
      </c>
      <c r="M75" s="4">
        <v>1689</v>
      </c>
      <c r="N75" s="4">
        <v>444.28</v>
      </c>
    </row>
    <row r="76" spans="1:14" x14ac:dyDescent="0.35">
      <c r="A76" s="14" t="s">
        <v>100</v>
      </c>
      <c r="B76" s="8">
        <v>35</v>
      </c>
      <c r="C76" s="14" t="s">
        <v>19</v>
      </c>
      <c r="D76" s="16" t="s">
        <v>12</v>
      </c>
      <c r="E76" s="15">
        <v>30</v>
      </c>
      <c r="F76" s="15">
        <v>10</v>
      </c>
      <c r="G76" s="15">
        <v>21</v>
      </c>
      <c r="H76" s="15">
        <v>24</v>
      </c>
      <c r="I76" s="5">
        <f>2*2622213202/1000000000</f>
        <v>5.2444264040000004</v>
      </c>
      <c r="J76" s="11">
        <f>2*41221501</f>
        <v>82443002</v>
      </c>
      <c r="K76" s="4">
        <v>782814</v>
      </c>
      <c r="L76" s="4">
        <v>581.96</v>
      </c>
      <c r="M76" s="4">
        <v>1192</v>
      </c>
      <c r="N76" s="4">
        <v>549.01</v>
      </c>
    </row>
    <row r="77" spans="1:14" x14ac:dyDescent="0.35">
      <c r="A77" s="14" t="s">
        <v>101</v>
      </c>
      <c r="B77" s="8">
        <v>19</v>
      </c>
      <c r="C77" s="14" t="s">
        <v>20</v>
      </c>
      <c r="D77" s="16" t="s">
        <v>12</v>
      </c>
      <c r="E77" s="15">
        <v>42</v>
      </c>
      <c r="F77" s="15">
        <v>9</v>
      </c>
      <c r="G77" s="15">
        <v>23</v>
      </c>
      <c r="H77" s="15">
        <v>20</v>
      </c>
      <c r="I77" s="5">
        <f>2*2654589329/1000000000</f>
        <v>5.3091786580000004</v>
      </c>
      <c r="J77" s="11">
        <f>2*41730649</f>
        <v>83461298</v>
      </c>
      <c r="K77" s="4">
        <v>456214</v>
      </c>
      <c r="L77" s="4">
        <v>438.71</v>
      </c>
      <c r="M77" s="4">
        <v>2630</v>
      </c>
      <c r="N77" s="4">
        <v>889.51</v>
      </c>
    </row>
    <row r="78" spans="1:14" x14ac:dyDescent="0.35">
      <c r="A78" s="14" t="s">
        <v>102</v>
      </c>
      <c r="B78" s="8">
        <v>40</v>
      </c>
      <c r="C78" s="14" t="s">
        <v>20</v>
      </c>
      <c r="D78" s="16" t="s">
        <v>12</v>
      </c>
      <c r="E78" s="15">
        <v>36</v>
      </c>
      <c r="F78" s="15">
        <v>5</v>
      </c>
      <c r="G78" s="15">
        <v>23</v>
      </c>
      <c r="H78" s="15">
        <v>22</v>
      </c>
      <c r="I78" s="5">
        <f>2*2666506878/1000000000</f>
        <v>5.3330137559999997</v>
      </c>
      <c r="J78" s="11">
        <f>2*41917902</f>
        <v>83835804</v>
      </c>
      <c r="K78" s="4">
        <v>428588</v>
      </c>
      <c r="L78" s="4">
        <v>383.35</v>
      </c>
      <c r="M78" s="4">
        <v>2480</v>
      </c>
      <c r="N78" s="4">
        <v>724.66</v>
      </c>
    </row>
  </sheetData>
  <sortState ref="A4:F78">
    <sortCondition ref="A4:A78"/>
  </sortState>
  <mergeCells count="4">
    <mergeCell ref="K3:N3"/>
    <mergeCell ref="B3:H3"/>
    <mergeCell ref="A3:A4"/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Supplementary 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2022-08-22T09:42:47Z</dcterms:modified>
</cp:coreProperties>
</file>