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surements" sheetId="1" state="visible" r:id="rId2"/>
    <sheet name="Sourc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<sst xmlns="http://schemas.openxmlformats.org/spreadsheetml/2006/main" count="63" uniqueCount="47">
  <si>
    <t xml:space="preserve">FPG</t>
  </si>
  <si>
    <t xml:space="preserve">SN 200002</t>
  </si>
  <si>
    <t xml:space="preserve">Test Date</t>
  </si>
  <si>
    <t xml:space="preserve">Detector Temperature [°C]</t>
  </si>
  <si>
    <t xml:space="preserve">[32.65,31.83]</t>
  </si>
  <si>
    <t xml:space="preserve">Board Temperature [°C]</t>
  </si>
  <si>
    <t xml:space="preserve">Measurement</t>
  </si>
  <si>
    <t xml:space="preserve">Source</t>
  </si>
  <si>
    <t xml:space="preserve">Distance [cm]</t>
  </si>
  <si>
    <t xml:space="preserve">Activity [kBq]</t>
  </si>
  <si>
    <t xml:space="preserve">Front [cps]</t>
  </si>
  <si>
    <t xml:space="preserve">Back [cps]</t>
  </si>
  <si>
    <t xml:space="preserve">Total [cps]</t>
  </si>
  <si>
    <t xml:space="preserve">Net [cps]</t>
  </si>
  <si>
    <t xml:space="preserve">Front Contrib</t>
  </si>
  <si>
    <t xml:space="preserve">Efficiency</t>
  </si>
  <si>
    <t xml:space="preserve">Theor. Dose Rate [uSv/h]</t>
  </si>
  <si>
    <t xml:space="preserve">Background</t>
  </si>
  <si>
    <t xml:space="preserve">30 from ground</t>
  </si>
  <si>
    <t xml:space="preserve">-</t>
  </si>
  <si>
    <t xml:space="preserve"> theoretical bkg around 30-50 nSv/h</t>
  </si>
  <si>
    <t xml:space="preserve">Background-v</t>
  </si>
  <si>
    <t xml:space="preserve">87 from ground</t>
  </si>
  <si>
    <t xml:space="preserve">Am-241</t>
  </si>
  <si>
    <t xml:space="preserve">Am-241-v</t>
  </si>
  <si>
    <t xml:space="preserve">Co-57</t>
  </si>
  <si>
    <t xml:space="preserve">Ba-133</t>
  </si>
  <si>
    <t xml:space="preserve">Ba-133-v</t>
  </si>
  <si>
    <t xml:space="preserve">Cs-137</t>
  </si>
  <si>
    <t xml:space="preserve">Co-60</t>
  </si>
  <si>
    <t xml:space="preserve">Detector surface [cm2]</t>
  </si>
  <si>
    <t xml:space="preserve">SOURCE</t>
  </si>
  <si>
    <t xml:space="preserve">Date</t>
  </si>
  <si>
    <t xml:space="preserve">Energy [keV]</t>
  </si>
  <si>
    <t xml:space="preserve">Emission prob</t>
  </si>
  <si>
    <t xml:space="preserve">Emitted [s-1]</t>
  </si>
  <si>
    <t xml:space="preserve">Gamma at 200 cm</t>
  </si>
  <si>
    <t xml:space="preserve">Gamma at 120 cm</t>
  </si>
  <si>
    <t xml:space="preserve">Gamma at 100cm</t>
  </si>
  <si>
    <t xml:space="preserve">Gamma at 53cm</t>
  </si>
  <si>
    <t xml:space="preserve">Gamma at 30 cm</t>
  </si>
  <si>
    <t xml:space="preserve">Incident at 200 cm</t>
  </si>
  <si>
    <t xml:space="preserve">Incident at 120 cm</t>
  </si>
  <si>
    <t xml:space="preserve">Incident at 100 cm</t>
  </si>
  <si>
    <t xml:space="preserve">Incident at 53cm</t>
  </si>
  <si>
    <t xml:space="preserve">Incident at 30cm</t>
  </si>
  <si>
    <t xml:space="preserve">Average Emission Energy [keV]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</si>
</sst>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/d/yyyy"/>
    <numFmt numFmtId="166" formatCode="0%"/>
    <numFmt numFmtId="167" formatCode="0.0%"/>
    <numFmt numFmtId="168" formatCode="General"/>
    <numFmt numFmtId="169" formatCode="0"/>
    <numFmt numFmtId="170" formatCode="0.000"/>
    <numFmt numFmtId="171" formatCode="0.00E+00"/>
    <numFmt numFmtId="172" formatCode="0.0"/>
    <numFmt numFmtId="173" formatCode="0.00"/>
    <numFmt numFmtId="174" formatCode="0.00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-webkit-standard"/>
      <family val="0"/>
      <charset val="1"/>
    </font>
    <font>
      <sz val="15"/>
      <color rgb="FF6E6E6E"/>
      <name val="Lucida Grande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E6E6E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"/>
  <sheetViews>
    <sheetView showFormulas="false" showGridLines="true" showRowColHeaders="true" showZeros="true" rightToLeft="false" tabSelected="true" showOutlineSymbols="true" defaultGridColor="true" view="normal" topLeftCell="A1" colorId="64" zoomScale="158" zoomScaleNormal="158" zoomScalePageLayoutView="100" workbookViewId="0">
      <selection pane="topLeft" activeCell="A5" activeCellId="0" sqref="A5"/>
    </sheetView>
  </sheetViews>
  <sheetFormatPr defaultColWidth="10.50390625" defaultRowHeight="16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12.33"/>
    <col collapsed="false" customWidth="true" hidden="false" outlineLevel="0" max="3" min="3" style="0" width="14"/>
    <col collapsed="false" customWidth="true" hidden="false" outlineLevel="0" max="4" min="4" style="0" width="12"/>
    <col collapsed="false" customWidth="true" hidden="false" outlineLevel="0" max="9" min="9" style="0" width="12"/>
    <col collapsed="false" customWidth="true" hidden="false" outlineLevel="0" max="11" min="11" style="0" width="30.84"/>
  </cols>
  <sheetData>
    <row r="1" customFormat="false" ht="16" hidden="false" customHeight="false" outlineLevel="0" collapsed="false">
      <c r="A1" s="1" t="s">
        <v>0</v>
      </c>
      <c r="B1" s="2" t="s">
        <v>1</v>
      </c>
    </row>
    <row r="2" customFormat="false" ht="16" hidden="false" customHeight="false" outlineLevel="0" collapsed="false">
      <c r="A2" s="0" t="s">
        <v>2</v>
      </c>
      <c r="B2" s="3" t="n">
        <v>44456</v>
      </c>
    </row>
    <row r="3" customFormat="false" ht="16" hidden="false" customHeight="false" outlineLevel="0" collapsed="false">
      <c r="A3" s="0" t="s">
        <v>3</v>
      </c>
      <c r="B3" s="4" t="s">
        <v>4</v>
      </c>
    </row>
    <row r="4" customFormat="false" ht="16" hidden="false" customHeight="false" outlineLevel="0" collapsed="false">
      <c r="A4" s="0" t="s">
        <v>5</v>
      </c>
      <c r="B4" s="0" t="n">
        <v>38.73</v>
      </c>
      <c r="E4" s="5"/>
      <c r="F4" s="6"/>
    </row>
    <row r="5" customFormat="false" ht="17" hidden="false" customHeight="false" outlineLevel="0" collapsed="false"/>
    <row r="6" customFormat="false" ht="16" hidden="false" customHeight="false" outlineLevel="0" collapsed="false">
      <c r="A6" s="7" t="s">
        <v>6</v>
      </c>
      <c r="B6" s="8" t="s">
        <v>7</v>
      </c>
      <c r="C6" s="8" t="s">
        <v>8</v>
      </c>
      <c r="D6" s="9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9" t="s">
        <v>15</v>
      </c>
      <c r="K6" s="10" t="s">
        <v>16</v>
      </c>
    </row>
    <row r="7" customFormat="false" ht="16" hidden="false" customHeight="false" outlineLevel="0" collapsed="false">
      <c r="A7" s="11" t="n">
        <v>1</v>
      </c>
      <c r="B7" s="12" t="s">
        <v>17</v>
      </c>
      <c r="C7" s="13" t="s">
        <v>18</v>
      </c>
      <c r="D7" s="13" t="s">
        <v>19</v>
      </c>
      <c r="E7" s="12" t="n">
        <f aca="false">36.03+39.52</f>
        <v>75.55</v>
      </c>
      <c r="F7" s="12" t="n">
        <f aca="false">47.05+55.87+58.4+48.19</f>
        <v>209.51</v>
      </c>
      <c r="G7" s="12" t="n">
        <f aca="false">SUM(E7:F7)</f>
        <v>285.06</v>
      </c>
      <c r="H7" s="13" t="s">
        <v>19</v>
      </c>
      <c r="I7" s="14" t="n">
        <f aca="false">E7/G7</f>
        <v>0.265031923103908</v>
      </c>
      <c r="J7" s="13" t="s">
        <v>19</v>
      </c>
      <c r="K7" s="15" t="s">
        <v>20</v>
      </c>
    </row>
    <row r="8" customFormat="false" ht="16" hidden="false" customHeight="false" outlineLevel="0" collapsed="false">
      <c r="A8" s="16" t="n">
        <v>2</v>
      </c>
      <c r="B8" s="17" t="s">
        <v>21</v>
      </c>
      <c r="C8" s="18" t="s">
        <v>22</v>
      </c>
      <c r="D8" s="18" t="s">
        <v>19</v>
      </c>
      <c r="E8" s="17" t="n">
        <f aca="false">36.83+40.87</f>
        <v>77.7</v>
      </c>
      <c r="F8" s="17" t="n">
        <f aca="false">49.45+58.52+61.99+52.06</f>
        <v>222.02</v>
      </c>
      <c r="G8" s="19" t="n">
        <f aca="false">SUM(E8:F8)</f>
        <v>299.72</v>
      </c>
      <c r="H8" s="18" t="s">
        <v>19</v>
      </c>
      <c r="I8" s="20" t="n">
        <f aca="false">E8/G8</f>
        <v>0.259241959161884</v>
      </c>
      <c r="J8" s="18" t="s">
        <v>19</v>
      </c>
      <c r="K8" s="15"/>
    </row>
    <row r="9" customFormat="false" ht="16" hidden="false" customHeight="false" outlineLevel="0" collapsed="false">
      <c r="A9" s="11" t="n">
        <v>3</v>
      </c>
      <c r="B9" s="12" t="s">
        <v>23</v>
      </c>
      <c r="C9" s="13" t="n">
        <v>30</v>
      </c>
      <c r="D9" s="21" t="n">
        <v>2343.66613133456</v>
      </c>
      <c r="E9" s="12" t="n">
        <f aca="false">73.14+73.54</f>
        <v>146.68</v>
      </c>
      <c r="F9" s="12" t="n">
        <f aca="false">124.84+165.99+171.43+126.95</f>
        <v>589.21</v>
      </c>
      <c r="G9" s="12" t="n">
        <f aca="false">SUM(E9:F9)</f>
        <v>735.89</v>
      </c>
      <c r="H9" s="12" t="n">
        <f aca="false">G9-$G$7</f>
        <v>450.83</v>
      </c>
      <c r="I9" s="14" t="n">
        <f aca="false">(E9-$E$7)/(G9-$G$7)</f>
        <v>0.157775658230375</v>
      </c>
      <c r="J9" s="22" t="n">
        <f aca="false">H11/Sources!N4</f>
        <v>0.019549791580167</v>
      </c>
      <c r="K9" s="23" t="n">
        <v>0.103094123694085</v>
      </c>
    </row>
    <row r="10" customFormat="false" ht="16" hidden="false" customHeight="false" outlineLevel="0" collapsed="false">
      <c r="A10" s="16" t="n">
        <v>4</v>
      </c>
      <c r="B10" s="17" t="s">
        <v>23</v>
      </c>
      <c r="C10" s="18" t="n">
        <v>53</v>
      </c>
      <c r="D10" s="21"/>
      <c r="E10" s="17" t="n">
        <f aca="false">49.74+51.15</f>
        <v>100.89</v>
      </c>
      <c r="F10" s="17" t="n">
        <f aca="false">76.98+96.64+98.84+77.22</f>
        <v>349.68</v>
      </c>
      <c r="G10" s="17" t="n">
        <f aca="false">SUM(E10:F10)</f>
        <v>450.57</v>
      </c>
      <c r="H10" s="17" t="n">
        <f aca="false">G10-$G$7</f>
        <v>165.51</v>
      </c>
      <c r="I10" s="20" t="n">
        <f aca="false">(E10-$E$7)/(G10-$G$7)</f>
        <v>0.153102531569089</v>
      </c>
      <c r="J10" s="22"/>
      <c r="K10" s="23" t="n">
        <v>0.0329437356539069</v>
      </c>
    </row>
    <row r="11" customFormat="false" ht="16" hidden="false" customHeight="false" outlineLevel="0" collapsed="false">
      <c r="A11" s="16" t="n">
        <v>5</v>
      </c>
      <c r="B11" s="17" t="s">
        <v>24</v>
      </c>
      <c r="C11" s="18" t="n">
        <v>100</v>
      </c>
      <c r="D11" s="21"/>
      <c r="E11" s="0" t="n">
        <f aca="false">46.33+40.53</f>
        <v>86.86</v>
      </c>
      <c r="F11" s="17" t="n">
        <f aca="false">57.94+69.38+73.95+62.34</f>
        <v>263.61</v>
      </c>
      <c r="G11" s="17" t="n">
        <f aca="false">SUM(E11:F11)</f>
        <v>350.47</v>
      </c>
      <c r="H11" s="17" t="n">
        <f aca="false">G11-$G$8</f>
        <v>50.75</v>
      </c>
      <c r="I11" s="20" t="n">
        <f aca="false">(E11-E8)/(G11-G8)</f>
        <v>0.180492610837439</v>
      </c>
      <c r="J11" s="22"/>
      <c r="K11" s="24" t="n">
        <v>0.00920417780365193</v>
      </c>
    </row>
    <row r="12" customFormat="false" ht="16" hidden="false" customHeight="false" outlineLevel="0" collapsed="false">
      <c r="A12" s="11" t="n">
        <v>6</v>
      </c>
      <c r="B12" s="12" t="s">
        <v>25</v>
      </c>
      <c r="C12" s="13" t="n">
        <v>30</v>
      </c>
      <c r="D12" s="25" t="n">
        <v>991</v>
      </c>
      <c r="E12" s="12" t="n">
        <f aca="false">117.36+110.98</f>
        <v>228.34</v>
      </c>
      <c r="F12" s="12" t="n">
        <f aca="false">290.27+417.41+426.76+279.2</f>
        <v>1413.64</v>
      </c>
      <c r="G12" s="12" t="n">
        <f aca="false">SUM(E12:F12)</f>
        <v>1641.98</v>
      </c>
      <c r="H12" s="12" t="n">
        <f aca="false">G12-$G$7</f>
        <v>1356.92</v>
      </c>
      <c r="I12" s="14" t="n">
        <f aca="false">(E12-$E$7)/(G12-$G$7)</f>
        <v>0.112600595466203</v>
      </c>
      <c r="J12" s="26" t="n">
        <f aca="false">H13/SUM(Sources!O5:O6)</f>
        <v>0.0458327252058023</v>
      </c>
      <c r="K12" s="23" t="n">
        <v>0.145204204564608</v>
      </c>
    </row>
    <row r="13" customFormat="false" ht="16" hidden="false" customHeight="false" outlineLevel="0" collapsed="false">
      <c r="A13" s="16" t="n">
        <v>7</v>
      </c>
      <c r="B13" s="17" t="s">
        <v>25</v>
      </c>
      <c r="C13" s="18" t="n">
        <v>53</v>
      </c>
      <c r="D13" s="25"/>
      <c r="E13" s="17" t="n">
        <f aca="false">64.86+64.66</f>
        <v>129.52</v>
      </c>
      <c r="F13" s="17" t="n">
        <f aca="false">135.24+180.38+187.43+132.55</f>
        <v>635.6</v>
      </c>
      <c r="G13" s="17" t="n">
        <f aca="false">SUM(E13:F13)</f>
        <v>765.12</v>
      </c>
      <c r="H13" s="17" t="n">
        <f aca="false">G13-$G$7</f>
        <v>480.06</v>
      </c>
      <c r="I13" s="20" t="n">
        <f aca="false">(E13-$E$7)/(G13-$G$7)</f>
        <v>0.112423447069116</v>
      </c>
      <c r="J13" s="26"/>
      <c r="K13" s="24" t="n">
        <v>0.0464900341287953</v>
      </c>
    </row>
    <row r="14" customFormat="false" ht="16" hidden="false" customHeight="false" outlineLevel="0" collapsed="false">
      <c r="A14" s="11" t="n">
        <v>9</v>
      </c>
      <c r="B14" s="12" t="s">
        <v>26</v>
      </c>
      <c r="C14" s="13" t="n">
        <v>30</v>
      </c>
      <c r="D14" s="21" t="n">
        <v>243.870062329733</v>
      </c>
      <c r="E14" s="12" t="n">
        <f aca="false">233.57+232.99</f>
        <v>466.56</v>
      </c>
      <c r="F14" s="12" t="n">
        <f aca="false">314.13+387.33+398.82+312.24</f>
        <v>1412.52</v>
      </c>
      <c r="G14" s="12" t="n">
        <f aca="false">SUM(E14:F14)</f>
        <v>1879.08</v>
      </c>
      <c r="H14" s="12" t="n">
        <f aca="false">G14-$G$7</f>
        <v>1594.02</v>
      </c>
      <c r="I14" s="14" t="n">
        <f aca="false">(E14-$E$7)/(G14-$G$7)</f>
        <v>0.245298051467359</v>
      </c>
      <c r="J14" s="27" t="n">
        <f aca="false">H16/SUM(Sources!N7:N11)</f>
        <v>0.138164244476151</v>
      </c>
      <c r="K14" s="23" t="n">
        <v>0.128401049894645</v>
      </c>
    </row>
    <row r="15" customFormat="false" ht="16" hidden="false" customHeight="false" outlineLevel="0" collapsed="false">
      <c r="A15" s="16" t="n">
        <v>10</v>
      </c>
      <c r="B15" s="17" t="s">
        <v>26</v>
      </c>
      <c r="C15" s="18" t="n">
        <v>53</v>
      </c>
      <c r="D15" s="21"/>
      <c r="E15" s="17" t="n">
        <f aca="false">107.69+108.24</f>
        <v>215.93</v>
      </c>
      <c r="F15" s="17" t="n">
        <f aca="false">148.75+176.27+181.62+148.24</f>
        <v>654.88</v>
      </c>
      <c r="G15" s="17" t="n">
        <f aca="false">SUM(E15:F15)</f>
        <v>870.81</v>
      </c>
      <c r="H15" s="17" t="n">
        <f aca="false">G15-$G$7</f>
        <v>585.75</v>
      </c>
      <c r="I15" s="20" t="n">
        <f aca="false">(E15-$E$7)/(G15-$G$7)</f>
        <v>0.239658557405036</v>
      </c>
      <c r="J15" s="27"/>
      <c r="K15" s="23" t="n">
        <v>0.0411044680305131</v>
      </c>
    </row>
    <row r="16" customFormat="false" ht="16" hidden="false" customHeight="false" outlineLevel="0" collapsed="false">
      <c r="A16" s="16" t="n">
        <v>11</v>
      </c>
      <c r="B16" s="28" t="s">
        <v>27</v>
      </c>
      <c r="C16" s="29" t="n">
        <v>100</v>
      </c>
      <c r="D16" s="21"/>
      <c r="E16" s="19" t="n">
        <f aca="false">52.47+57.34</f>
        <v>109.81</v>
      </c>
      <c r="F16" s="19" t="n">
        <f aca="false">72.66+85.42+89.99+76.64</f>
        <v>324.71</v>
      </c>
      <c r="G16" s="17" t="n">
        <f aca="false">SUM(E16:F16)</f>
        <v>434.52</v>
      </c>
      <c r="H16" s="19" t="n">
        <f aca="false">G16-G8</f>
        <v>134.8</v>
      </c>
      <c r="I16" s="30" t="n">
        <f aca="false">(E16-E8)/(G16-G8)</f>
        <v>0.238204747774481</v>
      </c>
      <c r="J16" s="27"/>
      <c r="K16" s="24" t="n">
        <v>0.0115261441380531</v>
      </c>
    </row>
    <row r="17" customFormat="false" ht="16" hidden="false" customHeight="false" outlineLevel="0" collapsed="false">
      <c r="A17" s="11" t="n">
        <v>12</v>
      </c>
      <c r="B17" s="12" t="s">
        <v>28</v>
      </c>
      <c r="C17" s="13" t="n">
        <v>100</v>
      </c>
      <c r="D17" s="21" t="n">
        <v>3040.66327094721</v>
      </c>
      <c r="E17" s="12" t="n">
        <f aca="false">291.18+346.23</f>
        <v>637.41</v>
      </c>
      <c r="F17" s="12" t="n">
        <f aca="false">431.77+499.84+560.57+457.69</f>
        <v>1949.87</v>
      </c>
      <c r="G17" s="12" t="n">
        <f aca="false">SUM(E17:F17)</f>
        <v>2587.28</v>
      </c>
      <c r="H17" s="12" t="n">
        <f aca="false">G17-G8</f>
        <v>2287.56</v>
      </c>
      <c r="I17" s="14" t="n">
        <f aca="false">(E17-E8)/(G17-G8)</f>
        <v>0.244675549493784</v>
      </c>
      <c r="J17" s="27" t="n">
        <f aca="false">H18/Sources!L12</f>
        <v>0.331483930224932</v>
      </c>
      <c r="K17" s="23" t="n">
        <v>0.231454878228556</v>
      </c>
    </row>
    <row r="18" customFormat="false" ht="16" hidden="false" customHeight="false" outlineLevel="0" collapsed="false">
      <c r="A18" s="31" t="n">
        <v>13</v>
      </c>
      <c r="B18" s="19" t="s">
        <v>28</v>
      </c>
      <c r="C18" s="29" t="n">
        <v>200</v>
      </c>
      <c r="D18" s="21"/>
      <c r="E18" s="19" t="n">
        <f aca="false">111.13+126.05</f>
        <v>237.18</v>
      </c>
      <c r="F18" s="19" t="n">
        <f aca="false">162.48+188.28+203.61+168.56</f>
        <v>722.93</v>
      </c>
      <c r="G18" s="19" t="n">
        <f aca="false">SUM(E18:F18)</f>
        <v>960.11</v>
      </c>
      <c r="H18" s="19" t="n">
        <f aca="false">G18-G8</f>
        <v>660.39</v>
      </c>
      <c r="I18" s="30" t="n">
        <f aca="false">(E18-E8)/(G18-G8)</f>
        <v>0.241493662835597</v>
      </c>
      <c r="J18" s="27"/>
      <c r="K18" s="24" t="n">
        <v>0.0576378734214215</v>
      </c>
    </row>
    <row r="19" customFormat="false" ht="16" hidden="false" customHeight="false" outlineLevel="0" collapsed="false">
      <c r="A19" s="11" t="n">
        <v>14</v>
      </c>
      <c r="B19" s="12" t="s">
        <v>29</v>
      </c>
      <c r="C19" s="13" t="n">
        <v>100</v>
      </c>
      <c r="D19" s="21" t="n">
        <v>599.053684747418</v>
      </c>
      <c r="E19" s="12" t="n">
        <f aca="false">184.99+213.14</f>
        <v>398.13</v>
      </c>
      <c r="F19" s="12" t="n">
        <f aca="false">237.21+290.88+308.12+244.9</f>
        <v>1081.11</v>
      </c>
      <c r="G19" s="17" t="n">
        <f aca="false">SUM(E19:F19)</f>
        <v>1479.24</v>
      </c>
      <c r="H19" s="12" t="n">
        <f aca="false">G19-G8</f>
        <v>1179.52</v>
      </c>
      <c r="I19" s="14" t="n">
        <f aca="false">(E19-$E$8)/(G19-$G$8)</f>
        <v>0.271661353771025</v>
      </c>
      <c r="J19" s="27" t="n">
        <f aca="false">H20/SUM(Sources!L13:L14)</f>
        <v>0.36480231427341</v>
      </c>
      <c r="K19" s="23" t="n">
        <v>0.183515543570734</v>
      </c>
    </row>
    <row r="20" customFormat="false" ht="17" hidden="false" customHeight="false" outlineLevel="0" collapsed="false">
      <c r="A20" s="31" t="n">
        <v>15</v>
      </c>
      <c r="B20" s="19" t="s">
        <v>29</v>
      </c>
      <c r="C20" s="29" t="n">
        <v>200</v>
      </c>
      <c r="D20" s="21"/>
      <c r="E20" s="19" t="n">
        <f aca="false">78.11+89.79</f>
        <v>167.9</v>
      </c>
      <c r="F20" s="19" t="n">
        <f aca="false">103.93+125.16+131.64+107.75</f>
        <v>468.48</v>
      </c>
      <c r="G20" s="19" t="n">
        <f aca="false">SUM(E20:F20)</f>
        <v>636.38</v>
      </c>
      <c r="H20" s="19" t="n">
        <f aca="false">G20-G8</f>
        <v>336.66</v>
      </c>
      <c r="I20" s="30" t="n">
        <f aca="false">(E20-$E$8)/(G20-$G$8)</f>
        <v>0.267926097546486</v>
      </c>
      <c r="J20" s="27"/>
      <c r="K20" s="32" t="n">
        <v>0.045721530562571</v>
      </c>
    </row>
    <row r="22" customFormat="false" ht="16" hidden="false" customHeight="false" outlineLevel="0" collapsed="false">
      <c r="H22" s="20"/>
    </row>
    <row r="25" customFormat="false" ht="19" hidden="false" customHeight="false" outlineLevel="0" collapsed="false">
      <c r="B25" s="33"/>
      <c r="C25" s="34"/>
      <c r="D25" s="35"/>
    </row>
  </sheetData>
  <mergeCells count="11">
    <mergeCell ref="K7:K8"/>
    <mergeCell ref="D9:D11"/>
    <mergeCell ref="J9:J11"/>
    <mergeCell ref="D12:D13"/>
    <mergeCell ref="J12:J13"/>
    <mergeCell ref="D14:D16"/>
    <mergeCell ref="J14:J16"/>
    <mergeCell ref="D17:D18"/>
    <mergeCell ref="J17:J18"/>
    <mergeCell ref="D19:D20"/>
    <mergeCell ref="J19:J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G20" activeCellId="0" sqref="G20"/>
    </sheetView>
  </sheetViews>
  <sheetFormatPr defaultColWidth="10.50390625" defaultRowHeight="16" zeroHeight="false" outlineLevelRow="0" outlineLevelCol="0"/>
  <cols>
    <col collapsed="false" customWidth="true" hidden="false" outlineLevel="0" max="4" min="3" style="0" width="12"/>
    <col collapsed="false" customWidth="true" hidden="false" outlineLevel="0" max="5" min="5" style="0" width="12.66"/>
    <col collapsed="false" customWidth="true" hidden="false" outlineLevel="0" max="6" min="6" style="0" width="12"/>
    <col collapsed="false" customWidth="true" hidden="false" outlineLevel="0" max="8" min="7" style="0" width="16.67"/>
    <col collapsed="false" customWidth="true" hidden="false" outlineLevel="0" max="9" min="9" style="0" width="16"/>
    <col collapsed="false" customWidth="true" hidden="false" outlineLevel="0" max="10" min="10" style="0" width="15"/>
    <col collapsed="false" customWidth="true" hidden="false" outlineLevel="0" max="11" min="11" style="0" width="15.5"/>
    <col collapsed="false" customWidth="true" hidden="false" outlineLevel="0" max="14" min="12" style="0" width="16.5"/>
    <col collapsed="false" customWidth="true" hidden="false" outlineLevel="0" max="16" min="15" style="0" width="14.84"/>
    <col collapsed="false" customWidth="true" hidden="false" outlineLevel="0" max="17" min="17" style="0" width="27.5"/>
  </cols>
  <sheetData>
    <row r="1" customFormat="false" ht="16" hidden="false" customHeight="false" outlineLevel="0" collapsed="false">
      <c r="A1" s="0" t="s">
        <v>30</v>
      </c>
      <c r="C1" s="0" t="n">
        <v>387.5</v>
      </c>
    </row>
    <row r="3" customFormat="false" ht="16" hidden="false" customHeight="false" outlineLevel="0" collapsed="false">
      <c r="A3" s="36" t="s">
        <v>31</v>
      </c>
      <c r="B3" s="37" t="s">
        <v>32</v>
      </c>
      <c r="C3" s="37" t="s">
        <v>9</v>
      </c>
      <c r="D3" s="37" t="s">
        <v>33</v>
      </c>
      <c r="E3" s="37" t="s">
        <v>34</v>
      </c>
      <c r="F3" s="37" t="s">
        <v>35</v>
      </c>
      <c r="G3" s="37" t="s">
        <v>36</v>
      </c>
      <c r="H3" s="37" t="s">
        <v>37</v>
      </c>
      <c r="I3" s="37" t="s">
        <v>38</v>
      </c>
      <c r="J3" s="37" t="s">
        <v>39</v>
      </c>
      <c r="K3" s="37" t="s">
        <v>40</v>
      </c>
      <c r="L3" s="37" t="s">
        <v>41</v>
      </c>
      <c r="M3" s="37" t="s">
        <v>42</v>
      </c>
      <c r="N3" s="37" t="s">
        <v>43</v>
      </c>
      <c r="O3" s="37" t="s">
        <v>44</v>
      </c>
      <c r="P3" s="37" t="s">
        <v>45</v>
      </c>
      <c r="Q3" s="38" t="s">
        <v>46</v>
      </c>
    </row>
    <row r="4" customFormat="false" ht="19" hidden="false" customHeight="false" outlineLevel="0" collapsed="false">
      <c r="A4" s="39" t="s">
        <v>23</v>
      </c>
      <c r="B4" s="40" t="n">
        <v>44456</v>
      </c>
      <c r="C4" s="41" t="n">
        <f aca="false">Measurements!D9</f>
        <v>2343.66613133456</v>
      </c>
      <c r="D4" s="42" t="n">
        <v>59.54</v>
      </c>
      <c r="E4" s="42" t="n">
        <v>0.3592</v>
      </c>
      <c r="F4" s="42" t="n">
        <f aca="false">C4*1000*E4</f>
        <v>841844.874375374</v>
      </c>
      <c r="G4" s="42" t="n">
        <f aca="false">F4/(4*PI()*200*200)</f>
        <v>1.67479716341771</v>
      </c>
      <c r="H4" s="42" t="n">
        <f aca="false">F4/(4*PI()*120*120)</f>
        <v>4.65221434282696</v>
      </c>
      <c r="I4" s="43" t="n">
        <f aca="false">F4/(4*PI()*100*100)</f>
        <v>6.69918865367082</v>
      </c>
      <c r="J4" s="44" t="n">
        <f aca="false">F4/(4*PI()*53*53)</f>
        <v>23.8490162110033</v>
      </c>
      <c r="K4" s="44" t="n">
        <f aca="false">F4/(4*PI()*30*30)</f>
        <v>74.4354294852314</v>
      </c>
      <c r="L4" s="44" t="n">
        <f aca="false">G4*$C$1</f>
        <v>648.983900824361</v>
      </c>
      <c r="M4" s="45" t="n">
        <f aca="false">H4*$C$1</f>
        <v>1802.73305784545</v>
      </c>
      <c r="N4" s="45" t="n">
        <f aca="false">I4*$C$1</f>
        <v>2595.93560329744</v>
      </c>
      <c r="O4" s="45" t="n">
        <f aca="false">J4*$C$1</f>
        <v>9241.49378176377</v>
      </c>
      <c r="P4" s="45" t="n">
        <f aca="false">K4*$C$1</f>
        <v>28843.7289255272</v>
      </c>
      <c r="Q4" s="46" t="n">
        <f aca="false">D4</f>
        <v>59.54</v>
      </c>
    </row>
    <row r="5" customFormat="false" ht="16" hidden="false" customHeight="false" outlineLevel="0" collapsed="false">
      <c r="A5" s="47" t="s">
        <v>25</v>
      </c>
      <c r="B5" s="40"/>
      <c r="C5" s="48" t="n">
        <f aca="false">Measurements!D12</f>
        <v>991</v>
      </c>
      <c r="D5" s="18" t="n">
        <v>122.1</v>
      </c>
      <c r="E5" s="49" t="n">
        <v>0.856</v>
      </c>
      <c r="F5" s="18" t="n">
        <f aca="false">C5*1000*E5</f>
        <v>848296</v>
      </c>
      <c r="G5" s="13" t="n">
        <f aca="false">F5/(4*PI()*200*200)</f>
        <v>1.68763127006353</v>
      </c>
      <c r="H5" s="18" t="n">
        <f aca="false">F5/(4*PI()*120*120)</f>
        <v>4.68786463906536</v>
      </c>
      <c r="I5" s="50" t="n">
        <f aca="false">F5/(4*PI()*100*100)</f>
        <v>6.75052508025412</v>
      </c>
      <c r="J5" s="51" t="n">
        <f aca="false">F5/(4*PI()*53*53)</f>
        <v>24.031773158612</v>
      </c>
      <c r="K5" s="51" t="n">
        <f aca="false">F5/(4*PI()*30*30)</f>
        <v>75.0058342250458</v>
      </c>
      <c r="L5" s="52" t="n">
        <f aca="false">G5*$C$1</f>
        <v>653.957117149618</v>
      </c>
      <c r="M5" s="53" t="n">
        <f aca="false">H5*$C$1</f>
        <v>1816.54754763783</v>
      </c>
      <c r="N5" s="54" t="n">
        <f aca="false">I5*$C$1</f>
        <v>2615.82846859847</v>
      </c>
      <c r="O5" s="54" t="n">
        <f aca="false">J5*$C$1</f>
        <v>9312.31209896217</v>
      </c>
      <c r="P5" s="54" t="n">
        <f aca="false">K5*$C$1</f>
        <v>29064.7607622052</v>
      </c>
      <c r="Q5" s="55" t="n">
        <f aca="false">(D5*E5+D6*E6)/(SUM(E5:E6))</f>
        <v>123.697341088492</v>
      </c>
    </row>
    <row r="6" customFormat="false" ht="16" hidden="false" customHeight="false" outlineLevel="0" collapsed="false">
      <c r="A6" s="47"/>
      <c r="B6" s="40"/>
      <c r="C6" s="48"/>
      <c r="D6" s="29" t="n">
        <v>136.5</v>
      </c>
      <c r="E6" s="29" t="n">
        <v>0.1068</v>
      </c>
      <c r="F6" s="29" t="n">
        <f aca="false">C5*1000*E6</f>
        <v>105838.8</v>
      </c>
      <c r="G6" s="29" t="n">
        <f aca="false">F6/(4*PI()*200*200)</f>
        <v>0.210559602386431</v>
      </c>
      <c r="H6" s="29" t="n">
        <f aca="false">F6/(4*PI()*120*120)</f>
        <v>0.584887784406753</v>
      </c>
      <c r="I6" s="56" t="n">
        <f aca="false">F6/(4*PI()*100*100)</f>
        <v>0.842238409545725</v>
      </c>
      <c r="J6" s="57" t="n">
        <f aca="false">F6/(4*PI()*53*53)</f>
        <v>2.9983567445558</v>
      </c>
      <c r="K6" s="57" t="n">
        <f aca="false">F6/(4*PI()*30*30)</f>
        <v>9.35820455050805</v>
      </c>
      <c r="L6" s="57" t="n">
        <f aca="false">G6*$C$1</f>
        <v>81.5918459247421</v>
      </c>
      <c r="M6" s="58" t="n">
        <f aca="false">H6*$C$1</f>
        <v>226.644016457617</v>
      </c>
      <c r="N6" s="58" t="n">
        <f aca="false">I6*$C$1</f>
        <v>326.367383698968</v>
      </c>
      <c r="O6" s="58" t="n">
        <f aca="false">J6*$C$1</f>
        <v>1161.86323851537</v>
      </c>
      <c r="P6" s="58" t="n">
        <f aca="false">K6*$C$1</f>
        <v>3626.30426332187</v>
      </c>
      <c r="Q6" s="55"/>
    </row>
    <row r="7" customFormat="false" ht="16" hidden="false" customHeight="false" outlineLevel="0" collapsed="false">
      <c r="A7" s="59" t="s">
        <v>26</v>
      </c>
      <c r="B7" s="40"/>
      <c r="C7" s="21" t="n">
        <f aca="false">Measurements!D14</f>
        <v>243.870062329733</v>
      </c>
      <c r="D7" s="13" t="n">
        <v>80.9979</v>
      </c>
      <c r="E7" s="13" t="n">
        <v>0.3331</v>
      </c>
      <c r="F7" s="50" t="n">
        <f aca="false">$C$7*1000*E7</f>
        <v>81233.1177620339</v>
      </c>
      <c r="G7" s="18" t="n">
        <f aca="false">F7/(4*PI()*200*200)</f>
        <v>0.161608152932422</v>
      </c>
      <c r="H7" s="18" t="n">
        <f aca="false">F7/(4*PI()*120*120)</f>
        <v>0.448911535923394</v>
      </c>
      <c r="I7" s="60" t="n">
        <f aca="false">F7/(4*PI()*100*100)</f>
        <v>0.646432611729687</v>
      </c>
      <c r="J7" s="52" t="n">
        <f aca="false">F7/(4*PI()*53*53)</f>
        <v>2.30129089259412</v>
      </c>
      <c r="K7" s="52" t="n">
        <f aca="false">F7/(4*PI()*30*30)</f>
        <v>7.1825845747743</v>
      </c>
      <c r="L7" s="52" t="n">
        <f aca="false">G7*$C$1</f>
        <v>62.6231592613134</v>
      </c>
      <c r="M7" s="53" t="n">
        <f aca="false">H7*$C$1</f>
        <v>173.953220170315</v>
      </c>
      <c r="N7" s="53" t="n">
        <f aca="false">I7*$C$1</f>
        <v>250.492637045254</v>
      </c>
      <c r="O7" s="53" t="n">
        <f aca="false">J7*$C$1</f>
        <v>891.75022088022</v>
      </c>
      <c r="P7" s="53" t="n">
        <f aca="false">K7*$C$1</f>
        <v>2783.25152272504</v>
      </c>
      <c r="Q7" s="61" t="n">
        <f aca="false">(D7*E7+D8*E8+D9*E9+D10*E10+D11*E11)/(SUM(E7:E11))</f>
        <v>275.44449197626</v>
      </c>
    </row>
    <row r="8" customFormat="false" ht="16" hidden="false" customHeight="false" outlineLevel="0" collapsed="false">
      <c r="A8" s="59"/>
      <c r="B8" s="40"/>
      <c r="C8" s="21"/>
      <c r="D8" s="18" t="n">
        <v>276.3989</v>
      </c>
      <c r="E8" s="18" t="n">
        <v>0.0713</v>
      </c>
      <c r="F8" s="60" t="n">
        <f aca="false">$C$7*1000*E8</f>
        <v>17387.9354441099</v>
      </c>
      <c r="G8" s="18" t="n">
        <f aca="false">F8/(4*PI()*200*200)</f>
        <v>0.0345921984511608</v>
      </c>
      <c r="H8" s="18" t="n">
        <f aca="false">F8/(4*PI()*120*120)</f>
        <v>0.0960894401421134</v>
      </c>
      <c r="I8" s="60" t="n">
        <f aca="false">F8/(4*PI()*100*100)</f>
        <v>0.138368793804643</v>
      </c>
      <c r="J8" s="51" t="n">
        <f aca="false">F8/(4*PI()*53*53)</f>
        <v>0.492590935580788</v>
      </c>
      <c r="K8" s="51" t="n">
        <f aca="false">F8/(4*PI()*30*30)</f>
        <v>1.53743104227381</v>
      </c>
      <c r="L8" s="51" t="n">
        <f aca="false">G8*$C$1</f>
        <v>13.4044768998248</v>
      </c>
      <c r="M8" s="54" t="n">
        <f aca="false">H8*$C$1</f>
        <v>37.234658055069</v>
      </c>
      <c r="N8" s="54" t="n">
        <f aca="false">I8*$C$1</f>
        <v>53.6179075992993</v>
      </c>
      <c r="O8" s="54" t="n">
        <f aca="false">J8*$C$1</f>
        <v>190.878987537555</v>
      </c>
      <c r="P8" s="54" t="n">
        <f aca="false">K8*$C$1</f>
        <v>595.754528881103</v>
      </c>
      <c r="Q8" s="61"/>
    </row>
    <row r="9" customFormat="false" ht="16" hidden="false" customHeight="false" outlineLevel="0" collapsed="false">
      <c r="A9" s="59"/>
      <c r="B9" s="40"/>
      <c r="C9" s="21"/>
      <c r="D9" s="18" t="n">
        <v>302.8508</v>
      </c>
      <c r="E9" s="18" t="n">
        <v>0.1831</v>
      </c>
      <c r="F9" s="60" t="n">
        <f aca="false">$C$7*1000*E9</f>
        <v>44652.608412574</v>
      </c>
      <c r="G9" s="18" t="n">
        <f aca="false">F9/(4*PI()*200*200)</f>
        <v>0.0888335418850989</v>
      </c>
      <c r="H9" s="18" t="n">
        <f aca="false">F9/(4*PI()*120*120)</f>
        <v>0.246759838569719</v>
      </c>
      <c r="I9" s="60" t="n">
        <f aca="false">F9/(4*PI()*100*100)</f>
        <v>0.355334167540395</v>
      </c>
      <c r="J9" s="51" t="n">
        <f aca="false">F9/(4*PI()*53*53)</f>
        <v>1.2649845765055</v>
      </c>
      <c r="K9" s="51" t="n">
        <f aca="false">F9/(4*PI()*30*30)</f>
        <v>3.9481574171155</v>
      </c>
      <c r="L9" s="51" t="n">
        <f aca="false">G9*$C$1</f>
        <v>34.4229974804758</v>
      </c>
      <c r="M9" s="54" t="n">
        <f aca="false">H9*$C$1</f>
        <v>95.6194374457661</v>
      </c>
      <c r="N9" s="54" t="n">
        <f aca="false">I9*$C$1</f>
        <v>137.691989921903</v>
      </c>
      <c r="O9" s="54" t="n">
        <f aca="false">J9*$C$1</f>
        <v>490.181523395882</v>
      </c>
      <c r="P9" s="54" t="n">
        <f aca="false">K9*$C$1</f>
        <v>1529.91099913226</v>
      </c>
      <c r="Q9" s="61"/>
    </row>
    <row r="10" customFormat="false" ht="16" hidden="false" customHeight="false" outlineLevel="0" collapsed="false">
      <c r="A10" s="59"/>
      <c r="B10" s="40"/>
      <c r="C10" s="21"/>
      <c r="D10" s="18" t="n">
        <v>356.0129</v>
      </c>
      <c r="E10" s="18" t="n">
        <v>0.6205</v>
      </c>
      <c r="F10" s="60" t="n">
        <f aca="false">$C$7*1000*E10</f>
        <v>151321.373675599</v>
      </c>
      <c r="G10" s="18" t="n">
        <f aca="false">F10/(4*PI()*200*200)</f>
        <v>0.301044307699093</v>
      </c>
      <c r="H10" s="18" t="n">
        <f aca="false">F10/(4*PI()*120*120)</f>
        <v>0.836234188053035</v>
      </c>
      <c r="I10" s="60" t="n">
        <f aca="false">F10/(4*PI()*100*100)</f>
        <v>1.20417723079637</v>
      </c>
      <c r="J10" s="51" t="n">
        <f aca="false">F10/(4*PI()*53*53)</f>
        <v>4.2868537942199</v>
      </c>
      <c r="K10" s="51" t="n">
        <f aca="false">F10/(4*PI()*30*30)</f>
        <v>13.3797470088486</v>
      </c>
      <c r="L10" s="51" t="n">
        <f aca="false">G10*$C$1</f>
        <v>116.654669233398</v>
      </c>
      <c r="M10" s="54" t="n">
        <f aca="false">H10*$C$1</f>
        <v>324.040747870551</v>
      </c>
      <c r="N10" s="54" t="n">
        <f aca="false">I10*$C$1</f>
        <v>466.618676933593</v>
      </c>
      <c r="O10" s="54" t="n">
        <f aca="false">J10*$C$1</f>
        <v>1661.15584526021</v>
      </c>
      <c r="P10" s="54" t="n">
        <f aca="false">K10*$C$1</f>
        <v>5184.65196592882</v>
      </c>
      <c r="Q10" s="61"/>
    </row>
    <row r="11" customFormat="false" ht="16" hidden="false" customHeight="false" outlineLevel="0" collapsed="false">
      <c r="A11" s="59"/>
      <c r="B11" s="40"/>
      <c r="C11" s="21"/>
      <c r="D11" s="29" t="n">
        <v>383.8485</v>
      </c>
      <c r="E11" s="29" t="n">
        <v>0.0894</v>
      </c>
      <c r="F11" s="56" t="n">
        <f aca="false">$C$7*1000*E11</f>
        <v>21801.9835722781</v>
      </c>
      <c r="G11" s="29" t="n">
        <f aca="false">F11/(4*PI()*200*200)</f>
        <v>0.0433736681842045</v>
      </c>
      <c r="H11" s="29" t="n">
        <f aca="false">F11/(4*PI()*120*120)</f>
        <v>0.12048241162279</v>
      </c>
      <c r="I11" s="56" t="n">
        <f aca="false">F11/(4*PI()*100*100)</f>
        <v>0.173494672736818</v>
      </c>
      <c r="J11" s="57" t="n">
        <f aca="false">F11/(4*PI()*53*53)</f>
        <v>0.617638564388814</v>
      </c>
      <c r="K11" s="57" t="n">
        <f aca="false">F11/(4*PI()*30*30)</f>
        <v>1.92771858596464</v>
      </c>
      <c r="L11" s="57" t="n">
        <f aca="false">G11*$C$1</f>
        <v>16.8072964213792</v>
      </c>
      <c r="M11" s="58" t="n">
        <f aca="false">H11*$C$1</f>
        <v>46.6869345038312</v>
      </c>
      <c r="N11" s="58" t="n">
        <f aca="false">I11*$C$1</f>
        <v>67.2291856855169</v>
      </c>
      <c r="O11" s="58" t="n">
        <f aca="false">J11*$C$1</f>
        <v>239.334943700665</v>
      </c>
      <c r="P11" s="58" t="n">
        <f aca="false">K11*$C$1</f>
        <v>746.990952061299</v>
      </c>
      <c r="Q11" s="61"/>
    </row>
    <row r="12" customFormat="false" ht="19" hidden="false" customHeight="false" outlineLevel="0" collapsed="false">
      <c r="A12" s="39" t="s">
        <v>28</v>
      </c>
      <c r="B12" s="40"/>
      <c r="C12" s="41" t="n">
        <f aca="false">Measurements!D17</f>
        <v>3040.66327094721</v>
      </c>
      <c r="D12" s="42" t="n">
        <v>661.657</v>
      </c>
      <c r="E12" s="42" t="n">
        <v>0.8499</v>
      </c>
      <c r="F12" s="43" t="n">
        <f aca="false">C12*1000*E12</f>
        <v>2584259.71397803</v>
      </c>
      <c r="G12" s="42" t="n">
        <f aca="false">F12/(4*PI()*200*200)</f>
        <v>5.14122134641065</v>
      </c>
      <c r="H12" s="42" t="n">
        <f aca="false">F12/(4*PI()*120*120)</f>
        <v>14.2811704066962</v>
      </c>
      <c r="I12" s="43" t="n">
        <f aca="false">F12/(4*PI()*100*100)</f>
        <v>20.5648853856426</v>
      </c>
      <c r="J12" s="44" t="n">
        <f aca="false">F12/(4*PI()*53*53)</f>
        <v>73.2106991300911</v>
      </c>
      <c r="K12" s="44" t="n">
        <f aca="false">F12/(4*PI()*30*30)</f>
        <v>228.49872650714</v>
      </c>
      <c r="L12" s="44" t="n">
        <f aca="false">G12*$C$1</f>
        <v>1992.22327173412</v>
      </c>
      <c r="M12" s="45" t="n">
        <f aca="false">H12*$C$1</f>
        <v>5533.95353259479</v>
      </c>
      <c r="N12" s="58" t="n">
        <f aca="false">I12*$C$1</f>
        <v>7968.8930869365</v>
      </c>
      <c r="O12" s="45" t="n">
        <f aca="false">J12*$C$1</f>
        <v>28369.1459129103</v>
      </c>
      <c r="P12" s="45" t="n">
        <f aca="false">K12*$C$1</f>
        <v>88543.2565215167</v>
      </c>
      <c r="Q12" s="61" t="n">
        <f aca="false">D12</f>
        <v>661.657</v>
      </c>
    </row>
    <row r="13" customFormat="false" ht="16" hidden="false" customHeight="false" outlineLevel="0" collapsed="false">
      <c r="A13" s="59" t="s">
        <v>29</v>
      </c>
      <c r="B13" s="40"/>
      <c r="C13" s="21" t="n">
        <f aca="false">Measurements!D19</f>
        <v>599.053684747418</v>
      </c>
      <c r="D13" s="13" t="n">
        <v>1173.228</v>
      </c>
      <c r="E13" s="13" t="n">
        <v>0.9985</v>
      </c>
      <c r="F13" s="50" t="n">
        <f aca="false">C13*1000*E13</f>
        <v>598155.104220297</v>
      </c>
      <c r="G13" s="13" t="n">
        <f aca="false">F13/(4*PI()*200*200)</f>
        <v>1.18999176965385</v>
      </c>
      <c r="H13" s="18" t="n">
        <f aca="false">F13/(4*PI()*120*120)</f>
        <v>3.30553269348292</v>
      </c>
      <c r="I13" s="51" t="n">
        <f aca="false">F13/(4*PI()*100*100)</f>
        <v>4.7599670786154</v>
      </c>
      <c r="J13" s="52" t="n">
        <f aca="false">F13/(4*PI()*53*53)</f>
        <v>16.9454150182108</v>
      </c>
      <c r="K13" s="52" t="n">
        <f aca="false">F13/(4*PI()*30*30)</f>
        <v>52.8885230957267</v>
      </c>
      <c r="L13" s="52" t="n">
        <f aca="false">G13*$C$1</f>
        <v>461.121810740867</v>
      </c>
      <c r="M13" s="53" t="n">
        <f aca="false">H13*$C$1</f>
        <v>1280.89391872463</v>
      </c>
      <c r="N13" s="53" t="n">
        <f aca="false">I13*$C$1</f>
        <v>1844.48724296347</v>
      </c>
      <c r="O13" s="53" t="n">
        <f aca="false">J13*$C$1</f>
        <v>6566.34831955667</v>
      </c>
      <c r="P13" s="53" t="n">
        <f aca="false">K13*$C$1</f>
        <v>20494.3026995941</v>
      </c>
      <c r="Q13" s="61" t="n">
        <f aca="false">(D13*E13+D14*E14)/(SUM(E13:E14))</f>
        <v>1252.91284024328</v>
      </c>
    </row>
    <row r="14" customFormat="false" ht="16" hidden="false" customHeight="false" outlineLevel="0" collapsed="false">
      <c r="A14" s="59"/>
      <c r="B14" s="40"/>
      <c r="C14" s="21"/>
      <c r="D14" s="29" t="n">
        <v>1332.492</v>
      </c>
      <c r="E14" s="29" t="n">
        <v>0.999826</v>
      </c>
      <c r="F14" s="56" t="n">
        <f aca="false">C13*1000*E14</f>
        <v>598949.449406272</v>
      </c>
      <c r="G14" s="29" t="n">
        <f aca="false">F14/(4*PI()*200*200)</f>
        <v>1.19157206918972</v>
      </c>
      <c r="H14" s="29" t="n">
        <f aca="false">F14/(4*PI()*120*120)</f>
        <v>3.30992241441588</v>
      </c>
      <c r="I14" s="57" t="n">
        <f aca="false">F14/(4*PI()*100*100)</f>
        <v>4.76628827675886</v>
      </c>
      <c r="J14" s="57" t="n">
        <f aca="false">F14/(4*PI()*53*53)</f>
        <v>16.967918393588</v>
      </c>
      <c r="K14" s="57" t="n">
        <f aca="false">F14/(4*PI()*30*30)</f>
        <v>52.958758630654</v>
      </c>
      <c r="L14" s="57" t="n">
        <f aca="false">G14*$C$1</f>
        <v>461.734176811015</v>
      </c>
      <c r="M14" s="58" t="n">
        <f aca="false">H14*$C$1</f>
        <v>1282.59493558615</v>
      </c>
      <c r="N14" s="58" t="n">
        <f aca="false">I14*$C$1</f>
        <v>1846.93670724406</v>
      </c>
      <c r="O14" s="58" t="n">
        <f aca="false">J14*$C$1</f>
        <v>6575.06837751534</v>
      </c>
      <c r="P14" s="58" t="n">
        <f aca="false">K14*$C$1</f>
        <v>20521.5189693784</v>
      </c>
      <c r="Q14" s="61"/>
    </row>
  </sheetData>
  <mergeCells count="10">
    <mergeCell ref="B4:B14"/>
    <mergeCell ref="A5:A6"/>
    <mergeCell ref="C5:C6"/>
    <mergeCell ref="Q5:Q6"/>
    <mergeCell ref="A7:A11"/>
    <mergeCell ref="C7:C11"/>
    <mergeCell ref="Q7:Q11"/>
    <mergeCell ref="A13:A14"/>
    <mergeCell ref="C13:C14"/>
    <mergeCell ref="Q13:Q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2021-09-17T08:16:23Z</dcterms:created>
  <dc:creator>Microsoft Office User</dc:creator>
  <dc:description/>
  <dc:language>en-US</dc:language>
  <cp:lastModifiedBy/>
  <dcterms:modified xsi:type="dcterms:W3CDTF">2021-12-16T11:07:43Z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