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universitedauphine-my.sharepoint.com/personal/pauline_chauveau0_dauphine_eu/Documents/"/>
    </mc:Choice>
  </mc:AlternateContent>
  <xr:revisionPtr revIDLastSave="2600" documentId="8_{1BF617F2-3889-4C37-90C7-C8257C595B0B}" xr6:coauthVersionLast="47" xr6:coauthVersionMax="47" xr10:uidLastSave="{EF7C2CAF-7499-4E97-BD5C-8054E7D932D0}"/>
  <bookViews>
    <workbookView minimized="1" xWindow="1900" yWindow="1740" windowWidth="14400" windowHeight="7270" firstSheet="3" activeTab="4" xr2:uid="{B16C6E33-0481-8644-9BE6-5C62BD190D7E}"/>
  </bookViews>
  <sheets>
    <sheet name="README" sheetId="4" r:id="rId1"/>
    <sheet name="Bilan" sheetId="3" r:id="rId2"/>
    <sheet name="Compte de résultat" sheetId="6" r:id="rId3"/>
    <sheet name="SIG + Valo DCF" sheetId="1" r:id="rId4"/>
    <sheet name="Valo Performance" sheetId="8" r:id="rId5"/>
    <sheet name="Valo Comparative" sheetId="7" r:id="rId6"/>
    <sheet name="Valo Patrimoniale"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5" i="7" l="1"/>
  <c r="D45" i="7"/>
  <c r="B45" i="7"/>
  <c r="B44" i="7"/>
  <c r="C42" i="7"/>
  <c r="D42" i="7"/>
  <c r="E42" i="7"/>
  <c r="C43" i="7"/>
  <c r="B42" i="7"/>
  <c r="B43" i="7"/>
  <c r="C41" i="7"/>
  <c r="D41" i="7"/>
  <c r="E41" i="7"/>
  <c r="B41" i="7"/>
  <c r="C39" i="7"/>
  <c r="B39" i="7"/>
  <c r="C38" i="7"/>
  <c r="C37" i="7"/>
  <c r="C36" i="7"/>
  <c r="D36" i="7"/>
  <c r="E36" i="7"/>
  <c r="B36" i="7"/>
  <c r="B37" i="7"/>
  <c r="E35" i="7"/>
  <c r="C35" i="7"/>
  <c r="D35" i="7"/>
  <c r="B35" i="7"/>
  <c r="J7" i="7"/>
  <c r="I7" i="7"/>
  <c r="D9" i="1"/>
  <c r="D5" i="8"/>
  <c r="G12" i="8" s="1"/>
  <c r="M38" i="1"/>
  <c r="N38" i="1" s="1"/>
  <c r="O38" i="1" s="1"/>
  <c r="L38" i="1"/>
  <c r="W18" i="1"/>
  <c r="V18" i="1"/>
  <c r="U18" i="1"/>
  <c r="T18" i="1"/>
  <c r="S18" i="1"/>
  <c r="W17" i="1"/>
  <c r="W19" i="1" s="1"/>
  <c r="V17" i="1"/>
  <c r="V19" i="1" s="1"/>
  <c r="U17" i="1"/>
  <c r="U19" i="1" s="1"/>
  <c r="T17" i="1"/>
  <c r="T19" i="1" s="1"/>
  <c r="S17" i="1"/>
  <c r="S19" i="1" s="1"/>
  <c r="G15" i="8"/>
  <c r="D15" i="8"/>
  <c r="H11" i="8"/>
  <c r="H15" i="8" s="1"/>
  <c r="D10" i="8"/>
  <c r="G44" i="1"/>
  <c r="B44" i="1"/>
  <c r="C26" i="7"/>
  <c r="D26" i="7"/>
  <c r="E26" i="7"/>
  <c r="F26" i="7"/>
  <c r="B26" i="7"/>
  <c r="C16" i="7"/>
  <c r="D16" i="7"/>
  <c r="E16" i="7"/>
  <c r="F16" i="7"/>
  <c r="B16" i="7"/>
  <c r="B16" i="6"/>
  <c r="C21" i="7"/>
  <c r="D21" i="7"/>
  <c r="E21" i="7"/>
  <c r="F21" i="7"/>
  <c r="B21" i="7"/>
  <c r="F9" i="6"/>
  <c r="D45" i="6"/>
  <c r="E45" i="6"/>
  <c r="F45" i="6"/>
  <c r="G45" i="6"/>
  <c r="B30" i="7"/>
  <c r="C30" i="7"/>
  <c r="D30" i="7"/>
  <c r="B31" i="7"/>
  <c r="C31" i="7"/>
  <c r="D31" i="7"/>
  <c r="C29" i="7"/>
  <c r="D29" i="7"/>
  <c r="B29" i="7"/>
  <c r="E30" i="7"/>
  <c r="F30" i="7"/>
  <c r="E31" i="7"/>
  <c r="F31" i="7"/>
  <c r="L47" i="1"/>
  <c r="M47" i="1"/>
  <c r="N47" i="1"/>
  <c r="F5" i="5"/>
  <c r="E20" i="5"/>
  <c r="F20" i="5"/>
  <c r="C19" i="5"/>
  <c r="C20" i="5" s="1"/>
  <c r="D19" i="5"/>
  <c r="D20" i="5" s="1"/>
  <c r="B19" i="5"/>
  <c r="B20" i="5" s="1"/>
  <c r="H71" i="1"/>
  <c r="G71" i="1"/>
  <c r="F71" i="1"/>
  <c r="E71" i="1"/>
  <c r="D71" i="1"/>
  <c r="H70" i="1"/>
  <c r="G70" i="1"/>
  <c r="F70" i="1"/>
  <c r="E70" i="1"/>
  <c r="D70" i="1"/>
  <c r="H63" i="1"/>
  <c r="G63" i="1"/>
  <c r="F63" i="1"/>
  <c r="E63" i="1"/>
  <c r="D63" i="1"/>
  <c r="H62" i="1"/>
  <c r="G62" i="1"/>
  <c r="F62" i="1"/>
  <c r="E62" i="1"/>
  <c r="D62" i="1"/>
  <c r="E71" i="6"/>
  <c r="H61" i="1"/>
  <c r="G61" i="1"/>
  <c r="G64" i="1" s="1"/>
  <c r="F61" i="1"/>
  <c r="E61" i="1"/>
  <c r="D61" i="1"/>
  <c r="D71" i="6"/>
  <c r="H34" i="1"/>
  <c r="G34" i="1"/>
  <c r="F34" i="1"/>
  <c r="E34" i="1"/>
  <c r="D34" i="1"/>
  <c r="H19" i="1"/>
  <c r="G19" i="1"/>
  <c r="F19" i="1"/>
  <c r="E19" i="1"/>
  <c r="E75" i="1" s="1"/>
  <c r="D19" i="1"/>
  <c r="H29" i="1"/>
  <c r="G29" i="1"/>
  <c r="E29" i="1"/>
  <c r="F29" i="1"/>
  <c r="D29" i="1"/>
  <c r="H24" i="1"/>
  <c r="G24" i="1"/>
  <c r="F24" i="1"/>
  <c r="E24" i="1"/>
  <c r="D24" i="1"/>
  <c r="L18" i="1"/>
  <c r="M18" i="1" s="1"/>
  <c r="N18" i="1" s="1"/>
  <c r="O18" i="1" s="1"/>
  <c r="K18" i="1"/>
  <c r="D17" i="1"/>
  <c r="D18" i="1"/>
  <c r="D4" i="6"/>
  <c r="H18" i="1" s="1"/>
  <c r="E4" i="6"/>
  <c r="G18" i="1" s="1"/>
  <c r="F4" i="6"/>
  <c r="F18" i="1" s="1"/>
  <c r="G4" i="6"/>
  <c r="E18" i="1" s="1"/>
  <c r="H17" i="1"/>
  <c r="H77" i="1" s="1"/>
  <c r="K77" i="1" s="1"/>
  <c r="G17" i="1"/>
  <c r="G38" i="1" s="1"/>
  <c r="F17" i="1"/>
  <c r="F38" i="1" s="1"/>
  <c r="E17" i="1"/>
  <c r="E77" i="1" s="1"/>
  <c r="O47" i="1" l="1"/>
  <c r="K47" i="1"/>
  <c r="B38" i="7"/>
  <c r="H12" i="8"/>
  <c r="H10" i="8" s="1"/>
  <c r="H14" i="8" s="1"/>
  <c r="G10" i="8"/>
  <c r="G14" i="8" s="1"/>
  <c r="D12" i="8"/>
  <c r="I11" i="8"/>
  <c r="J11" i="8" s="1"/>
  <c r="K11" i="8" s="1"/>
  <c r="L11" i="8" s="1"/>
  <c r="M11" i="8" s="1"/>
  <c r="N11" i="8" s="1"/>
  <c r="O11" i="8" s="1"/>
  <c r="P11" i="8" s="1"/>
  <c r="P15" i="8" s="1"/>
  <c r="C44" i="7"/>
  <c r="E74" i="1"/>
  <c r="D32" i="7"/>
  <c r="D33" i="7" s="1"/>
  <c r="C32" i="7"/>
  <c r="C33" i="7" s="1"/>
  <c r="B32" i="7"/>
  <c r="B33" i="7" s="1"/>
  <c r="G76" i="1"/>
  <c r="H76" i="1"/>
  <c r="K76" i="1" s="1"/>
  <c r="D30" i="1"/>
  <c r="F30" i="1"/>
  <c r="F65" i="1"/>
  <c r="H65" i="1"/>
  <c r="K65" i="1" s="1"/>
  <c r="N65" i="1" s="1"/>
  <c r="D66" i="1"/>
  <c r="E64" i="1"/>
  <c r="F66" i="1"/>
  <c r="H66" i="1"/>
  <c r="F67" i="1"/>
  <c r="G67" i="1"/>
  <c r="H67" i="1"/>
  <c r="K67" i="1" s="1"/>
  <c r="G75" i="1"/>
  <c r="H75" i="1"/>
  <c r="F76" i="1"/>
  <c r="E38" i="1"/>
  <c r="D76" i="1"/>
  <c r="G77" i="1"/>
  <c r="E25" i="1"/>
  <c r="G66" i="1"/>
  <c r="E76" i="1"/>
  <c r="G65" i="1"/>
  <c r="D75" i="1"/>
  <c r="E30" i="1"/>
  <c r="E65" i="1"/>
  <c r="D67" i="1"/>
  <c r="H64" i="1"/>
  <c r="D64" i="1"/>
  <c r="K17" i="1"/>
  <c r="G30" i="1"/>
  <c r="K30" i="1" s="1"/>
  <c r="L30" i="1" s="1"/>
  <c r="F64" i="1"/>
  <c r="E67" i="1"/>
  <c r="F74" i="1"/>
  <c r="O65" i="1"/>
  <c r="E66" i="1"/>
  <c r="H38" i="1"/>
  <c r="F77" i="1"/>
  <c r="F75" i="1"/>
  <c r="H30" i="1"/>
  <c r="D74" i="1"/>
  <c r="D65" i="1"/>
  <c r="H74" i="1"/>
  <c r="D22" i="1"/>
  <c r="D23" i="1" s="1"/>
  <c r="G74" i="1"/>
  <c r="G80" i="1" s="1"/>
  <c r="D77" i="1"/>
  <c r="G22" i="1"/>
  <c r="G23" i="1" s="1"/>
  <c r="F20" i="1"/>
  <c r="E20" i="1"/>
  <c r="F22" i="1"/>
  <c r="F23" i="1" s="1"/>
  <c r="D25" i="1"/>
  <c r="H20" i="1"/>
  <c r="H25" i="1"/>
  <c r="F25" i="1"/>
  <c r="E22" i="1"/>
  <c r="D20" i="1"/>
  <c r="G20" i="1"/>
  <c r="G25" i="1"/>
  <c r="H22" i="1"/>
  <c r="K75" i="1" l="1"/>
  <c r="E80" i="1"/>
  <c r="J15" i="8"/>
  <c r="N12" i="8"/>
  <c r="N10" i="8" s="1"/>
  <c r="N15" i="8"/>
  <c r="M12" i="8"/>
  <c r="M10" i="8" s="1"/>
  <c r="M15" i="8"/>
  <c r="P12" i="8"/>
  <c r="P10" i="8" s="1"/>
  <c r="P14" i="8" s="1"/>
  <c r="I12" i="8"/>
  <c r="I10" i="8" s="1"/>
  <c r="I14" i="8" s="1"/>
  <c r="O15" i="8"/>
  <c r="L15" i="8"/>
  <c r="K15" i="8"/>
  <c r="J12" i="8"/>
  <c r="J10" i="8" s="1"/>
  <c r="O12" i="8"/>
  <c r="O10" i="8" s="1"/>
  <c r="I15" i="8"/>
  <c r="L12" i="8"/>
  <c r="L10" i="8" s="1"/>
  <c r="K12" i="8"/>
  <c r="K10" i="8" s="1"/>
  <c r="M65" i="1"/>
  <c r="L65" i="1"/>
  <c r="L61" i="1" s="1"/>
  <c r="H80" i="1"/>
  <c r="H81" i="1" s="1"/>
  <c r="L75" i="1"/>
  <c r="O75" i="1"/>
  <c r="D80" i="1"/>
  <c r="D81" i="1" s="1"/>
  <c r="L17" i="1"/>
  <c r="K71" i="1"/>
  <c r="K72" i="1"/>
  <c r="F80" i="1"/>
  <c r="K38" i="1"/>
  <c r="K37" i="1" s="1"/>
  <c r="K61" i="1"/>
  <c r="O30" i="1"/>
  <c r="L76" i="1"/>
  <c r="M30" i="1"/>
  <c r="M76" i="1"/>
  <c r="N76" i="1"/>
  <c r="O76" i="1"/>
  <c r="G81" i="1"/>
  <c r="G83" i="1"/>
  <c r="G39" i="1" s="1"/>
  <c r="L37" i="1"/>
  <c r="E81" i="1"/>
  <c r="O66" i="1"/>
  <c r="M66" i="1"/>
  <c r="N66" i="1"/>
  <c r="L66" i="1"/>
  <c r="D27" i="1"/>
  <c r="D32" i="1" s="1"/>
  <c r="K29" i="1"/>
  <c r="H83" i="1"/>
  <c r="H39" i="1" s="1"/>
  <c r="F81" i="1"/>
  <c r="F83" i="1"/>
  <c r="F39" i="1" s="1"/>
  <c r="N30" i="1"/>
  <c r="K25" i="1"/>
  <c r="M25" i="1" s="1"/>
  <c r="D28" i="1"/>
  <c r="G27" i="1"/>
  <c r="F27" i="1"/>
  <c r="E23" i="1"/>
  <c r="E27" i="1"/>
  <c r="H23" i="1"/>
  <c r="H27" i="1"/>
  <c r="K20" i="1"/>
  <c r="M20" i="1" s="1"/>
  <c r="M75" i="1" l="1"/>
  <c r="N75" i="1"/>
  <c r="N14" i="8"/>
  <c r="L14" i="8"/>
  <c r="O14" i="8"/>
  <c r="M14" i="8"/>
  <c r="J14" i="8"/>
  <c r="K14" i="8"/>
  <c r="L71" i="1"/>
  <c r="E83" i="1"/>
  <c r="E39" i="1" s="1"/>
  <c r="M17" i="1"/>
  <c r="L29" i="1"/>
  <c r="M67" i="1"/>
  <c r="M63" i="1" s="1"/>
  <c r="O67" i="1"/>
  <c r="L67" i="1"/>
  <c r="L63" i="1" s="1"/>
  <c r="K63" i="1"/>
  <c r="N67" i="1"/>
  <c r="L72" i="1"/>
  <c r="M72" i="1"/>
  <c r="O77" i="1"/>
  <c r="K73" i="1"/>
  <c r="L77" i="1"/>
  <c r="L73" i="1" s="1"/>
  <c r="M77" i="1"/>
  <c r="M73" i="1" s="1"/>
  <c r="N77" i="1"/>
  <c r="N25" i="1"/>
  <c r="L25" i="1"/>
  <c r="L24" i="1" s="1"/>
  <c r="O25" i="1"/>
  <c r="K24" i="1"/>
  <c r="D33" i="1"/>
  <c r="D36" i="1"/>
  <c r="H28" i="1"/>
  <c r="H32" i="1"/>
  <c r="G28" i="1"/>
  <c r="G32" i="1"/>
  <c r="F32" i="1"/>
  <c r="F28" i="1"/>
  <c r="E32" i="1"/>
  <c r="E28" i="1"/>
  <c r="K19" i="1"/>
  <c r="L20" i="1"/>
  <c r="L19" i="1" s="1"/>
  <c r="L62" i="1" s="1"/>
  <c r="L64" i="1" s="1"/>
  <c r="O20" i="1"/>
  <c r="N20" i="1"/>
  <c r="D17" i="8" l="1"/>
  <c r="N17" i="1"/>
  <c r="M61" i="1"/>
  <c r="M19" i="1"/>
  <c r="M24" i="1"/>
  <c r="M71" i="1"/>
  <c r="M29" i="1"/>
  <c r="M37" i="1"/>
  <c r="L22" i="1"/>
  <c r="L23" i="1" s="1"/>
  <c r="L70" i="1"/>
  <c r="L74" i="1" s="1"/>
  <c r="L80" i="1" s="1"/>
  <c r="K22" i="1"/>
  <c r="K23" i="1" s="1"/>
  <c r="K70" i="1"/>
  <c r="K74" i="1" s="1"/>
  <c r="K62" i="1"/>
  <c r="K64" i="1" s="1"/>
  <c r="F33" i="1"/>
  <c r="F36" i="1"/>
  <c r="F41" i="1" s="1"/>
  <c r="H33" i="1"/>
  <c r="H36" i="1"/>
  <c r="H41" i="1" s="1"/>
  <c r="B50" i="1" s="1"/>
  <c r="F50" i="1" s="1"/>
  <c r="E33" i="1"/>
  <c r="E36" i="1"/>
  <c r="E41" i="1" s="1"/>
  <c r="G33" i="1"/>
  <c r="G36" i="1"/>
  <c r="G41" i="1" s="1"/>
  <c r="K80" i="1" l="1"/>
  <c r="L83" i="1" s="1"/>
  <c r="L39" i="1" s="1"/>
  <c r="M22" i="1"/>
  <c r="M70" i="1"/>
  <c r="M74" i="1" s="1"/>
  <c r="M62" i="1"/>
  <c r="M64" i="1" s="1"/>
  <c r="O17" i="1"/>
  <c r="N61" i="1"/>
  <c r="N29" i="1"/>
  <c r="N37" i="1"/>
  <c r="N71" i="1"/>
  <c r="N72" i="1"/>
  <c r="N19" i="1"/>
  <c r="N24" i="1"/>
  <c r="N73" i="1"/>
  <c r="N63" i="1"/>
  <c r="L81" i="1"/>
  <c r="L27" i="1"/>
  <c r="K27" i="1"/>
  <c r="K32" i="1" s="1"/>
  <c r="L32" i="1"/>
  <c r="L28" i="1"/>
  <c r="K28" i="1"/>
  <c r="K81" i="1" l="1"/>
  <c r="K83" i="1"/>
  <c r="K39" i="1" s="1"/>
  <c r="N62" i="1"/>
  <c r="N64" i="1" s="1"/>
  <c r="N22" i="1"/>
  <c r="N70" i="1"/>
  <c r="N74" i="1" s="1"/>
  <c r="O61" i="1"/>
  <c r="O37" i="1"/>
  <c r="O71" i="1"/>
  <c r="O29" i="1"/>
  <c r="O72" i="1"/>
  <c r="O19" i="1"/>
  <c r="O24" i="1"/>
  <c r="O73" i="1"/>
  <c r="O63" i="1"/>
  <c r="O22" i="1"/>
  <c r="M80" i="1"/>
  <c r="M23" i="1"/>
  <c r="M27" i="1"/>
  <c r="L33" i="1"/>
  <c r="L34" i="1"/>
  <c r="L36" i="1" s="1"/>
  <c r="L41" i="1" s="1"/>
  <c r="L48" i="1" s="1"/>
  <c r="K33" i="1"/>
  <c r="K34" i="1"/>
  <c r="K36" i="1" s="1"/>
  <c r="K41" i="1" l="1"/>
  <c r="K48" i="1" s="1"/>
  <c r="N80" i="1"/>
  <c r="N81" i="1" s="1"/>
  <c r="M32" i="1"/>
  <c r="M28" i="1"/>
  <c r="M83" i="1"/>
  <c r="M39" i="1" s="1"/>
  <c r="M81" i="1"/>
  <c r="O27" i="1"/>
  <c r="O23" i="1"/>
  <c r="O70" i="1"/>
  <c r="O74" i="1" s="1"/>
  <c r="O62" i="1"/>
  <c r="O64" i="1" s="1"/>
  <c r="N23" i="1"/>
  <c r="N27" i="1"/>
  <c r="O80" i="1" l="1"/>
  <c r="O81" i="1" s="1"/>
  <c r="N83" i="1"/>
  <c r="N39" i="1" s="1"/>
  <c r="N32" i="1"/>
  <c r="N28" i="1"/>
  <c r="O32" i="1"/>
  <c r="O28" i="1"/>
  <c r="M33" i="1"/>
  <c r="M34" i="1"/>
  <c r="M36" i="1" s="1"/>
  <c r="M41" i="1" s="1"/>
  <c r="M48" i="1" s="1"/>
  <c r="O83" i="1" l="1"/>
  <c r="O39" i="1" s="1"/>
  <c r="O33" i="1"/>
  <c r="O34" i="1"/>
  <c r="O36" i="1" s="1"/>
  <c r="N33" i="1"/>
  <c r="N34" i="1"/>
  <c r="N36" i="1" s="1"/>
  <c r="N41" i="1" s="1"/>
  <c r="N48" i="1" s="1"/>
  <c r="O41" i="1" l="1"/>
  <c r="O48" i="1" s="1"/>
  <c r="D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tc={F1729C32-F402-4331-8C3F-4A2971952CC3}</author>
    <author>tc={C38FDFE4-46E8-4A05-AA59-03D1222563A4}</author>
    <author>tc={3569CDB7-47C0-488D-B56C-D12921DAFF9D}</author>
  </authors>
  <commentList>
    <comment ref="E5" authorId="0" shapeId="0" xr:uid="{F1729C32-F402-4331-8C3F-4A2971952C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2022, la firme basée à San Francisco a confirmé ses projections. Elle vise un chiffre d'affaires de 6,4 à 6,5 milliards de dollars (consensus de 6,44 milliards), en croissance de 11% à 13%, ainsi qu'un BPA ajusté de 1,5 à 1,56 dollar (consensus à 1,54 dollar) Source : Capital</t>
      </text>
    </comment>
    <comment ref="E7" authorId="1" shapeId="0" xr:uid="{C38FDFE4-46E8-4A05-AA59-03D1222563A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Source : zone bourse</t>
      </text>
    </comment>
    <comment ref="D9" authorId="2" shapeId="0" xr:uid="{3569CDB7-47C0-488D-B56C-D12921DAFF9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source : valueinvesting.io</t>
      </text>
    </comment>
  </commentList>
</comments>
</file>

<file path=xl/sharedStrings.xml><?xml version="1.0" encoding="utf-8"?>
<sst xmlns="http://schemas.openxmlformats.org/spreadsheetml/2006/main" count="620" uniqueCount="436">
  <si>
    <t>Projet Comptablilité d'entreprise</t>
  </si>
  <si>
    <t>Travail effectué dans le cadre du cours de comptabilité d'entreprise, M1 Paris-Dauphine</t>
  </si>
  <si>
    <t>Pauline CHAUVEAU, Thibault GAILLARD, Ghislain ZELLER</t>
  </si>
  <si>
    <t xml:space="preserve">Entreprise choisie : </t>
  </si>
  <si>
    <t>Levi Strauss &amp; Co.'s</t>
  </si>
  <si>
    <t>Sources Bilan/Compte de résutlat</t>
  </si>
  <si>
    <t>Annual Report :</t>
  </si>
  <si>
    <t>https://d18rn0p25nwr6d.cloudfront.net/CIK-0000094845/a950660b-e090-48b0-baa7-7d1fa0db43b9.pdf</t>
  </si>
  <si>
    <t>Wall Street Journal</t>
  </si>
  <si>
    <t>https://www.wsj.com/market-data/quotes/LEVI/financials/annual/income-statement</t>
  </si>
  <si>
    <t>Autres sources</t>
  </si>
  <si>
    <t>DCF</t>
  </si>
  <si>
    <t>https://www.zonebourse.com/cours/action/LEVI-STRAUSS-CO-56112430/fondamentaux/</t>
  </si>
  <si>
    <t>https://valueinvesting.io/LEVI/valuation/wacc</t>
  </si>
  <si>
    <t>Comparative</t>
  </si>
  <si>
    <t>https://fr.investing.com/equities/levi-strauss-co-balance-sheet</t>
  </si>
  <si>
    <t>Patrimoniale</t>
  </si>
  <si>
    <t>Remarques :</t>
  </si>
  <si>
    <t>Nous avons utilisé deux sources différentes. Nous nous sommes assurés qu'elles contiennent les mêmes montant. Les deux sont donc cohérentes.</t>
  </si>
  <si>
    <t>Sommaire</t>
  </si>
  <si>
    <t>Bilan</t>
  </si>
  <si>
    <t>Résultat d'exploitation</t>
  </si>
  <si>
    <t>Valo Performance</t>
  </si>
  <si>
    <t>BILAN : récupérer de WSJ et de l'Annual Report</t>
  </si>
  <si>
    <t>Toutes les valeurs sont en millions de dollars</t>
  </si>
  <si>
    <t>Actif (Assets)</t>
  </si>
  <si>
    <t>Passif (Liability and shareholder's equity)</t>
  </si>
  <si>
    <t>Anglais</t>
  </si>
  <si>
    <t>Français</t>
  </si>
  <si>
    <t>Montant 2021</t>
  </si>
  <si>
    <t>Montant 2020</t>
  </si>
  <si>
    <t>Montant 2019</t>
  </si>
  <si>
    <t>Montant 2018</t>
  </si>
  <si>
    <t>Montant 2017</t>
  </si>
  <si>
    <t>Cash &amp; Short Term Investments</t>
  </si>
  <si>
    <t>Cash &amp; Investissement</t>
  </si>
  <si>
    <t>ST Debt &amp; Current Portion LT Debt</t>
  </si>
  <si>
    <t>Dette court terme/Dette courante long terme</t>
  </si>
  <si>
    <t>Cash Only</t>
  </si>
  <si>
    <t>Short Term Debt</t>
  </si>
  <si>
    <t>-</t>
  </si>
  <si>
    <t>Short-Term Investments</t>
  </si>
  <si>
    <t>Investissement court-terme</t>
  </si>
  <si>
    <t>Accounts Payable</t>
  </si>
  <si>
    <t>Compte fournisseur</t>
  </si>
  <si>
    <t>Cash &amp; Short Term Investments Growth</t>
  </si>
  <si>
    <t>-43.41%</t>
  </si>
  <si>
    <t>57.02%</t>
  </si>
  <si>
    <t>42.33%</t>
  </si>
  <si>
    <t>12.55%</t>
  </si>
  <si>
    <t>Accounts Payable Growth</t>
  </si>
  <si>
    <t>39.79%</t>
  </si>
  <si>
    <t>4.20%</t>
  </si>
  <si>
    <t>2.56%</t>
  </si>
  <si>
    <t>21.36%</t>
  </si>
  <si>
    <t>Cash &amp; ST Investments / Total Assets</t>
  </si>
  <si>
    <t>15.28%</t>
  </si>
  <si>
    <t>28.25%</t>
  </si>
  <si>
    <t>23.98%</t>
  </si>
  <si>
    <t>20.13%</t>
  </si>
  <si>
    <t>18.87%</t>
  </si>
  <si>
    <t>Income Tax Payable</t>
  </si>
  <si>
    <t>Impot sur les revenus à payer</t>
  </si>
  <si>
    <t>Total Accounts Receivable</t>
  </si>
  <si>
    <t>Total des créances</t>
  </si>
  <si>
    <t>Other Current Liabilities</t>
  </si>
  <si>
    <t>Accounts Receivables, Net</t>
  </si>
  <si>
    <t>Créances clients nettes</t>
  </si>
  <si>
    <t>Accrued Payroll</t>
  </si>
  <si>
    <t>Salaires à payer</t>
  </si>
  <si>
    <t>Accounts Receivables, Gross</t>
  </si>
  <si>
    <t>Créances clients brutes</t>
  </si>
  <si>
    <t>Miscellaneous Current Liabilities</t>
  </si>
  <si>
    <t>Divers passif courants</t>
  </si>
  <si>
    <t>Bad Debt/Doubtful Accounts</t>
  </si>
  <si>
    <t>Créances douteuses</t>
  </si>
  <si>
    <t>Total Current Liabilities</t>
  </si>
  <si>
    <t>Accounts Receivable Growth</t>
  </si>
  <si>
    <t>Croissance des créances</t>
  </si>
  <si>
    <t>30.99%</t>
  </si>
  <si>
    <t>-30.99%</t>
  </si>
  <si>
    <t>46.56%</t>
  </si>
  <si>
    <t>10.03%</t>
  </si>
  <si>
    <t>Current Ratio</t>
  </si>
  <si>
    <t>Ratio de liquidity générale</t>
  </si>
  <si>
    <t>1.45</t>
  </si>
  <si>
    <t>2.02</t>
  </si>
  <si>
    <t>2.46</t>
  </si>
  <si>
    <t>2.17</t>
  </si>
  <si>
    <t>2.27</t>
  </si>
  <si>
    <t>Accounts Receivable Turnover</t>
  </si>
  <si>
    <t>Rendement/Rotation des comptes clients/de créances</t>
  </si>
  <si>
    <t>8.15</t>
  </si>
  <si>
    <t>8.24</t>
  </si>
  <si>
    <t>7.37</t>
  </si>
  <si>
    <t>10.44</t>
  </si>
  <si>
    <t>10.10</t>
  </si>
  <si>
    <t>Quick Ratio</t>
  </si>
  <si>
    <t>Ratio de rotation</t>
  </si>
  <si>
    <t>0.97</t>
  </si>
  <si>
    <t>1.49</t>
  </si>
  <si>
    <t>1.70</t>
  </si>
  <si>
    <t>1.33</t>
  </si>
  <si>
    <t>1.41</t>
  </si>
  <si>
    <t>Inventories</t>
  </si>
  <si>
    <t>Inventaire</t>
  </si>
  <si>
    <t>Cash Ratio</t>
  </si>
  <si>
    <t>0.48</t>
  </si>
  <si>
    <t>1.03</t>
  </si>
  <si>
    <t>0.87</t>
  </si>
  <si>
    <t>0.68</t>
  </si>
  <si>
    <t>0.72</t>
  </si>
  <si>
    <t>Finished Goods</t>
  </si>
  <si>
    <t>Produits finis</t>
  </si>
  <si>
    <t>Long-Term Debt</t>
  </si>
  <si>
    <t>Work in Progress</t>
  </si>
  <si>
    <t>Travaus en cours</t>
  </si>
  <si>
    <t>Long-Term Debt excl. Capitalized Leases</t>
  </si>
  <si>
    <t>Raw Materials</t>
  </si>
  <si>
    <t>Matière première</t>
  </si>
  <si>
    <t>Non-Convertible Debt</t>
  </si>
  <si>
    <t>Dette non convertible</t>
  </si>
  <si>
    <t>Other Current Assets</t>
  </si>
  <si>
    <t>Provision for Risks &amp; Charges</t>
  </si>
  <si>
    <t>Provision pour risque et charge</t>
  </si>
  <si>
    <t>Miscellaneous Current Assets</t>
  </si>
  <si>
    <t>Divers actifs courants</t>
  </si>
  <si>
    <t>Deferred Taxes</t>
  </si>
  <si>
    <t>Impots reportés/différés</t>
  </si>
  <si>
    <t>Total Current Assets</t>
  </si>
  <si>
    <t>Total Actifs courrents</t>
  </si>
  <si>
    <t>Deferred Taxes - Debit</t>
  </si>
  <si>
    <t>Net Property, Plant &amp; Equipment</t>
  </si>
  <si>
    <t>Immobilisation corporelles nettes</t>
  </si>
  <si>
    <t>Other Liabilities</t>
  </si>
  <si>
    <t>Autres Passifs</t>
  </si>
  <si>
    <t>Property, Plant &amp; Equipment - Gross</t>
  </si>
  <si>
    <t>Immobilisation corporelles brutes</t>
  </si>
  <si>
    <t>Other Liabilities (excl. Deferred Income)</t>
  </si>
  <si>
    <t>Buildings</t>
  </si>
  <si>
    <t>Immeuble</t>
  </si>
  <si>
    <t>Total Liabilities</t>
  </si>
  <si>
    <t>Total Passif</t>
  </si>
  <si>
    <t>Land &amp; Improvements</t>
  </si>
  <si>
    <t>Terrain &amp; Aménagements</t>
  </si>
  <si>
    <t>Non-Equity Reserves</t>
  </si>
  <si>
    <t>Réserves no n liées au capital</t>
  </si>
  <si>
    <t>Machinery &amp; Equipment</t>
  </si>
  <si>
    <t>Machine et Equipement</t>
  </si>
  <si>
    <t>Total Liabilities / Total Assets</t>
  </si>
  <si>
    <t>71.77%</t>
  </si>
  <si>
    <t>76.96%</t>
  </si>
  <si>
    <t>62.87%</t>
  </si>
  <si>
    <t>72.72%</t>
  </si>
  <si>
    <t>75.30%</t>
  </si>
  <si>
    <t>Construction in Progress</t>
  </si>
  <si>
    <t>Construction en cours</t>
  </si>
  <si>
    <t>Common Equity (Total)</t>
  </si>
  <si>
    <t>Capital Social (Capitaux propres ordinaires ?)</t>
  </si>
  <si>
    <t>Computer Software and Equipment</t>
  </si>
  <si>
    <t>Ordinateur logiciel et equipement</t>
  </si>
  <si>
    <t>Common Stock Par/Carry Value</t>
  </si>
  <si>
    <t>Valeur nominale.transactionnelle des actions ordinaires</t>
  </si>
  <si>
    <t>Accumulated Depreciation</t>
  </si>
  <si>
    <t>Amortissement/Dépréciation cumulée</t>
  </si>
  <si>
    <t>Additional Paid-In Capital/Capital Surplus</t>
  </si>
  <si>
    <t>Excédent de capital</t>
  </si>
  <si>
    <t>Intangible Assets</t>
  </si>
  <si>
    <t>Actif incorporel</t>
  </si>
  <si>
    <t>Retained Earnings</t>
  </si>
  <si>
    <t>Bénéfices non distribués</t>
  </si>
  <si>
    <t>Net Goodwill</t>
  </si>
  <si>
    <t>Goodwill</t>
  </si>
  <si>
    <t>Cumulative Translation Adjustment/Unrealized For. Exch. Gain</t>
  </si>
  <si>
    <t>Ecart de conversion cumulé/non réslisé</t>
  </si>
  <si>
    <t>Net Other Intangibles</t>
  </si>
  <si>
    <t>Autre actifs incorporels nets</t>
  </si>
  <si>
    <t>Unrealized Gain/Loss Marketable Securities</t>
  </si>
  <si>
    <t>Gain/perte, non résalisé titres négocialbles</t>
  </si>
  <si>
    <t>Other Assets</t>
  </si>
  <si>
    <t>Autre actif</t>
  </si>
  <si>
    <t>Other Appropriated Reserves</t>
  </si>
  <si>
    <t>Autres réserves</t>
  </si>
  <si>
    <t>Deferred Charges</t>
  </si>
  <si>
    <t>Charges diférées</t>
  </si>
  <si>
    <t>Common Equity / Total Assets</t>
  </si>
  <si>
    <t>Capitaux propres / Actifs social</t>
  </si>
  <si>
    <t>28.23%</t>
  </si>
  <si>
    <t>23.04%</t>
  </si>
  <si>
    <t>36.94%</t>
  </si>
  <si>
    <t>18.63%</t>
  </si>
  <si>
    <t>20.75%</t>
  </si>
  <si>
    <t>Tangible Other Assets</t>
  </si>
  <si>
    <t>Autre actifs corporels</t>
  </si>
  <si>
    <t>Total Shareholders' Equity</t>
  </si>
  <si>
    <t>Capitaux propres totaux</t>
  </si>
  <si>
    <t>Total Assets</t>
  </si>
  <si>
    <t>Actif total</t>
  </si>
  <si>
    <t>Total Shareholders' Equity / Total Assets</t>
  </si>
  <si>
    <t>CP / Total Assets</t>
  </si>
  <si>
    <t>Assets - Total - Growth</t>
  </si>
  <si>
    <t>Actif total croissance</t>
  </si>
  <si>
    <t>4.59%</t>
  </si>
  <si>
    <t>33.29%</t>
  </si>
  <si>
    <t>19.47%</t>
  </si>
  <si>
    <t>5.50%</t>
  </si>
  <si>
    <t>Accumulated Minority Interest</t>
  </si>
  <si>
    <t>Interêts minoritaires cumulés</t>
  </si>
  <si>
    <t>Asset Turnover</t>
  </si>
  <si>
    <t>Chiffre d'affaire /Rotation actif</t>
  </si>
  <si>
    <t>1.00</t>
  </si>
  <si>
    <t>Total Equity</t>
  </si>
  <si>
    <t>Total Capitaux Propre</t>
  </si>
  <si>
    <t>Return On Average Assets</t>
  </si>
  <si>
    <t>Rendement sur l'actif moyen</t>
  </si>
  <si>
    <t>9.59%</t>
  </si>
  <si>
    <t>Liabilities &amp; Shareholders' Equity</t>
  </si>
  <si>
    <t>Passif Capitaux Propres</t>
  </si>
  <si>
    <t>Compte de résultats (Valeurs en millions de dollars USD)</t>
  </si>
  <si>
    <t>Fiscal year is December-November. All values USD Millions.</t>
  </si>
  <si>
    <t>FRANCAIS</t>
  </si>
  <si>
    <t>Sales/Revenue</t>
  </si>
  <si>
    <t>Ventes/Recette</t>
  </si>
  <si>
    <t>Sales Growth </t>
  </si>
  <si>
    <t>Ventes Croissance</t>
  </si>
  <si>
    <t>Cost of Goods Sold (COGS) incl. D&amp;A</t>
  </si>
  <si>
    <t>Coût des ventes</t>
  </si>
  <si>
    <t>COGS excluding D&amp;A</t>
  </si>
  <si>
    <t>Sans D&amp;A</t>
  </si>
  <si>
    <t>Depreciation &amp; Amortization Expense</t>
  </si>
  <si>
    <t>Avec D&amp;A</t>
  </si>
  <si>
    <t>Depreciation</t>
  </si>
  <si>
    <t>Dépréciation</t>
  </si>
  <si>
    <t>Amortization of Intangibles</t>
  </si>
  <si>
    <t>Amortisations Immo Incorporelles</t>
  </si>
  <si>
    <t>COGS Growth</t>
  </si>
  <si>
    <t>Coût des ventes croissance</t>
  </si>
  <si>
    <t>19.86%</t>
  </si>
  <si>
    <t>-23.50%</t>
  </si>
  <si>
    <t>3.55%</t>
  </si>
  <si>
    <t>10.09%</t>
  </si>
  <si>
    <t>Gross Income</t>
  </si>
  <si>
    <t>Revenu brut</t>
  </si>
  <si>
    <t>Gross Income Growth</t>
  </si>
  <si>
    <t>Revenu brut croissance</t>
  </si>
  <si>
    <t>Marge bénéficiaire brut</t>
  </si>
  <si>
    <t>57.57%</t>
  </si>
  <si>
    <t>SG&amp;A Expense</t>
  </si>
  <si>
    <t>Frais généraux et administratifs</t>
  </si>
  <si>
    <t>Other SG&amp;A</t>
  </si>
  <si>
    <t>Autres frais</t>
  </si>
  <si>
    <t>SGA Growth</t>
  </si>
  <si>
    <t>SG&amp;A croissance</t>
  </si>
  <si>
    <t>16.84%</t>
  </si>
  <si>
    <t>-10.96%</t>
  </si>
  <si>
    <t>2.74%</t>
  </si>
  <si>
    <t>17.27%</t>
  </si>
  <si>
    <t>EBIT</t>
  </si>
  <si>
    <t>Unusual Expense</t>
  </si>
  <si>
    <t>Dépenses exceptionnelles</t>
  </si>
  <si>
    <t>Non Operating Income/Expense</t>
  </si>
  <si>
    <t>Résultat hors exploitation</t>
  </si>
  <si>
    <t>Non-Operating Interest Income</t>
  </si>
  <si>
    <t>Intérêts sur le résultat hors exploitation</t>
  </si>
  <si>
    <t>Interest Expense</t>
  </si>
  <si>
    <t>Frais d'intérêt</t>
  </si>
  <si>
    <t>Interest Expense Growth</t>
  </si>
  <si>
    <t>Frais d'intérêt croissance</t>
  </si>
  <si>
    <t>-11.30%</t>
  </si>
  <si>
    <t>24.06%</t>
  </si>
  <si>
    <t>19.81%</t>
  </si>
  <si>
    <t>-19.40%</t>
  </si>
  <si>
    <t>Gross Interest Expense</t>
  </si>
  <si>
    <t>Frais d'intérêt bruts</t>
  </si>
  <si>
    <t>Pretax Income</t>
  </si>
  <si>
    <t>Résultat avant impôt</t>
  </si>
  <si>
    <t>Pretax Income Growth</t>
  </si>
  <si>
    <t>Résultat avant impôt croissanc</t>
  </si>
  <si>
    <t>405.74%</t>
  </si>
  <si>
    <t>-139.74%</t>
  </si>
  <si>
    <t>-4.49%</t>
  </si>
  <si>
    <t>43.36%</t>
  </si>
  <si>
    <t>Pretax Margin</t>
  </si>
  <si>
    <t>Marge avant impôt</t>
  </si>
  <si>
    <t>10.06%</t>
  </si>
  <si>
    <t>Income Tax</t>
  </si>
  <si>
    <t>Impôt sur le revenu</t>
  </si>
  <si>
    <t>Income Tax - Current Domestic</t>
  </si>
  <si>
    <t>Impôt sur le revenu - DC</t>
  </si>
  <si>
    <t>Income Tax - Current Foreign</t>
  </si>
  <si>
    <t>Impôt sur le revenu - CF</t>
  </si>
  <si>
    <t>Income Tax - Deferred Domestic</t>
  </si>
  <si>
    <t>Impôt sur le revenu - DD</t>
  </si>
  <si>
    <t>Income Tax - Deferred Foreign</t>
  </si>
  <si>
    <t>Impôt sur le revenu - DF</t>
  </si>
  <si>
    <t>Consolidated Net Income</t>
  </si>
  <si>
    <t>Résultat net consolidé</t>
  </si>
  <si>
    <t>Net income Growth</t>
  </si>
  <si>
    <t>Minority Interest Expense</t>
  </si>
  <si>
    <t>Charge d'intérêt minoritaire</t>
  </si>
  <si>
    <t>Net Income</t>
  </si>
  <si>
    <t>Net Income Growth</t>
  </si>
  <si>
    <t>Résultat net croissance</t>
  </si>
  <si>
    <t>Net Margin</t>
  </si>
  <si>
    <t>Marge nette</t>
  </si>
  <si>
    <t>Net Income After Extraordinaries</t>
  </si>
  <si>
    <t>Résultat net après exceptionnels</t>
  </si>
  <si>
    <t>Net Income Available to Common</t>
  </si>
  <si>
    <t>d</t>
  </si>
  <si>
    <t>EPS (Basic)</t>
  </si>
  <si>
    <t>Bénéfice par action</t>
  </si>
  <si>
    <t>1.35</t>
  </si>
  <si>
    <t>(0.32)</t>
  </si>
  <si>
    <t>0.73</t>
  </si>
  <si>
    <t>EPS (Basic) Growth</t>
  </si>
  <si>
    <t>522.13%</t>
  </si>
  <si>
    <t>-133.12%</t>
  </si>
  <si>
    <t>32.62%</t>
  </si>
  <si>
    <t>1.24%</t>
  </si>
  <si>
    <t>Basic Shares Outstanding</t>
  </si>
  <si>
    <t>Actions en circulation</t>
  </si>
  <si>
    <t>EPS (Diluted)</t>
  </si>
  <si>
    <t>Bénéfice par action dilué croissance</t>
  </si>
  <si>
    <t>EPS (Diluted) Growth</t>
  </si>
  <si>
    <t>Bénéfice par action diluée croissance</t>
  </si>
  <si>
    <t>0.00%</t>
  </si>
  <si>
    <t>32.63%</t>
  </si>
  <si>
    <t>1.23%</t>
  </si>
  <si>
    <t>Diluted Shares Outstanding</t>
  </si>
  <si>
    <t>Actions diluées en circulation</t>
  </si>
  <si>
    <t>EBITDA</t>
  </si>
  <si>
    <t>EBE</t>
  </si>
  <si>
    <t>EBITDA Growth</t>
  </si>
  <si>
    <t>EBE croissance</t>
  </si>
  <si>
    <t>EBITDA Margin</t>
  </si>
  <si>
    <t>Marge sur EBE</t>
  </si>
  <si>
    <t>EBIT Growth</t>
  </si>
  <si>
    <t>Valorisation par la méthode DCF</t>
  </si>
  <si>
    <t>Concept : déterminer la valeur financière d'une entreprise à travers les flux de trésorerie actualisés qu'elle va générer dans le futur</t>
  </si>
  <si>
    <t xml:space="preserve">Hypothèses </t>
  </si>
  <si>
    <t>Sales/CA</t>
  </si>
  <si>
    <t xml:space="preserve">Croissance pour l'année 2022 </t>
  </si>
  <si>
    <t>Croissance pour l'année 2023</t>
  </si>
  <si>
    <t>puis décroissance de 1% par an après</t>
  </si>
  <si>
    <t>Effective tax rate</t>
  </si>
  <si>
    <t>Quarter Results Levi</t>
  </si>
  <si>
    <t>WACC/CMPC</t>
  </si>
  <si>
    <t>Long-term Growth Rate</t>
  </si>
  <si>
    <t>Calcul du Flux de Trésorerie Disponible actualisés (DCF)</t>
  </si>
  <si>
    <t>Autres soldes intermediaires de gestion</t>
  </si>
  <si>
    <t>Past Period</t>
  </si>
  <si>
    <t>Projection Period</t>
  </si>
  <si>
    <t>Shareholder's equity (CP)</t>
  </si>
  <si>
    <t>% growth</t>
  </si>
  <si>
    <t>Net income (Résultat net)</t>
  </si>
  <si>
    <t>Cost of Goods sold</t>
  </si>
  <si>
    <t>Return on equity (Rendement CP)</t>
  </si>
  <si>
    <t>% of Sales</t>
  </si>
  <si>
    <t>Gross Profit (VA)</t>
  </si>
  <si>
    <t>Sales - Cost</t>
  </si>
  <si>
    <t>% margin</t>
  </si>
  <si>
    <t xml:space="preserve">SG&amp;A </t>
  </si>
  <si>
    <t>EBITDA (EBE)</t>
  </si>
  <si>
    <t>Gross profit - SG&amp;A</t>
  </si>
  <si>
    <t>Depreciation &amp; Amortization(D&amp;A)</t>
  </si>
  <si>
    <t>EBIT (Rex)</t>
  </si>
  <si>
    <t>EBITDA - D&amp;A</t>
  </si>
  <si>
    <t>Tax</t>
  </si>
  <si>
    <t>NOPAT/EBIAT (REAI)</t>
  </si>
  <si>
    <t>EBIT - Tax</t>
  </si>
  <si>
    <t>Capex</t>
  </si>
  <si>
    <t>Variation NWC</t>
  </si>
  <si>
    <t>Unlevered FCF (FTD)</t>
  </si>
  <si>
    <t>EBIAT + D&amp;A - Capex + Var(NWC)</t>
  </si>
  <si>
    <t>WACC (CMPC)</t>
  </si>
  <si>
    <t>Discount Period</t>
  </si>
  <si>
    <t>Discount Factor</t>
  </si>
  <si>
    <t>Terminal value</t>
  </si>
  <si>
    <t>Discounted TV</t>
  </si>
  <si>
    <t xml:space="preserve">Enterprise value </t>
  </si>
  <si>
    <t>SommeDCV + DTV</t>
  </si>
  <si>
    <t>Calcul du BFR (NWC)</t>
  </si>
  <si>
    <t>Current Assets</t>
  </si>
  <si>
    <t>Accounts Receivable</t>
  </si>
  <si>
    <t xml:space="preserve">Total </t>
  </si>
  <si>
    <t>Days Sales Outstanding (DSO)</t>
  </si>
  <si>
    <t>Days Inventoy Outstanding (DIO)</t>
  </si>
  <si>
    <t>Prepaids and Other Currents Assets (% of Sales)</t>
  </si>
  <si>
    <t>Current Liabilities</t>
  </si>
  <si>
    <t>Short-term operating lease liabilities</t>
  </si>
  <si>
    <t>Other accrued liabilities</t>
  </si>
  <si>
    <t>Total</t>
  </si>
  <si>
    <t>Days Payable Outstanding (DPO)</t>
  </si>
  <si>
    <t>Accrued Liabilities (% of Sales)</t>
  </si>
  <si>
    <t>Others Current Liaibilities (% of Sales)</t>
  </si>
  <si>
    <t>Net Working Capital (BFR)</t>
  </si>
  <si>
    <t>Valorisation sur la performance passée des entreprises</t>
  </si>
  <si>
    <t>Concept : déterminer la valeur financière d'une entreprise à travers une projection du résultat net de l'entreprise sur k années</t>
  </si>
  <si>
    <t xml:space="preserve">Growth Rate </t>
  </si>
  <si>
    <t>k</t>
  </si>
  <si>
    <t>Net Income (Résultat net)</t>
  </si>
  <si>
    <t>Discount Net Income</t>
  </si>
  <si>
    <t>Méthode de valorisation des comparables</t>
  </si>
  <si>
    <t>Nous allons comparer différents entreprises afin d'en tirer une valorisation</t>
  </si>
  <si>
    <t>Montants en million d'euros</t>
  </si>
  <si>
    <t>Performance des entreprises</t>
  </si>
  <si>
    <t>Endettement net</t>
  </si>
  <si>
    <t>Market Cap (Capitalisation boursière)</t>
  </si>
  <si>
    <t>GAP</t>
  </si>
  <si>
    <t>Ralph Lauren</t>
  </si>
  <si>
    <t>AM Eagle Outfitter</t>
  </si>
  <si>
    <t>Dette financière Levi's</t>
  </si>
  <si>
    <t>Levi</t>
  </si>
  <si>
    <t>Sales (CA)</t>
  </si>
  <si>
    <t>Multiplicateurs</t>
  </si>
  <si>
    <t>PER</t>
  </si>
  <si>
    <t>Moyenne PER</t>
  </si>
  <si>
    <t>Valorisation Levis</t>
  </si>
  <si>
    <t>Multiple du Chiffre d'affaire (Sales)</t>
  </si>
  <si>
    <t>Moyenne MCA</t>
  </si>
  <si>
    <t>Multiple de l'EBE</t>
  </si>
  <si>
    <t>Moyenne MEBE</t>
  </si>
  <si>
    <t>Interprétation</t>
  </si>
  <si>
    <t>PER entre 10 et 20 : l'action est considérée être à son prix</t>
  </si>
  <si>
    <t>PER supérieur à 20 : l'action est surévaluée</t>
  </si>
  <si>
    <t>PER inférieur à 10 : l'action est sous-évaluée</t>
  </si>
  <si>
    <t>Remarque : La valorisation via l'EBE est négative, elle n'est pas à prendre en compte. La valeur négative puisque l'EBE de GAP est négative et est grand par rapport aux autres entreprises. Un EBE négatif pour une entreprise en 2020 peut s'expliquer par la crise du covid.</t>
  </si>
  <si>
    <t>Valorisation patrimoniale</t>
  </si>
  <si>
    <t>Concept : Se baser sur le bilan de l'entreprise afin d'en déduire une valorisation, méthode utilisée ci-contre</t>
  </si>
  <si>
    <t>Hypothèse</t>
  </si>
  <si>
    <t>On suppose qu'il n'y a pas de d'actifs fictfs (le rapport annuel n'en fait pas mention)</t>
  </si>
  <si>
    <t>Ci-après l'écart de conversion pris en compte selon l'année</t>
  </si>
  <si>
    <t>On remarque que le GoodWill est inclu dans l'actif. Il n'est pas pas nécessaire de l'ajouter à ANCC</t>
  </si>
  <si>
    <t>ex :Goodwill 2021</t>
  </si>
  <si>
    <t>ANC</t>
  </si>
  <si>
    <t>ANCC (valorisation dans notre 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</si>
</sst>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409]* #,##0.00_ ;_-[$$-409]* \-#,##0.00\ ;_-[$$-409]* &quot;-&quot;??_ ;_-@_ "/>
    <numFmt numFmtId="166" formatCode="0.0"/>
  </numFmts>
  <fonts count="23">
    <font>
      <sz val="12"/>
      <color theme="1"/>
      <name val="Calibri"/>
      <family val="2"/>
      <scheme val="minor"/>
    </font>
    <font>
      <b/>
      <sz val="12"/>
      <color theme="1"/>
      <name val="Calibri"/>
      <family val="2"/>
      <scheme val="minor"/>
    </font>
    <font>
      <b/>
      <sz val="18"/>
      <color theme="1"/>
      <name val="Calibri"/>
      <family val="2"/>
      <scheme val="minor"/>
    </font>
    <font>
      <b/>
      <sz val="11"/>
      <color theme="1"/>
      <name val="Calibri"/>
      <family val="2"/>
      <scheme val="minor"/>
    </font>
    <font>
      <b/>
      <sz val="16"/>
      <color theme="1"/>
      <name val="Calibri"/>
      <family val="2"/>
      <scheme val="minor"/>
    </font>
    <font>
      <sz val="10"/>
      <color rgb="FF000000"/>
      <name val="Arial"/>
      <family val="2"/>
    </font>
    <font>
      <b/>
      <sz val="10"/>
      <color rgb="FF000000"/>
      <name val="Arial"/>
      <family val="2"/>
    </font>
    <font>
      <sz val="10"/>
      <color rgb="FFFF0000"/>
      <name val="Arial"/>
      <family val="2"/>
    </font>
    <font>
      <sz val="10"/>
      <color rgb="FF45923D"/>
      <name val="Arial"/>
      <family val="2"/>
    </font>
    <font>
      <sz val="10"/>
      <color theme="1"/>
      <name val="Arial"/>
      <family val="2"/>
    </font>
    <font>
      <sz val="10"/>
      <color rgb="FF333333"/>
      <name val="Arial"/>
      <family val="2"/>
    </font>
    <font>
      <sz val="14"/>
      <color theme="1"/>
      <name val="Calibri"/>
      <family val="2"/>
      <scheme val="minor"/>
    </font>
    <font>
      <i/>
      <sz val="10"/>
      <color rgb="FF000000"/>
      <name val="Arial"/>
      <family val="2"/>
    </font>
    <font>
      <sz val="12"/>
      <color theme="1"/>
      <name val="Calibri"/>
      <family val="2"/>
      <scheme val="minor"/>
    </font>
    <font>
      <sz val="12"/>
      <color rgb="FF00B050"/>
      <name val="Calibri"/>
      <family val="2"/>
      <scheme val="minor"/>
    </font>
    <font>
      <u/>
      <sz val="12"/>
      <color theme="10"/>
      <name val="Calibri"/>
      <family val="2"/>
      <scheme val="minor"/>
    </font>
    <font>
      <b/>
      <sz val="10"/>
      <color rgb="FF333333"/>
      <name val="Arial"/>
      <family val="2"/>
    </font>
    <font>
      <i/>
      <sz val="12"/>
      <color theme="1"/>
      <name val="Calibri"/>
      <family val="2"/>
      <scheme val="minor"/>
    </font>
    <font>
      <sz val="12"/>
      <color rgb="FF000000"/>
      <name val="Calibri"/>
      <family val="2"/>
      <scheme val="minor"/>
    </font>
    <font>
      <sz val="10"/>
      <color rgb="FF000000"/>
      <name val="ArialMT"/>
      <charset val="1"/>
    </font>
    <font>
      <sz val="12"/>
      <name val="Calibri"/>
      <family val="2"/>
      <scheme val="minor"/>
    </font>
    <font>
      <b/>
      <sz val="10"/>
      <color theme="1"/>
      <name val="Calibri"/>
      <family val="2"/>
      <scheme val="minor"/>
    </font>
    <font>
      <sz val="11"/>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rgb="FF9BC2E6"/>
        <bgColor indexed="64"/>
      </patternFill>
    </fill>
    <fill>
      <patternFill patternType="solid">
        <fgColor rgb="FFFFD966"/>
        <bgColor indexed="64"/>
      </patternFill>
    </fill>
    <fill>
      <patternFill patternType="solid">
        <fgColor rgb="FFF4B084"/>
        <bgColor indexed="64"/>
      </patternFill>
    </fill>
    <fill>
      <patternFill patternType="solid">
        <fgColor rgb="FFFCE4D6"/>
        <bgColor indexed="64"/>
      </patternFill>
    </fill>
    <fill>
      <patternFill patternType="solid">
        <fgColor theme="5" tint="0.59999389629810485"/>
        <bgColor indexed="64"/>
      </patternFill>
    </fill>
    <fill>
      <patternFill patternType="solid">
        <fgColor rgb="FFFFFFFF"/>
        <bgColor indexed="64"/>
      </patternFill>
    </fill>
  </fills>
  <borders count="6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medium">
        <color indexed="64"/>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50">
    <xf numFmtId="0" fontId="0" fillId="0" borderId="0" xfId="0"/>
    <xf numFmtId="0" fontId="0" fillId="0" borderId="0" xfId="0" applyAlignment="1">
      <alignment horizontal="center"/>
    </xf>
    <xf numFmtId="0" fontId="0" fillId="0" borderId="10" xfId="0" applyBorder="1"/>
    <xf numFmtId="0" fontId="0" fillId="0" borderId="12" xfId="0" applyBorder="1"/>
    <xf numFmtId="0" fontId="0" fillId="0" borderId="14" xfId="0" applyBorder="1"/>
    <xf numFmtId="0" fontId="0" fillId="0" borderId="1" xfId="0" applyBorder="1"/>
    <xf numFmtId="0" fontId="0" fillId="0" borderId="9" xfId="0" applyBorder="1"/>
    <xf numFmtId="0" fontId="5" fillId="3" borderId="18" xfId="0" applyFont="1" applyFill="1" applyBorder="1"/>
    <xf numFmtId="0" fontId="6" fillId="3" borderId="18" xfId="0" applyFont="1" applyFill="1" applyBorder="1"/>
    <xf numFmtId="0" fontId="5" fillId="0" borderId="0" xfId="0" applyFont="1"/>
    <xf numFmtId="0" fontId="7" fillId="0" borderId="0" xfId="0" applyFont="1"/>
    <xf numFmtId="0" fontId="8" fillId="0" borderId="0" xfId="0" applyFont="1"/>
    <xf numFmtId="0" fontId="5" fillId="3" borderId="6" xfId="0" applyFont="1" applyFill="1" applyBorder="1"/>
    <xf numFmtId="0" fontId="6" fillId="3" borderId="6" xfId="0" applyFont="1" applyFill="1" applyBorder="1"/>
    <xf numFmtId="0" fontId="5" fillId="0" borderId="16" xfId="0" applyFont="1" applyBorder="1"/>
    <xf numFmtId="0" fontId="0" fillId="0" borderId="16" xfId="0" applyBorder="1"/>
    <xf numFmtId="0" fontId="5" fillId="0" borderId="16" xfId="0" applyFont="1" applyBorder="1" applyAlignment="1">
      <alignment horizontal="center"/>
    </xf>
    <xf numFmtId="0" fontId="8" fillId="0" borderId="16" xfId="0" applyFont="1" applyBorder="1"/>
    <xf numFmtId="0" fontId="5" fillId="2" borderId="6" xfId="0" applyFont="1" applyFill="1" applyBorder="1"/>
    <xf numFmtId="0" fontId="5" fillId="3" borderId="16" xfId="0" applyFont="1" applyFill="1" applyBorder="1"/>
    <xf numFmtId="0" fontId="5" fillId="0" borderId="18" xfId="0" applyFont="1" applyBorder="1"/>
    <xf numFmtId="0" fontId="9" fillId="3" borderId="16" xfId="0" applyFont="1" applyFill="1" applyBorder="1"/>
    <xf numFmtId="0" fontId="5" fillId="5" borderId="6" xfId="0" applyFont="1" applyFill="1" applyBorder="1"/>
    <xf numFmtId="0" fontId="5" fillId="2" borderId="0" xfId="0" applyFont="1" applyFill="1"/>
    <xf numFmtId="0" fontId="5" fillId="5" borderId="0" xfId="0" applyFont="1" applyFill="1"/>
    <xf numFmtId="0" fontId="3" fillId="4" borderId="10" xfId="0" applyFont="1" applyFill="1" applyBorder="1"/>
    <xf numFmtId="0" fontId="11" fillId="0" borderId="0" xfId="0" applyFont="1"/>
    <xf numFmtId="0" fontId="10" fillId="4" borderId="0" xfId="0" applyFont="1" applyFill="1"/>
    <xf numFmtId="0" fontId="12" fillId="0" borderId="0" xfId="0" applyFont="1"/>
    <xf numFmtId="0" fontId="6" fillId="3" borderId="10" xfId="0" applyFont="1" applyFill="1" applyBorder="1"/>
    <xf numFmtId="0" fontId="5" fillId="3" borderId="10" xfId="0" applyFont="1" applyFill="1" applyBorder="1"/>
    <xf numFmtId="0" fontId="0" fillId="4" borderId="0" xfId="0" applyFill="1"/>
    <xf numFmtId="10" fontId="0" fillId="0" borderId="0" xfId="0" applyNumberFormat="1"/>
    <xf numFmtId="9" fontId="0" fillId="0" borderId="0" xfId="0" applyNumberFormat="1"/>
    <xf numFmtId="0" fontId="14" fillId="0" borderId="0" xfId="0" applyFont="1"/>
    <xf numFmtId="0" fontId="4" fillId="0" borderId="0" xfId="0" applyFont="1"/>
    <xf numFmtId="0" fontId="1" fillId="4" borderId="0" xfId="0" applyFont="1" applyFill="1"/>
    <xf numFmtId="0" fontId="1" fillId="6" borderId="18" xfId="0" applyFont="1" applyFill="1" applyBorder="1"/>
    <xf numFmtId="0" fontId="0" fillId="0" borderId="18" xfId="0" applyBorder="1"/>
    <xf numFmtId="0" fontId="0" fillId="3" borderId="16" xfId="0" applyFill="1" applyBorder="1"/>
    <xf numFmtId="10" fontId="8" fillId="0" borderId="0" xfId="1" applyNumberFormat="1" applyFont="1"/>
    <xf numFmtId="10" fontId="7" fillId="0" borderId="0" xfId="1" applyNumberFormat="1" applyFont="1"/>
    <xf numFmtId="0" fontId="1" fillId="3" borderId="16" xfId="0" applyFont="1" applyFill="1" applyBorder="1"/>
    <xf numFmtId="0" fontId="0" fillId="3" borderId="0" xfId="0" applyFill="1"/>
    <xf numFmtId="10" fontId="0" fillId="0" borderId="0" xfId="1" applyNumberFormat="1" applyFont="1" applyFill="1" applyBorder="1"/>
    <xf numFmtId="0" fontId="0" fillId="4" borderId="0" xfId="0" applyFill="1" applyAlignment="1">
      <alignment wrapText="1"/>
    </xf>
    <xf numFmtId="0" fontId="15" fillId="0" borderId="0" xfId="2" applyBorder="1"/>
    <xf numFmtId="0" fontId="1" fillId="3" borderId="18" xfId="0" applyFont="1" applyFill="1" applyBorder="1"/>
    <xf numFmtId="0" fontId="1" fillId="0" borderId="0" xfId="0" applyFont="1"/>
    <xf numFmtId="10" fontId="0" fillId="0" borderId="0" xfId="1" applyNumberFormat="1" applyFont="1" applyFill="1" applyBorder="1" applyAlignment="1"/>
    <xf numFmtId="164" fontId="0" fillId="0" borderId="0" xfId="0" applyNumberFormat="1"/>
    <xf numFmtId="0" fontId="0" fillId="3" borderId="18" xfId="0" applyFill="1" applyBorder="1"/>
    <xf numFmtId="164" fontId="0" fillId="3" borderId="18" xfId="0" applyNumberFormat="1" applyFill="1" applyBorder="1"/>
    <xf numFmtId="10" fontId="0" fillId="0" borderId="0" xfId="1" applyNumberFormat="1" applyFont="1"/>
    <xf numFmtId="10" fontId="8" fillId="0" borderId="0" xfId="0" applyNumberFormat="1" applyFont="1"/>
    <xf numFmtId="10" fontId="7" fillId="0" borderId="0" xfId="0" applyNumberFormat="1" applyFont="1"/>
    <xf numFmtId="0" fontId="16" fillId="4" borderId="0" xfId="0" applyFont="1" applyFill="1" applyAlignment="1">
      <alignment horizontal="center" vertical="center"/>
    </xf>
    <xf numFmtId="0" fontId="12" fillId="0" borderId="0" xfId="0" applyFont="1" applyAlignment="1">
      <alignment horizontal="right"/>
    </xf>
    <xf numFmtId="1" fontId="0" fillId="3" borderId="16" xfId="0" applyNumberFormat="1" applyFill="1" applyBorder="1"/>
    <xf numFmtId="1" fontId="0" fillId="3" borderId="18" xfId="0" applyNumberFormat="1" applyFill="1" applyBorder="1"/>
    <xf numFmtId="2" fontId="0" fillId="0" borderId="0" xfId="0" applyNumberFormat="1"/>
    <xf numFmtId="1" fontId="0" fillId="0" borderId="0" xfId="0" applyNumberFormat="1"/>
    <xf numFmtId="0" fontId="17" fillId="0" borderId="0" xfId="0" applyFont="1" applyAlignment="1">
      <alignment horizontal="right"/>
    </xf>
    <xf numFmtId="0" fontId="18" fillId="0" borderId="0" xfId="0" applyFont="1"/>
    <xf numFmtId="0" fontId="0" fillId="0" borderId="22" xfId="0" applyBorder="1" applyAlignment="1">
      <alignment horizontal="right"/>
    </xf>
    <xf numFmtId="0" fontId="5" fillId="3" borderId="25" xfId="0" applyFont="1" applyFill="1" applyBorder="1"/>
    <xf numFmtId="0" fontId="5" fillId="8" borderId="25" xfId="0" applyFont="1" applyFill="1" applyBorder="1"/>
    <xf numFmtId="0" fontId="0" fillId="3" borderId="10" xfId="0" applyFill="1" applyBorder="1"/>
    <xf numFmtId="0" fontId="0" fillId="3" borderId="1" xfId="0" applyFill="1" applyBorder="1"/>
    <xf numFmtId="1" fontId="0" fillId="3" borderId="10" xfId="0" applyNumberFormat="1" applyFill="1" applyBorder="1"/>
    <xf numFmtId="1" fontId="0" fillId="3" borderId="0" xfId="0" applyNumberFormat="1" applyFill="1"/>
    <xf numFmtId="10" fontId="0" fillId="3" borderId="1" xfId="1" applyNumberFormat="1" applyFont="1" applyFill="1" applyBorder="1"/>
    <xf numFmtId="10" fontId="0" fillId="3" borderId="0" xfId="1" applyNumberFormat="1" applyFont="1" applyFill="1" applyBorder="1"/>
    <xf numFmtId="0" fontId="0" fillId="0" borderId="29" xfId="0" applyBorder="1"/>
    <xf numFmtId="0" fontId="0" fillId="8" borderId="23" xfId="0" applyFill="1" applyBorder="1"/>
    <xf numFmtId="0" fontId="0" fillId="0" borderId="0" xfId="0" applyAlignment="1">
      <alignment horizontal="right"/>
    </xf>
    <xf numFmtId="0" fontId="0" fillId="0" borderId="28" xfId="0" applyBorder="1"/>
    <xf numFmtId="0" fontId="0" fillId="0" borderId="30"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1" fontId="1" fillId="3" borderId="18" xfId="0" applyNumberFormat="1" applyFont="1" applyFill="1" applyBorder="1"/>
    <xf numFmtId="10" fontId="1" fillId="3" borderId="18" xfId="0" applyNumberFormat="1" applyFont="1" applyFill="1" applyBorder="1"/>
    <xf numFmtId="9" fontId="0" fillId="0" borderId="0" xfId="1" applyFont="1"/>
    <xf numFmtId="0" fontId="4" fillId="2" borderId="18" xfId="0" applyFont="1" applyFill="1" applyBorder="1"/>
    <xf numFmtId="165" fontId="1" fillId="3" borderId="18" xfId="0" applyNumberFormat="1" applyFont="1" applyFill="1" applyBorder="1"/>
    <xf numFmtId="165" fontId="4" fillId="2" borderId="18" xfId="0" applyNumberFormat="1" applyFont="1" applyFill="1" applyBorder="1"/>
    <xf numFmtId="0" fontId="0" fillId="0" borderId="22" xfId="0" applyBorder="1"/>
    <xf numFmtId="0" fontId="19" fillId="0" borderId="0" xfId="0" applyFont="1" applyAlignment="1">
      <alignment wrapText="1"/>
    </xf>
    <xf numFmtId="0" fontId="0" fillId="8" borderId="42" xfId="0" applyFill="1" applyBorder="1"/>
    <xf numFmtId="0" fontId="0" fillId="8" borderId="43" xfId="0" applyFill="1" applyBorder="1"/>
    <xf numFmtId="0" fontId="0" fillId="0" borderId="44" xfId="0" applyBorder="1"/>
    <xf numFmtId="0" fontId="0" fillId="0" borderId="46" xfId="0" applyBorder="1"/>
    <xf numFmtId="0" fontId="0" fillId="8" borderId="49" xfId="0" applyFill="1" applyBorder="1"/>
    <xf numFmtId="0" fontId="5" fillId="3" borderId="6" xfId="0" applyFont="1" applyFill="1" applyBorder="1" applyAlignment="1">
      <alignment horizontal="right"/>
    </xf>
    <xf numFmtId="10" fontId="5" fillId="3" borderId="6" xfId="0" applyNumberFormat="1" applyFont="1" applyFill="1" applyBorder="1"/>
    <xf numFmtId="0" fontId="12" fillId="3" borderId="6" xfId="0" applyFont="1" applyFill="1" applyBorder="1" applyAlignment="1">
      <alignment horizontal="right"/>
    </xf>
    <xf numFmtId="0" fontId="0" fillId="7" borderId="0" xfId="0" applyFill="1"/>
    <xf numFmtId="166" fontId="0" fillId="10" borderId="22" xfId="0" applyNumberFormat="1" applyFill="1" applyBorder="1" applyAlignment="1">
      <alignment horizontal="right"/>
    </xf>
    <xf numFmtId="166" fontId="0" fillId="0" borderId="22" xfId="0" applyNumberFormat="1" applyBorder="1" applyAlignment="1">
      <alignment horizontal="right"/>
    </xf>
    <xf numFmtId="166" fontId="0" fillId="0" borderId="22" xfId="0" applyNumberFormat="1" applyBorder="1"/>
    <xf numFmtId="166" fontId="18" fillId="9" borderId="22" xfId="0" applyNumberFormat="1" applyFont="1" applyFill="1" applyBorder="1" applyAlignment="1">
      <alignment horizontal="right"/>
    </xf>
    <xf numFmtId="0" fontId="20" fillId="0" borderId="0" xfId="0" applyFont="1"/>
    <xf numFmtId="165" fontId="21" fillId="2" borderId="18" xfId="0" applyNumberFormat="1" applyFont="1" applyFill="1" applyBorder="1"/>
    <xf numFmtId="0" fontId="21" fillId="3" borderId="18" xfId="0" applyFont="1" applyFill="1" applyBorder="1"/>
    <xf numFmtId="1" fontId="0" fillId="0" borderId="35" xfId="0" applyNumberFormat="1" applyBorder="1"/>
    <xf numFmtId="0" fontId="20" fillId="0" borderId="0" xfId="0" applyFont="1" applyAlignment="1">
      <alignment vertical="center"/>
    </xf>
    <xf numFmtId="1" fontId="0" fillId="0" borderId="46" xfId="0" applyNumberFormat="1" applyBorder="1"/>
    <xf numFmtId="0" fontId="2" fillId="0" borderId="0" xfId="0" applyFont="1"/>
    <xf numFmtId="2" fontId="0" fillId="3" borderId="16" xfId="0" applyNumberFormat="1" applyFill="1" applyBorder="1"/>
    <xf numFmtId="0" fontId="0" fillId="4" borderId="18" xfId="0" applyFill="1" applyBorder="1"/>
    <xf numFmtId="0" fontId="1" fillId="4" borderId="18" xfId="0" applyFont="1" applyFill="1" applyBorder="1"/>
    <xf numFmtId="0" fontId="0" fillId="4" borderId="0" xfId="0" applyFill="1" applyAlignment="1">
      <alignment horizontal="center" wrapText="1"/>
    </xf>
    <xf numFmtId="0" fontId="1" fillId="6" borderId="10" xfId="0" applyFont="1" applyFill="1" applyBorder="1"/>
    <xf numFmtId="1" fontId="0" fillId="0" borderId="10" xfId="0" applyNumberFormat="1" applyBorder="1"/>
    <xf numFmtId="10" fontId="0" fillId="3" borderId="18" xfId="1" applyNumberFormat="1" applyFont="1" applyFill="1" applyBorder="1"/>
    <xf numFmtId="0" fontId="1" fillId="2" borderId="18" xfId="0" applyFont="1" applyFill="1" applyBorder="1"/>
    <xf numFmtId="0" fontId="0" fillId="2" borderId="18" xfId="0" applyFill="1" applyBorder="1"/>
    <xf numFmtId="1" fontId="1" fillId="2" borderId="18" xfId="0" applyNumberFormat="1" applyFont="1" applyFill="1" applyBorder="1"/>
    <xf numFmtId="0" fontId="2" fillId="0" borderId="0" xfId="0" applyFont="1" applyAlignment="1">
      <alignment horizontal="center" vertical="center"/>
    </xf>
    <xf numFmtId="0" fontId="0" fillId="0" borderId="48" xfId="0" applyBorder="1"/>
    <xf numFmtId="166" fontId="0" fillId="0" borderId="0" xfId="0" applyNumberFormat="1"/>
    <xf numFmtId="0" fontId="0" fillId="10" borderId="42" xfId="0" applyFill="1" applyBorder="1"/>
    <xf numFmtId="166" fontId="0" fillId="10" borderId="0" xfId="0" applyNumberFormat="1" applyFill="1"/>
    <xf numFmtId="0" fontId="18" fillId="9" borderId="42" xfId="0" applyFont="1" applyFill="1" applyBorder="1"/>
    <xf numFmtId="0" fontId="0" fillId="8" borderId="0" xfId="0" applyFill="1"/>
    <xf numFmtId="0" fontId="0" fillId="8" borderId="22" xfId="0" applyFill="1" applyBorder="1"/>
    <xf numFmtId="0" fontId="0" fillId="8" borderId="52" xfId="0" applyFill="1" applyBorder="1"/>
    <xf numFmtId="0" fontId="0" fillId="0" borderId="45" xfId="0" applyBorder="1"/>
    <xf numFmtId="0" fontId="22" fillId="0" borderId="0" xfId="0" applyFont="1" applyAlignment="1">
      <alignment horizontal="center" vertical="center"/>
    </xf>
    <xf numFmtId="0" fontId="1" fillId="0" borderId="13" xfId="0" applyFont="1" applyBorder="1" applyAlignment="1">
      <alignment horizontal="center" wrapText="1"/>
    </xf>
    <xf numFmtId="0" fontId="0" fillId="9" borderId="24" xfId="0" applyFill="1" applyBorder="1"/>
    <xf numFmtId="0" fontId="0" fillId="9" borderId="25" xfId="0" applyFill="1" applyBorder="1"/>
    <xf numFmtId="0" fontId="0" fillId="9" borderId="25" xfId="0" applyFill="1" applyBorder="1" applyAlignment="1">
      <alignment horizontal="right"/>
    </xf>
    <xf numFmtId="0" fontId="0" fillId="9" borderId="26" xfId="0" applyFill="1" applyBorder="1" applyAlignment="1">
      <alignment horizontal="right"/>
    </xf>
    <xf numFmtId="0" fontId="0" fillId="7" borderId="53" xfId="0" applyFill="1" applyBorder="1"/>
    <xf numFmtId="0" fontId="0" fillId="8" borderId="32" xfId="0" applyFill="1" applyBorder="1"/>
    <xf numFmtId="0" fontId="0" fillId="7" borderId="55" xfId="0" applyFill="1" applyBorder="1"/>
    <xf numFmtId="0" fontId="0" fillId="7" borderId="46" xfId="0" applyFill="1" applyBorder="1"/>
    <xf numFmtId="0" fontId="0" fillId="7" borderId="54" xfId="0" applyFill="1" applyBorder="1"/>
    <xf numFmtId="0" fontId="0" fillId="0" borderId="33" xfId="0" applyBorder="1" applyAlignment="1">
      <alignment horizontal="right"/>
    </xf>
    <xf numFmtId="0" fontId="1" fillId="0" borderId="0" xfId="0" applyFont="1" applyBorder="1" applyAlignment="1">
      <alignment horizontal="center" wrapText="1"/>
    </xf>
    <xf numFmtId="0" fontId="0" fillId="0" borderId="54" xfId="0" applyBorder="1" applyAlignment="1">
      <alignment horizontal="right"/>
    </xf>
    <xf numFmtId="166" fontId="0" fillId="0" borderId="33" xfId="0" applyNumberFormat="1" applyBorder="1" applyAlignment="1">
      <alignment horizontal="right"/>
    </xf>
    <xf numFmtId="166" fontId="0" fillId="0" borderId="0" xfId="0" applyNumberFormat="1" applyBorder="1"/>
    <xf numFmtId="166" fontId="0" fillId="0" borderId="0" xfId="0" applyNumberFormat="1" applyBorder="1" applyAlignment="1">
      <alignment horizontal="right"/>
    </xf>
    <xf numFmtId="0" fontId="0" fillId="0" borderId="0" xfId="0" applyBorder="1"/>
    <xf numFmtId="0" fontId="0" fillId="0" borderId="0" xfId="0" applyBorder="1" applyAlignment="1">
      <alignment horizontal="right"/>
    </xf>
    <xf numFmtId="1" fontId="0" fillId="0" borderId="0" xfId="0" applyNumberFormat="1" applyBorder="1"/>
    <xf numFmtId="166" fontId="0" fillId="10" borderId="0" xfId="0" applyNumberFormat="1" applyFill="1" applyBorder="1"/>
    <xf numFmtId="166" fontId="0" fillId="10" borderId="0" xfId="0" applyNumberFormat="1" applyFill="1" applyBorder="1" applyAlignment="1">
      <alignment horizontal="right"/>
    </xf>
    <xf numFmtId="166" fontId="18" fillId="9" borderId="0" xfId="0" applyNumberFormat="1" applyFont="1" applyFill="1" applyBorder="1"/>
    <xf numFmtId="166" fontId="18" fillId="9" borderId="0" xfId="0" applyNumberFormat="1" applyFont="1" applyFill="1" applyBorder="1" applyAlignment="1">
      <alignment horizontal="right"/>
    </xf>
    <xf numFmtId="0" fontId="18" fillId="9" borderId="56" xfId="0" applyFont="1" applyFill="1" applyBorder="1"/>
    <xf numFmtId="166" fontId="18" fillId="9" borderId="25" xfId="0" applyNumberFormat="1" applyFont="1" applyFill="1" applyBorder="1"/>
    <xf numFmtId="166" fontId="18" fillId="9" borderId="25" xfId="0" applyNumberFormat="1" applyFont="1" applyFill="1" applyBorder="1" applyAlignment="1">
      <alignment horizontal="right"/>
    </xf>
    <xf numFmtId="166" fontId="18" fillId="9" borderId="26" xfId="0" applyNumberFormat="1" applyFont="1" applyFill="1" applyBorder="1" applyAlignment="1">
      <alignment horizontal="right"/>
    </xf>
    <xf numFmtId="0" fontId="0" fillId="8" borderId="0" xfId="0" applyFill="1" applyBorder="1"/>
    <xf numFmtId="0" fontId="1" fillId="11" borderId="0" xfId="0" applyFont="1" applyFill="1" applyAlignment="1">
      <alignment horizontal="left" indent="1"/>
    </xf>
    <xf numFmtId="0" fontId="0" fillId="11" borderId="0" xfId="0" applyFill="1"/>
    <xf numFmtId="0" fontId="1" fillId="11" borderId="0" xfId="0" applyFont="1" applyFill="1"/>
    <xf numFmtId="1" fontId="1" fillId="11" borderId="0" xfId="0" applyNumberFormat="1" applyFont="1" applyFill="1"/>
    <xf numFmtId="0" fontId="0" fillId="12" borderId="53" xfId="0" applyFill="1" applyBorder="1" applyAlignment="1"/>
    <xf numFmtId="0" fontId="0" fillId="12" borderId="46" xfId="0" applyFill="1" applyBorder="1" applyAlignment="1"/>
    <xf numFmtId="0" fontId="0" fillId="12" borderId="54" xfId="0" applyFill="1" applyBorder="1" applyAlignment="1"/>
    <xf numFmtId="0" fontId="0" fillId="7" borderId="23" xfId="0" applyFill="1" applyBorder="1"/>
    <xf numFmtId="0" fontId="0" fillId="7" borderId="0" xfId="0" applyFill="1" applyBorder="1"/>
    <xf numFmtId="0" fontId="0" fillId="7" borderId="22" xfId="0" applyFill="1" applyBorder="1"/>
    <xf numFmtId="0" fontId="0" fillId="0" borderId="0" xfId="0" applyAlignment="1">
      <alignment horizontal="center"/>
    </xf>
    <xf numFmtId="0" fontId="15" fillId="0" borderId="0" xfId="3" applyAlignment="1">
      <alignment horizontal="center"/>
    </xf>
    <xf numFmtId="0" fontId="0" fillId="0" borderId="14" xfId="0" applyBorder="1" applyAlignment="1">
      <alignment horizontal="center"/>
    </xf>
    <xf numFmtId="0" fontId="15" fillId="0" borderId="14" xfId="3"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9" xfId="0" applyFill="1" applyBorder="1" applyAlignment="1">
      <alignment horizontal="center"/>
    </xf>
    <xf numFmtId="0" fontId="1" fillId="0" borderId="13" xfId="0" applyFont="1" applyBorder="1" applyAlignment="1">
      <alignment horizontal="center" wrapText="1"/>
    </xf>
    <xf numFmtId="0" fontId="1" fillId="0" borderId="0" xfId="0" applyFont="1" applyBorder="1" applyAlignment="1">
      <alignment horizontal="center" wrapText="1"/>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0" fillId="3" borderId="8" xfId="0" applyFill="1" applyBorder="1" applyAlignment="1">
      <alignment horizontal="center"/>
    </xf>
    <xf numFmtId="0" fontId="0" fillId="3" borderId="1" xfId="0" applyFill="1" applyBorder="1" applyAlignment="1">
      <alignment horizontal="center"/>
    </xf>
    <xf numFmtId="0" fontId="0" fillId="3" borderId="9" xfId="0" applyFill="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0" xfId="0" applyFont="1" applyAlignment="1">
      <alignment horizont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10" fillId="0" borderId="0" xfId="0" applyFont="1" applyAlignment="1"/>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4" borderId="19" xfId="0" applyFont="1" applyFill="1" applyBorder="1" applyAlignment="1">
      <alignment horizontal="center"/>
    </xf>
    <xf numFmtId="0" fontId="2" fillId="4" borderId="0" xfId="0" applyFont="1" applyFill="1" applyAlignment="1">
      <alignment horizontal="center"/>
    </xf>
    <xf numFmtId="0" fontId="0" fillId="3" borderId="0" xfId="0" applyFill="1" applyAlignment="1">
      <alignment horizontal="center"/>
    </xf>
    <xf numFmtId="0" fontId="0" fillId="3" borderId="0" xfId="0" applyFill="1" applyAlignment="1">
      <alignment horizontal="center" vertical="center"/>
    </xf>
    <xf numFmtId="0" fontId="0" fillId="0" borderId="27"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3"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7" borderId="37" xfId="0" applyFill="1" applyBorder="1" applyAlignment="1">
      <alignment horizontal="center"/>
    </xf>
    <xf numFmtId="0" fontId="0" fillId="7" borderId="38" xfId="0" applyFill="1" applyBorder="1" applyAlignment="1">
      <alignment horizontal="center"/>
    </xf>
    <xf numFmtId="0" fontId="0" fillId="7" borderId="39" xfId="0" applyFill="1" applyBorder="1" applyAlignment="1">
      <alignment horizontal="center"/>
    </xf>
    <xf numFmtId="0" fontId="18" fillId="8" borderId="34" xfId="0" applyFont="1" applyFill="1" applyBorder="1" applyAlignment="1">
      <alignment horizontal="center"/>
    </xf>
    <xf numFmtId="0" fontId="18" fillId="8" borderId="35" xfId="0" applyFont="1" applyFill="1" applyBorder="1" applyAlignment="1">
      <alignment horizontal="center"/>
    </xf>
    <xf numFmtId="0" fontId="18" fillId="8" borderId="36" xfId="0" applyFont="1" applyFill="1" applyBorder="1" applyAlignment="1">
      <alignment horizontal="center"/>
    </xf>
    <xf numFmtId="0" fontId="0" fillId="9" borderId="27" xfId="0" applyFill="1" applyBorder="1" applyAlignment="1">
      <alignment horizontal="center"/>
    </xf>
    <xf numFmtId="0" fontId="0" fillId="9" borderId="20" xfId="0" applyFill="1" applyBorder="1" applyAlignment="1">
      <alignment horizontal="center"/>
    </xf>
    <xf numFmtId="0" fontId="0" fillId="9" borderId="21" xfId="0" applyFill="1" applyBorder="1" applyAlignment="1">
      <alignment horizontal="center"/>
    </xf>
    <xf numFmtId="0" fontId="1" fillId="7" borderId="47" xfId="0" applyFont="1" applyFill="1" applyBorder="1" applyAlignment="1">
      <alignment horizontal="center"/>
    </xf>
    <xf numFmtId="0" fontId="1" fillId="7" borderId="46" xfId="0" applyFont="1" applyFill="1" applyBorder="1" applyAlignment="1">
      <alignment horizontal="center"/>
    </xf>
    <xf numFmtId="0" fontId="1" fillId="7" borderId="48" xfId="0" applyFont="1" applyFill="1" applyBorder="1" applyAlignment="1">
      <alignment horizontal="center"/>
    </xf>
    <xf numFmtId="0" fontId="1" fillId="7" borderId="50" xfId="0" applyFont="1" applyFill="1" applyBorder="1" applyAlignment="1">
      <alignment horizontal="center"/>
    </xf>
    <xf numFmtId="0" fontId="1" fillId="7" borderId="40" xfId="0" applyFont="1" applyFill="1" applyBorder="1" applyAlignment="1">
      <alignment horizontal="center"/>
    </xf>
    <xf numFmtId="0" fontId="1" fillId="7" borderId="41" xfId="0" applyFont="1" applyFill="1" applyBorder="1" applyAlignment="1">
      <alignment horizontal="center"/>
    </xf>
    <xf numFmtId="0" fontId="1" fillId="7" borderId="23" xfId="0" applyFont="1" applyFill="1" applyBorder="1" applyAlignment="1">
      <alignment horizontal="center"/>
    </xf>
    <xf numFmtId="0" fontId="1" fillId="7" borderId="0" xfId="0" applyFont="1" applyFill="1" applyBorder="1" applyAlignment="1">
      <alignment horizontal="center"/>
    </xf>
    <xf numFmtId="0" fontId="1" fillId="7" borderId="22" xfId="0" applyFont="1" applyFill="1" applyBorder="1" applyAlignment="1">
      <alignment horizontal="center"/>
    </xf>
    <xf numFmtId="0" fontId="1" fillId="7" borderId="51" xfId="0" applyFont="1" applyFill="1" applyBorder="1" applyAlignment="1">
      <alignment horizontal="center"/>
    </xf>
    <xf numFmtId="0" fontId="1" fillId="7" borderId="29" xfId="0" applyFont="1" applyFill="1" applyBorder="1" applyAlignment="1">
      <alignment horizontal="center"/>
    </xf>
    <xf numFmtId="0" fontId="1" fillId="7" borderId="45" xfId="0" applyFont="1" applyFill="1" applyBorder="1" applyAlignment="1">
      <alignment horizontal="center"/>
    </xf>
    <xf numFmtId="0" fontId="0" fillId="9" borderId="37" xfId="0" applyFill="1" applyBorder="1" applyAlignment="1">
      <alignment horizontal="center"/>
    </xf>
    <xf numFmtId="0" fontId="0" fillId="9" borderId="38" xfId="0" applyFill="1" applyBorder="1" applyAlignment="1">
      <alignment horizontal="center"/>
    </xf>
    <xf numFmtId="0" fontId="0" fillId="9" borderId="39" xfId="0" applyFill="1" applyBorder="1" applyAlignment="1">
      <alignment horizontal="center"/>
    </xf>
    <xf numFmtId="0" fontId="2" fillId="4" borderId="15" xfId="0" applyFont="1" applyFill="1" applyBorder="1" applyAlignment="1">
      <alignment horizontal="center"/>
    </xf>
    <xf numFmtId="0" fontId="2" fillId="4" borderId="16" xfId="0" applyFont="1" applyFill="1" applyBorder="1" applyAlignment="1">
      <alignment horizontal="center"/>
    </xf>
    <xf numFmtId="0" fontId="0" fillId="3" borderId="31" xfId="0" applyFill="1" applyBorder="1" applyAlignment="1">
      <alignment horizontal="center"/>
    </xf>
    <xf numFmtId="0" fontId="0" fillId="3" borderId="3" xfId="0" applyFill="1" applyBorder="1" applyAlignment="1">
      <alignment horizontal="center"/>
    </xf>
  </cellXfs>
  <cellStyles count="4">
    <cellStyle name="Hyperlink" xfId="3" xr:uid="{00000000-000B-0000-0000-000008000000}"/>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16</xdr:col>
      <xdr:colOff>596676</xdr:colOff>
      <xdr:row>29</xdr:row>
      <xdr:rowOff>142597</xdr:rowOff>
    </xdr:to>
    <xdr:pic>
      <xdr:nvPicPr>
        <xdr:cNvPr id="3" name="Image 1">
          <a:extLst>
            <a:ext uri="{FF2B5EF4-FFF2-40B4-BE49-F238E27FC236}">
              <a16:creationId xmlns:a16="http://schemas.microsoft.com/office/drawing/2014/main" id="{22F5AB7C-72C9-7041-B7D8-340325A8BED5}"/>
            </a:ext>
          </a:extLst>
        </xdr:cNvPr>
        <xdr:cNvPicPr>
          <a:picLocks noChangeAspect="1"/>
        </xdr:cNvPicPr>
      </xdr:nvPicPr>
      <xdr:blipFill>
        <a:blip xmlns:r="http://schemas.openxmlformats.org/officeDocument/2006/relationships" r:embed="rId1"/>
        <a:stretch>
          <a:fillRect/>
        </a:stretch>
      </xdr:blipFill>
      <xdr:spPr>
        <a:xfrm>
          <a:off x="9416143" y="308429"/>
          <a:ext cx="7944533" cy="57773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ULINE CHAUVEAU" id="{596831BD-8B50-420C-BE52-ECADBFC1CE4A}" userId="PAULINE CHAUVEAU" providerId="None"/>
  <person displayName="Pauline CHAUVEAU" id="{03B64D4D-6AFD-4110-8D2D-E3A06D6BD902}" userId="d9f82df2ae7c11c2" providerId="Windows Liv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2-05-10T14:28:56.63" personId="{03B64D4D-6AFD-4110-8D2D-E3A06D6BD902}" id="{F1729C32-F402-4331-8C3F-4A2971952CC3}">
    <text>Pour 2022, la firme basée à San Francisco a confirmé ses projections. Elle vise un chiffre d'affaires de 6,4 à 6,5 milliards de dollars (consensus de 6,44 milliards), en croissance de 11% à 13%, ainsi qu'un BPA ajusté de 1,5 à 1,56 dollar (consensus à 1,54 dollar) Source : Capital</text>
  </threadedComment>
  <threadedComment ref="E7" dT="2022-05-10T14:44:32.26" personId="{03B64D4D-6AFD-4110-8D2D-E3A06D6BD902}" id="{C38FDFE4-46E8-4A05-AA59-03D1222563A4}">
    <text>Source : zone bourse</text>
  </threadedComment>
  <threadedComment ref="D9" dT="2022-05-10T18:36:28.31" personId="{596831BD-8B50-420C-BE52-ECADBFC1CE4A}" id="{3569CDB7-47C0-488D-B56C-D12921DAFF9D}">
    <text>source : valueinvesting.io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zonebourse.com/cours/action/LEVI-STRAUSS-CO-56112430/fondamentaux/" TargetMode="External"/><Relationship Id="rId2" Type="http://schemas.openxmlformats.org/officeDocument/2006/relationships/hyperlink" Target="https://fr.investing.com/equities/levi-strauss-co-balance-sheet" TargetMode="External"/><Relationship Id="rId1" Type="http://schemas.openxmlformats.org/officeDocument/2006/relationships/hyperlink" Target="https://d18rn0p25nwr6d.cloudfront.net/CIK-0000094845/a950660b-e090-48b0-baa7-7d1fa0db43b9.pdf" TargetMode="External"/><Relationship Id="rId5" Type="http://schemas.openxmlformats.org/officeDocument/2006/relationships/hyperlink" Target="https://www.wsj.com/market-data/quotes/LEVI/financials/annual/income-statement" TargetMode="External"/><Relationship Id="rId4" Type="http://schemas.openxmlformats.org/officeDocument/2006/relationships/hyperlink" Target="https://valueinvesting.io/LEVI/valuation/wacc"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449C-1A25-8C45-BDE7-332B09CE3DD3}">
  <dimension ref="A1:L20"/>
  <sheetViews>
    <sheetView workbookViewId="0">
      <selection activeCell="M10" sqref="M10"/>
    </sheetView>
  </sheetViews>
  <sheetFormatPr baseColWidth="10" defaultColWidth="11" defaultRowHeight="15.5"/>
  <sheetData>
    <row r="1" spans="1:12">
      <c r="A1" s="190" t="s">
        <v>0</v>
      </c>
      <c r="B1" s="191"/>
      <c r="C1" s="191"/>
      <c r="D1" s="191"/>
      <c r="E1" s="191"/>
      <c r="F1" s="191"/>
      <c r="G1" s="191"/>
      <c r="H1" s="191"/>
      <c r="I1" s="191"/>
      <c r="J1" s="191"/>
      <c r="K1" s="191"/>
      <c r="L1" s="192"/>
    </row>
    <row r="2" spans="1:12" ht="16" thickBot="1">
      <c r="A2" s="193"/>
      <c r="B2" s="194"/>
      <c r="C2" s="194"/>
      <c r="D2" s="194"/>
      <c r="E2" s="194"/>
      <c r="F2" s="194"/>
      <c r="G2" s="194"/>
      <c r="H2" s="194"/>
      <c r="I2" s="194"/>
      <c r="J2" s="194"/>
      <c r="K2" s="194"/>
      <c r="L2" s="195"/>
    </row>
    <row r="3" spans="1:12">
      <c r="A3" s="196" t="s">
        <v>1</v>
      </c>
      <c r="B3" s="197"/>
      <c r="C3" s="197"/>
      <c r="D3" s="197"/>
      <c r="E3" s="197"/>
      <c r="F3" s="197"/>
      <c r="G3" s="197"/>
      <c r="H3" s="197"/>
      <c r="I3" s="197"/>
      <c r="J3" s="197"/>
      <c r="K3" s="197"/>
      <c r="L3" s="198"/>
    </row>
    <row r="4" spans="1:12">
      <c r="A4" s="174" t="s">
        <v>2</v>
      </c>
      <c r="B4" s="175"/>
      <c r="C4" s="175"/>
      <c r="D4" s="175"/>
      <c r="E4" s="175"/>
      <c r="F4" s="175"/>
      <c r="G4" s="175"/>
      <c r="H4" s="175"/>
      <c r="I4" s="175"/>
      <c r="J4" s="175"/>
      <c r="K4" s="175"/>
      <c r="L4" s="176"/>
    </row>
    <row r="5" spans="1:12">
      <c r="A5" s="199" t="s">
        <v>3</v>
      </c>
      <c r="B5" s="200"/>
      <c r="C5" s="200" t="s">
        <v>4</v>
      </c>
      <c r="D5" s="200"/>
      <c r="E5" s="2"/>
      <c r="F5" s="2"/>
      <c r="G5" s="2"/>
      <c r="H5" s="2"/>
      <c r="I5" s="2"/>
      <c r="J5" s="2"/>
      <c r="K5" s="2"/>
      <c r="L5" s="3"/>
    </row>
    <row r="6" spans="1:12">
      <c r="A6" s="177" t="s">
        <v>5</v>
      </c>
      <c r="B6" s="201"/>
      <c r="C6" s="170" t="s">
        <v>6</v>
      </c>
      <c r="D6" s="170"/>
      <c r="E6" s="46" t="s">
        <v>7</v>
      </c>
      <c r="L6" s="4"/>
    </row>
    <row r="7" spans="1:12">
      <c r="A7" s="177"/>
      <c r="B7" s="201"/>
      <c r="C7" s="170" t="s">
        <v>8</v>
      </c>
      <c r="D7" s="170"/>
      <c r="E7" t="s">
        <v>9</v>
      </c>
      <c r="L7" s="4"/>
    </row>
    <row r="8" spans="1:12">
      <c r="A8" s="177" t="s">
        <v>10</v>
      </c>
      <c r="B8" s="178"/>
      <c r="C8" s="170" t="s">
        <v>11</v>
      </c>
      <c r="D8" s="170"/>
      <c r="E8" s="171" t="s">
        <v>12</v>
      </c>
      <c r="F8" s="170"/>
      <c r="G8" s="170"/>
      <c r="H8" s="170"/>
      <c r="I8" s="170"/>
      <c r="J8" s="170"/>
      <c r="K8" s="170"/>
      <c r="L8" s="172"/>
    </row>
    <row r="9" spans="1:12">
      <c r="A9" s="132"/>
      <c r="B9" s="143"/>
      <c r="C9" s="170"/>
      <c r="D9" s="170"/>
      <c r="E9" s="171" t="s">
        <v>13</v>
      </c>
      <c r="F9" s="170"/>
      <c r="G9" s="170"/>
      <c r="H9" s="170"/>
      <c r="I9" s="170"/>
      <c r="J9" s="170"/>
      <c r="K9" s="170"/>
      <c r="L9" s="172"/>
    </row>
    <row r="10" spans="1:12">
      <c r="A10" s="132"/>
      <c r="B10" s="143"/>
      <c r="C10" s="170" t="s">
        <v>14</v>
      </c>
      <c r="D10" s="170"/>
      <c r="E10" s="171" t="s">
        <v>15</v>
      </c>
      <c r="F10" s="170"/>
      <c r="G10" s="170"/>
      <c r="H10" s="170"/>
      <c r="I10" s="170"/>
      <c r="J10" s="170"/>
      <c r="K10" s="170"/>
      <c r="L10" s="172"/>
    </row>
    <row r="11" spans="1:12">
      <c r="A11" s="132"/>
      <c r="B11" s="143"/>
      <c r="C11" s="170" t="s">
        <v>16</v>
      </c>
      <c r="D11" s="170"/>
      <c r="E11" s="171" t="s">
        <v>9</v>
      </c>
      <c r="F11" s="171"/>
      <c r="G11" s="171"/>
      <c r="H11" s="171"/>
      <c r="I11" s="171"/>
      <c r="J11" s="171"/>
      <c r="K11" s="171"/>
      <c r="L11" s="173"/>
    </row>
    <row r="12" spans="1:12">
      <c r="A12" s="181" t="s">
        <v>17</v>
      </c>
      <c r="B12" s="182"/>
      <c r="C12" s="185" t="s">
        <v>18</v>
      </c>
      <c r="D12" s="185"/>
      <c r="E12" s="185"/>
      <c r="F12" s="185"/>
      <c r="G12" s="185"/>
      <c r="H12" s="185"/>
      <c r="I12" s="185"/>
      <c r="J12" s="185"/>
      <c r="K12" s="185"/>
      <c r="L12" s="186"/>
    </row>
    <row r="13" spans="1:12">
      <c r="A13" s="183"/>
      <c r="B13" s="184"/>
      <c r="C13" s="187"/>
      <c r="D13" s="187"/>
      <c r="E13" s="187"/>
      <c r="F13" s="187"/>
      <c r="G13" s="187"/>
      <c r="H13" s="187"/>
      <c r="I13" s="187"/>
      <c r="J13" s="187"/>
      <c r="K13" s="187"/>
      <c r="L13" s="188"/>
    </row>
    <row r="14" spans="1:12">
      <c r="A14" s="179" t="s">
        <v>19</v>
      </c>
      <c r="B14" s="180"/>
      <c r="C14" s="189" t="s">
        <v>20</v>
      </c>
      <c r="D14" s="189"/>
      <c r="E14" s="2"/>
      <c r="F14" s="2"/>
      <c r="G14" s="2"/>
      <c r="H14" s="2"/>
      <c r="I14" s="2"/>
      <c r="J14" s="2"/>
      <c r="K14" s="2"/>
      <c r="L14" s="3"/>
    </row>
    <row r="15" spans="1:12">
      <c r="A15" s="181"/>
      <c r="B15" s="182"/>
      <c r="C15" s="170" t="s">
        <v>21</v>
      </c>
      <c r="D15" s="170"/>
      <c r="L15" s="4"/>
    </row>
    <row r="16" spans="1:12">
      <c r="A16" s="181"/>
      <c r="B16" s="182"/>
      <c r="C16" s="170" t="s">
        <v>11</v>
      </c>
      <c r="D16" s="170"/>
      <c r="L16" s="4"/>
    </row>
    <row r="17" spans="1:12">
      <c r="A17" s="181"/>
      <c r="B17" s="182"/>
      <c r="C17" s="170" t="s">
        <v>22</v>
      </c>
      <c r="D17" s="170"/>
      <c r="L17" s="4"/>
    </row>
    <row r="18" spans="1:12">
      <c r="A18" s="181"/>
      <c r="B18" s="182"/>
      <c r="L18" s="4"/>
    </row>
    <row r="19" spans="1:12">
      <c r="A19" s="181"/>
      <c r="B19" s="182"/>
      <c r="L19" s="4"/>
    </row>
    <row r="20" spans="1:12">
      <c r="A20" s="183"/>
      <c r="B20" s="184"/>
      <c r="C20" s="5"/>
      <c r="D20" s="5"/>
      <c r="E20" s="5"/>
      <c r="F20" s="5"/>
      <c r="G20" s="5"/>
      <c r="H20" s="5"/>
      <c r="I20" s="5"/>
      <c r="J20" s="5"/>
      <c r="K20" s="5"/>
      <c r="L20" s="6"/>
    </row>
  </sheetData>
  <mergeCells count="24">
    <mergeCell ref="A1:L2"/>
    <mergeCell ref="A3:L3"/>
    <mergeCell ref="A5:B5"/>
    <mergeCell ref="C5:D5"/>
    <mergeCell ref="A6:B7"/>
    <mergeCell ref="C6:D6"/>
    <mergeCell ref="C7:D7"/>
    <mergeCell ref="C16:D16"/>
    <mergeCell ref="C17:D17"/>
    <mergeCell ref="A14:B20"/>
    <mergeCell ref="C12:L13"/>
    <mergeCell ref="A12:B13"/>
    <mergeCell ref="C14:D14"/>
    <mergeCell ref="C15:D15"/>
    <mergeCell ref="C10:D10"/>
    <mergeCell ref="E10:L10"/>
    <mergeCell ref="E11:L11"/>
    <mergeCell ref="C11:D11"/>
    <mergeCell ref="A4:L4"/>
    <mergeCell ref="A8:B8"/>
    <mergeCell ref="C8:D8"/>
    <mergeCell ref="E8:L8"/>
    <mergeCell ref="E9:L9"/>
    <mergeCell ref="C9:D9"/>
  </mergeCells>
  <hyperlinks>
    <hyperlink ref="E6" r:id="rId1" xr:uid="{E625CEED-E7E4-48F2-A6F0-5F6E6541D9D7}"/>
    <hyperlink ref="E10" r:id="rId2" xr:uid="{67E23028-B89D-4E69-A5DB-08AA7933933B}"/>
    <hyperlink ref="E8" r:id="rId3" xr:uid="{F434518B-93E6-43C7-98B1-12E92E1F433E}"/>
    <hyperlink ref="E9" r:id="rId4" xr:uid="{917AAD50-688B-4612-A576-6BABE0B91985}"/>
    <hyperlink ref="E11:L11" r:id="rId5" display="https://www.wsj.com/market-data/quotes/LEVI/financials/annual/income-statement" xr:uid="{98C09261-A889-4FE3-9E8F-EC7025136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4081A-A7CB-7249-A231-EBFDC95ECB92}">
  <dimension ref="A1:O42"/>
  <sheetViews>
    <sheetView topLeftCell="G4" zoomScale="70" zoomScaleNormal="70" workbookViewId="0">
      <selection activeCell="K37" sqref="K37"/>
    </sheetView>
  </sheetViews>
  <sheetFormatPr baseColWidth="10" defaultColWidth="11" defaultRowHeight="15.5"/>
  <cols>
    <col min="1" max="7" width="18.83203125" customWidth="1"/>
    <col min="9" max="15" width="20.83203125" customWidth="1"/>
  </cols>
  <sheetData>
    <row r="1" spans="1:15">
      <c r="A1" s="204" t="s">
        <v>23</v>
      </c>
      <c r="B1" s="204"/>
      <c r="C1" s="204"/>
      <c r="D1" s="204"/>
      <c r="E1" s="204"/>
      <c r="F1" s="204"/>
      <c r="G1" s="204"/>
      <c r="H1" s="204"/>
      <c r="I1" s="204"/>
      <c r="J1" s="204"/>
      <c r="K1" s="204"/>
      <c r="L1" s="204"/>
      <c r="M1" s="204"/>
      <c r="N1" s="204"/>
      <c r="O1" s="204"/>
    </row>
    <row r="2" spans="1:15">
      <c r="A2" s="204"/>
      <c r="B2" s="204"/>
      <c r="C2" s="204"/>
      <c r="D2" s="204"/>
      <c r="E2" s="204"/>
      <c r="F2" s="204"/>
      <c r="G2" s="204"/>
      <c r="H2" s="204"/>
      <c r="I2" s="204"/>
      <c r="J2" s="204"/>
      <c r="K2" s="204"/>
      <c r="L2" s="204"/>
      <c r="M2" s="204"/>
      <c r="N2" s="204"/>
      <c r="O2" s="204"/>
    </row>
    <row r="3" spans="1:15" ht="23.5">
      <c r="A3" s="131" t="s">
        <v>24</v>
      </c>
      <c r="B3" s="121"/>
      <c r="C3" s="121"/>
      <c r="D3" s="121"/>
      <c r="E3" s="121"/>
      <c r="F3" s="121"/>
      <c r="G3" s="121"/>
      <c r="H3" s="121"/>
      <c r="I3" s="121"/>
      <c r="J3" s="121"/>
      <c r="K3" s="121"/>
      <c r="L3" s="121"/>
      <c r="M3" s="121"/>
      <c r="N3" s="121"/>
      <c r="O3" s="121"/>
    </row>
    <row r="4" spans="1:15">
      <c r="A4" s="202" t="s">
        <v>25</v>
      </c>
      <c r="B4" s="202"/>
      <c r="C4" s="202"/>
      <c r="D4" s="202"/>
      <c r="E4" s="202"/>
      <c r="F4" s="202"/>
      <c r="G4" s="202"/>
      <c r="I4" s="202" t="s">
        <v>26</v>
      </c>
      <c r="J4" s="202"/>
      <c r="K4" s="202"/>
      <c r="L4" s="202"/>
      <c r="M4" s="202"/>
      <c r="N4" s="202"/>
      <c r="O4" s="202"/>
    </row>
    <row r="5" spans="1:15">
      <c r="A5" s="203"/>
      <c r="B5" s="203"/>
      <c r="C5" s="203"/>
      <c r="D5" s="203"/>
      <c r="E5" s="203"/>
      <c r="F5" s="203"/>
      <c r="G5" s="203"/>
      <c r="I5" s="203"/>
      <c r="J5" s="203"/>
      <c r="K5" s="203"/>
      <c r="L5" s="203"/>
      <c r="M5" s="203"/>
      <c r="N5" s="203"/>
      <c r="O5" s="203"/>
    </row>
    <row r="6" spans="1:15">
      <c r="A6" s="25" t="s">
        <v>27</v>
      </c>
      <c r="B6" s="25" t="s">
        <v>28</v>
      </c>
      <c r="C6" s="25" t="s">
        <v>29</v>
      </c>
      <c r="D6" s="25" t="s">
        <v>30</v>
      </c>
      <c r="E6" s="25" t="s">
        <v>31</v>
      </c>
      <c r="F6" s="25" t="s">
        <v>32</v>
      </c>
      <c r="G6" s="25" t="s">
        <v>33</v>
      </c>
      <c r="I6" s="25" t="s">
        <v>27</v>
      </c>
      <c r="J6" s="25" t="s">
        <v>28</v>
      </c>
      <c r="K6" s="25" t="s">
        <v>29</v>
      </c>
      <c r="L6" s="25" t="s">
        <v>30</v>
      </c>
      <c r="M6" s="25" t="s">
        <v>31</v>
      </c>
      <c r="N6" s="25" t="s">
        <v>32</v>
      </c>
      <c r="O6" s="25" t="s">
        <v>33</v>
      </c>
    </row>
    <row r="7" spans="1:15" ht="16" thickBot="1">
      <c r="A7" s="7" t="s">
        <v>34</v>
      </c>
      <c r="B7" s="8" t="s">
        <v>35</v>
      </c>
      <c r="C7" s="7">
        <v>902</v>
      </c>
      <c r="D7" s="7">
        <v>1594</v>
      </c>
      <c r="E7" s="7">
        <v>1015</v>
      </c>
      <c r="F7" s="7">
        <v>713</v>
      </c>
      <c r="G7" s="7">
        <v>634</v>
      </c>
      <c r="I7" s="12" t="s">
        <v>36</v>
      </c>
      <c r="J7" s="12" t="s">
        <v>37</v>
      </c>
      <c r="K7" s="12">
        <v>251</v>
      </c>
      <c r="L7" s="12">
        <v>255</v>
      </c>
      <c r="M7" s="12">
        <v>8</v>
      </c>
      <c r="N7" s="12">
        <v>32</v>
      </c>
      <c r="O7" s="12">
        <v>38</v>
      </c>
    </row>
    <row r="8" spans="1:15">
      <c r="A8" s="9" t="s">
        <v>38</v>
      </c>
      <c r="B8" s="9"/>
      <c r="C8" s="9">
        <v>810</v>
      </c>
      <c r="D8" s="9">
        <v>1497</v>
      </c>
      <c r="E8" s="9">
        <v>934</v>
      </c>
      <c r="F8" s="9">
        <v>713</v>
      </c>
      <c r="G8" s="9">
        <v>634</v>
      </c>
      <c r="I8" s="9" t="s">
        <v>39</v>
      </c>
      <c r="K8" s="9" t="s">
        <v>40</v>
      </c>
      <c r="L8" s="9">
        <v>255</v>
      </c>
      <c r="M8" s="9">
        <v>8</v>
      </c>
      <c r="N8" s="9">
        <v>32</v>
      </c>
      <c r="O8" s="9">
        <v>38</v>
      </c>
    </row>
    <row r="9" spans="1:15" ht="16" thickBot="1">
      <c r="A9" s="9" t="s">
        <v>41</v>
      </c>
      <c r="B9" s="9" t="s">
        <v>42</v>
      </c>
      <c r="C9" s="9">
        <v>92</v>
      </c>
      <c r="D9" s="9">
        <v>97</v>
      </c>
      <c r="E9" s="9">
        <v>81</v>
      </c>
      <c r="F9" s="9" t="s">
        <v>40</v>
      </c>
      <c r="G9" s="9" t="s">
        <v>40</v>
      </c>
      <c r="I9" s="12" t="s">
        <v>43</v>
      </c>
      <c r="J9" s="12" t="s">
        <v>44</v>
      </c>
      <c r="K9" s="12">
        <v>525</v>
      </c>
      <c r="L9" s="12">
        <v>375</v>
      </c>
      <c r="M9" s="12">
        <v>360</v>
      </c>
      <c r="N9" s="12">
        <v>351</v>
      </c>
      <c r="O9" s="12">
        <v>290</v>
      </c>
    </row>
    <row r="10" spans="1:15">
      <c r="A10" s="9" t="s">
        <v>45</v>
      </c>
      <c r="B10" s="9" t="s">
        <v>35</v>
      </c>
      <c r="C10" s="10" t="s">
        <v>46</v>
      </c>
      <c r="D10" s="11" t="s">
        <v>47</v>
      </c>
      <c r="E10" s="11" t="s">
        <v>48</v>
      </c>
      <c r="F10" s="11" t="s">
        <v>49</v>
      </c>
      <c r="G10" s="9" t="s">
        <v>40</v>
      </c>
      <c r="I10" s="9" t="s">
        <v>50</v>
      </c>
      <c r="J10" s="9"/>
      <c r="K10" s="11" t="s">
        <v>51</v>
      </c>
      <c r="L10" s="11" t="s">
        <v>52</v>
      </c>
      <c r="M10" s="11" t="s">
        <v>53</v>
      </c>
      <c r="N10" s="11" t="s">
        <v>54</v>
      </c>
      <c r="O10" s="9" t="s">
        <v>40</v>
      </c>
    </row>
    <row r="11" spans="1:15">
      <c r="A11" s="9" t="s">
        <v>55</v>
      </c>
      <c r="B11" s="9"/>
      <c r="C11" s="11" t="s">
        <v>56</v>
      </c>
      <c r="D11" s="11" t="s">
        <v>57</v>
      </c>
      <c r="E11" s="11" t="s">
        <v>58</v>
      </c>
      <c r="F11" s="11" t="s">
        <v>59</v>
      </c>
      <c r="G11" s="11" t="s">
        <v>60</v>
      </c>
      <c r="I11" s="9" t="s">
        <v>61</v>
      </c>
      <c r="J11" s="9" t="s">
        <v>62</v>
      </c>
      <c r="K11" s="9">
        <v>14</v>
      </c>
      <c r="L11" s="9">
        <v>22</v>
      </c>
      <c r="M11" s="9">
        <v>24</v>
      </c>
      <c r="N11" s="9">
        <v>15</v>
      </c>
      <c r="O11" s="9">
        <v>16</v>
      </c>
    </row>
    <row r="12" spans="1:15" ht="16" thickBot="1">
      <c r="A12" s="12" t="s">
        <v>63</v>
      </c>
      <c r="B12" s="13" t="s">
        <v>64</v>
      </c>
      <c r="C12" s="12">
        <v>708</v>
      </c>
      <c r="D12" s="12">
        <v>540</v>
      </c>
      <c r="E12" s="12">
        <v>783</v>
      </c>
      <c r="F12" s="12">
        <v>534</v>
      </c>
      <c r="G12" s="12">
        <v>485</v>
      </c>
      <c r="I12" s="9" t="s">
        <v>65</v>
      </c>
      <c r="J12" s="9"/>
      <c r="K12" s="9">
        <v>1079</v>
      </c>
      <c r="L12" s="9">
        <v>897</v>
      </c>
      <c r="M12" s="9">
        <v>775</v>
      </c>
      <c r="N12" s="9">
        <v>653</v>
      </c>
      <c r="O12" s="9">
        <v>535</v>
      </c>
    </row>
    <row r="13" spans="1:15" ht="16" thickBot="1">
      <c r="A13" s="14" t="s">
        <v>66</v>
      </c>
      <c r="B13" s="15" t="s">
        <v>67</v>
      </c>
      <c r="C13" s="14">
        <v>708</v>
      </c>
      <c r="D13" s="14">
        <v>540</v>
      </c>
      <c r="E13" s="14">
        <v>783</v>
      </c>
      <c r="F13" s="14">
        <v>534</v>
      </c>
      <c r="G13" s="14">
        <v>485</v>
      </c>
      <c r="I13" s="57" t="s">
        <v>68</v>
      </c>
      <c r="J13" s="9" t="s">
        <v>69</v>
      </c>
      <c r="K13" s="9">
        <v>275</v>
      </c>
      <c r="L13" s="9">
        <v>179</v>
      </c>
      <c r="M13" s="9">
        <v>223</v>
      </c>
      <c r="N13" s="9">
        <v>299</v>
      </c>
      <c r="O13" s="9">
        <v>227</v>
      </c>
    </row>
    <row r="14" spans="1:15">
      <c r="A14" s="57" t="s">
        <v>70</v>
      </c>
      <c r="B14" s="9" t="s">
        <v>71</v>
      </c>
      <c r="C14" s="9">
        <v>719</v>
      </c>
      <c r="D14" s="9">
        <v>555</v>
      </c>
      <c r="E14" s="9">
        <v>789</v>
      </c>
      <c r="F14" s="9">
        <v>544</v>
      </c>
      <c r="G14" s="9">
        <v>497</v>
      </c>
      <c r="I14" s="57" t="s">
        <v>72</v>
      </c>
      <c r="J14" s="9" t="s">
        <v>73</v>
      </c>
      <c r="K14" s="9">
        <v>804</v>
      </c>
      <c r="L14" s="9">
        <v>718</v>
      </c>
      <c r="M14" s="9">
        <v>552</v>
      </c>
      <c r="N14" s="9">
        <v>354</v>
      </c>
      <c r="O14" s="9">
        <v>308</v>
      </c>
    </row>
    <row r="15" spans="1:15">
      <c r="A15" s="57" t="s">
        <v>74</v>
      </c>
      <c r="B15" s="9" t="s">
        <v>75</v>
      </c>
      <c r="C15" s="9">
        <v>-12</v>
      </c>
      <c r="D15" s="9">
        <v>-15</v>
      </c>
      <c r="E15" s="9">
        <v>-6</v>
      </c>
      <c r="F15" s="9">
        <v>-10</v>
      </c>
      <c r="G15" s="9">
        <v>-12</v>
      </c>
      <c r="I15" s="12" t="s">
        <v>76</v>
      </c>
      <c r="J15" s="12"/>
      <c r="K15" s="12">
        <v>1870</v>
      </c>
      <c r="L15" s="12">
        <v>1549</v>
      </c>
      <c r="M15" s="12">
        <v>1167</v>
      </c>
      <c r="N15" s="12">
        <v>1052</v>
      </c>
      <c r="O15" s="12">
        <v>879</v>
      </c>
    </row>
    <row r="16" spans="1:15" ht="16" thickBot="1">
      <c r="A16" s="9" t="s">
        <v>77</v>
      </c>
      <c r="B16" s="9" t="s">
        <v>78</v>
      </c>
      <c r="C16" s="11" t="s">
        <v>79</v>
      </c>
      <c r="D16" s="10" t="s">
        <v>80</v>
      </c>
      <c r="E16" s="11" t="s">
        <v>81</v>
      </c>
      <c r="F16" s="11" t="s">
        <v>82</v>
      </c>
      <c r="G16" s="9" t="s">
        <v>40</v>
      </c>
      <c r="I16" s="9" t="s">
        <v>83</v>
      </c>
      <c r="J16" s="9" t="s">
        <v>84</v>
      </c>
      <c r="K16" s="11" t="s">
        <v>85</v>
      </c>
      <c r="L16" s="11" t="s">
        <v>86</v>
      </c>
      <c r="M16" s="11" t="s">
        <v>87</v>
      </c>
      <c r="N16" s="11" t="s">
        <v>88</v>
      </c>
      <c r="O16" s="11" t="s">
        <v>89</v>
      </c>
    </row>
    <row r="17" spans="1:15" ht="16" thickBot="1">
      <c r="A17" s="14" t="s">
        <v>90</v>
      </c>
      <c r="B17" s="16" t="s">
        <v>91</v>
      </c>
      <c r="C17" s="17" t="s">
        <v>92</v>
      </c>
      <c r="D17" s="17" t="s">
        <v>93</v>
      </c>
      <c r="E17" s="17" t="s">
        <v>94</v>
      </c>
      <c r="F17" s="17" t="s">
        <v>95</v>
      </c>
      <c r="G17" s="17" t="s">
        <v>96</v>
      </c>
      <c r="I17" s="9" t="s">
        <v>97</v>
      </c>
      <c r="J17" s="9" t="s">
        <v>98</v>
      </c>
      <c r="K17" s="11" t="s">
        <v>99</v>
      </c>
      <c r="L17" s="11" t="s">
        <v>100</v>
      </c>
      <c r="M17" s="11" t="s">
        <v>101</v>
      </c>
      <c r="N17" s="11" t="s">
        <v>102</v>
      </c>
      <c r="O17" s="11" t="s">
        <v>103</v>
      </c>
    </row>
    <row r="18" spans="1:15" ht="16" thickBot="1">
      <c r="A18" s="12" t="s">
        <v>104</v>
      </c>
      <c r="B18" s="12" t="s">
        <v>105</v>
      </c>
      <c r="C18" s="12">
        <v>898</v>
      </c>
      <c r="D18" s="12">
        <v>818</v>
      </c>
      <c r="E18" s="12">
        <v>884</v>
      </c>
      <c r="F18" s="12">
        <v>884</v>
      </c>
      <c r="G18" s="12">
        <v>759</v>
      </c>
      <c r="I18" s="9" t="s">
        <v>106</v>
      </c>
      <c r="J18" s="9"/>
      <c r="K18" s="11" t="s">
        <v>107</v>
      </c>
      <c r="L18" s="11" t="s">
        <v>108</v>
      </c>
      <c r="M18" s="11" t="s">
        <v>109</v>
      </c>
      <c r="N18" s="11" t="s">
        <v>110</v>
      </c>
      <c r="O18" s="11" t="s">
        <v>111</v>
      </c>
    </row>
    <row r="19" spans="1:15" ht="16" thickBot="1">
      <c r="A19" s="9" t="s">
        <v>112</v>
      </c>
      <c r="B19" s="9" t="s">
        <v>113</v>
      </c>
      <c r="C19" s="9">
        <v>885</v>
      </c>
      <c r="D19" s="9">
        <v>809</v>
      </c>
      <c r="E19" s="9">
        <v>876</v>
      </c>
      <c r="F19" s="9">
        <v>877</v>
      </c>
      <c r="G19" s="9">
        <v>753</v>
      </c>
      <c r="I19" s="65" t="s">
        <v>114</v>
      </c>
      <c r="J19" s="65"/>
      <c r="K19" s="65">
        <v>1990</v>
      </c>
      <c r="L19" s="65">
        <v>2405</v>
      </c>
      <c r="M19" s="65">
        <v>1007</v>
      </c>
      <c r="N19" s="65">
        <v>1020</v>
      </c>
      <c r="O19" s="65">
        <v>1039</v>
      </c>
    </row>
    <row r="20" spans="1:15">
      <c r="A20" s="9" t="s">
        <v>115</v>
      </c>
      <c r="B20" s="9" t="s">
        <v>116</v>
      </c>
      <c r="C20" s="9">
        <v>4</v>
      </c>
      <c r="D20" s="9">
        <v>5</v>
      </c>
      <c r="E20" s="9">
        <v>3</v>
      </c>
      <c r="F20" s="9">
        <v>3</v>
      </c>
      <c r="G20" s="9">
        <v>3</v>
      </c>
      <c r="I20" s="9" t="s">
        <v>117</v>
      </c>
      <c r="J20" s="9"/>
      <c r="K20" s="9">
        <v>1021</v>
      </c>
      <c r="L20" s="9">
        <v>1547</v>
      </c>
      <c r="M20" s="9">
        <v>1007</v>
      </c>
      <c r="N20" s="9">
        <v>1020</v>
      </c>
      <c r="O20" s="9">
        <v>1039</v>
      </c>
    </row>
    <row r="21" spans="1:15">
      <c r="A21" s="9" t="s">
        <v>118</v>
      </c>
      <c r="B21" s="9" t="s">
        <v>119</v>
      </c>
      <c r="C21" s="9">
        <v>9</v>
      </c>
      <c r="D21" s="9">
        <v>4</v>
      </c>
      <c r="E21" s="9">
        <v>5</v>
      </c>
      <c r="F21" s="9">
        <v>4</v>
      </c>
      <c r="G21" s="9">
        <v>4</v>
      </c>
      <c r="I21" s="57" t="s">
        <v>120</v>
      </c>
      <c r="J21" s="57" t="s">
        <v>121</v>
      </c>
      <c r="K21" s="9">
        <v>1021</v>
      </c>
      <c r="L21" s="9">
        <v>1547</v>
      </c>
      <c r="M21" s="9">
        <v>1007</v>
      </c>
      <c r="N21" s="9">
        <v>1020</v>
      </c>
      <c r="O21" s="9">
        <v>1039</v>
      </c>
    </row>
    <row r="22" spans="1:15" ht="16" thickBot="1">
      <c r="A22" s="12" t="s">
        <v>122</v>
      </c>
      <c r="B22" s="12"/>
      <c r="C22" s="12">
        <v>203</v>
      </c>
      <c r="D22" s="12">
        <v>175</v>
      </c>
      <c r="E22" s="12">
        <v>188</v>
      </c>
      <c r="F22" s="12">
        <v>157</v>
      </c>
      <c r="G22" s="12">
        <v>119</v>
      </c>
      <c r="I22" s="66" t="s">
        <v>123</v>
      </c>
      <c r="J22" s="66" t="s">
        <v>124</v>
      </c>
      <c r="K22" s="66">
        <v>315</v>
      </c>
      <c r="L22" s="66">
        <v>324</v>
      </c>
      <c r="M22" s="66">
        <v>342</v>
      </c>
      <c r="N22" s="66">
        <v>377</v>
      </c>
      <c r="O22" s="66">
        <v>495</v>
      </c>
    </row>
    <row r="23" spans="1:15" ht="16" thickBot="1">
      <c r="A23" s="9" t="s">
        <v>125</v>
      </c>
      <c r="B23" s="9" t="s">
        <v>126</v>
      </c>
      <c r="C23" s="9">
        <v>203</v>
      </c>
      <c r="D23" s="9">
        <v>175</v>
      </c>
      <c r="E23" s="9">
        <v>188</v>
      </c>
      <c r="F23" s="9">
        <v>157</v>
      </c>
      <c r="G23" s="9">
        <v>119</v>
      </c>
      <c r="I23" s="65" t="s">
        <v>127</v>
      </c>
      <c r="J23" s="65" t="s">
        <v>128</v>
      </c>
      <c r="K23" s="65">
        <v>-573</v>
      </c>
      <c r="L23" s="65">
        <v>-498</v>
      </c>
      <c r="M23" s="65">
        <v>-408</v>
      </c>
      <c r="N23" s="65">
        <v>-398</v>
      </c>
      <c r="O23" s="65">
        <v>-538</v>
      </c>
    </row>
    <row r="24" spans="1:15" ht="16" thickBot="1">
      <c r="A24" s="18" t="s">
        <v>129</v>
      </c>
      <c r="B24" s="18" t="s">
        <v>130</v>
      </c>
      <c r="C24" s="18">
        <v>2710</v>
      </c>
      <c r="D24" s="18">
        <v>3126</v>
      </c>
      <c r="E24" s="18">
        <v>2870</v>
      </c>
      <c r="F24" s="18">
        <v>2288</v>
      </c>
      <c r="G24" s="18">
        <v>1997</v>
      </c>
      <c r="I24" s="9" t="s">
        <v>131</v>
      </c>
      <c r="J24" s="9"/>
      <c r="K24" s="9">
        <v>573</v>
      </c>
      <c r="L24" s="9">
        <v>498</v>
      </c>
      <c r="M24" s="9">
        <v>408</v>
      </c>
      <c r="N24" s="9">
        <v>398</v>
      </c>
      <c r="O24" s="9">
        <v>538</v>
      </c>
    </row>
    <row r="25" spans="1:15" ht="16" thickBot="1">
      <c r="A25" s="19" t="s">
        <v>132</v>
      </c>
      <c r="B25" s="19" t="s">
        <v>133</v>
      </c>
      <c r="C25" s="19">
        <v>1606</v>
      </c>
      <c r="D25" s="19">
        <v>1443</v>
      </c>
      <c r="E25" s="19">
        <v>530</v>
      </c>
      <c r="F25" s="19">
        <v>461</v>
      </c>
      <c r="G25" s="19">
        <v>424</v>
      </c>
      <c r="I25" s="12" t="s">
        <v>134</v>
      </c>
      <c r="J25" s="12" t="s">
        <v>135</v>
      </c>
      <c r="K25" s="12">
        <v>59</v>
      </c>
      <c r="L25" s="12">
        <v>64</v>
      </c>
      <c r="M25" s="12">
        <v>145</v>
      </c>
      <c r="N25" s="12">
        <v>126</v>
      </c>
      <c r="O25" s="12">
        <v>116</v>
      </c>
    </row>
    <row r="26" spans="1:15" ht="16" thickBot="1">
      <c r="A26" s="14" t="s">
        <v>136</v>
      </c>
      <c r="B26" s="14" t="s">
        <v>137</v>
      </c>
      <c r="C26" s="14">
        <v>2737</v>
      </c>
      <c r="D26" s="14">
        <v>2547</v>
      </c>
      <c r="E26" s="14">
        <v>1584</v>
      </c>
      <c r="F26" s="14">
        <v>1435</v>
      </c>
      <c r="G26" s="14">
        <v>1376</v>
      </c>
      <c r="I26" s="9" t="s">
        <v>138</v>
      </c>
      <c r="J26" s="9"/>
      <c r="K26" s="9">
        <v>59</v>
      </c>
      <c r="L26" s="9">
        <v>64</v>
      </c>
      <c r="M26" s="9">
        <v>145</v>
      </c>
      <c r="N26" s="9">
        <v>126</v>
      </c>
      <c r="O26" s="9">
        <v>116</v>
      </c>
    </row>
    <row r="27" spans="1:15">
      <c r="A27" s="57" t="s">
        <v>139</v>
      </c>
      <c r="B27" s="9" t="s">
        <v>140</v>
      </c>
      <c r="C27" s="9">
        <v>472</v>
      </c>
      <c r="D27" s="9">
        <v>478</v>
      </c>
      <c r="E27" s="9">
        <v>516</v>
      </c>
      <c r="F27" s="9">
        <v>466</v>
      </c>
      <c r="G27" s="9">
        <v>422</v>
      </c>
      <c r="I27" s="18" t="s">
        <v>141</v>
      </c>
      <c r="J27" s="18" t="s">
        <v>142</v>
      </c>
      <c r="K27" s="18">
        <v>4234</v>
      </c>
      <c r="L27" s="18">
        <v>4342</v>
      </c>
      <c r="M27" s="18">
        <v>2661</v>
      </c>
      <c r="N27" s="18">
        <v>2576</v>
      </c>
      <c r="O27" s="18">
        <v>2528</v>
      </c>
    </row>
    <row r="28" spans="1:15">
      <c r="A28" s="57" t="s">
        <v>143</v>
      </c>
      <c r="B28" s="9" t="s">
        <v>144</v>
      </c>
      <c r="C28" s="9">
        <v>8</v>
      </c>
      <c r="D28" s="9">
        <v>9</v>
      </c>
      <c r="E28" s="9">
        <v>8</v>
      </c>
      <c r="F28" s="9">
        <v>8</v>
      </c>
      <c r="G28" s="9">
        <v>8</v>
      </c>
      <c r="I28" s="19" t="s">
        <v>145</v>
      </c>
      <c r="J28" s="19" t="s">
        <v>146</v>
      </c>
      <c r="K28" s="19" t="s">
        <v>40</v>
      </c>
      <c r="L28" s="19" t="s">
        <v>40</v>
      </c>
      <c r="M28" s="19" t="s">
        <v>40</v>
      </c>
      <c r="N28" s="19">
        <v>299</v>
      </c>
      <c r="O28" s="19">
        <v>127</v>
      </c>
    </row>
    <row r="29" spans="1:15">
      <c r="A29" s="57" t="s">
        <v>147</v>
      </c>
      <c r="B29" s="9" t="s">
        <v>148</v>
      </c>
      <c r="C29" s="9">
        <v>487</v>
      </c>
      <c r="D29" s="9">
        <v>487</v>
      </c>
      <c r="E29" s="9">
        <v>490</v>
      </c>
      <c r="F29" s="9">
        <v>471</v>
      </c>
      <c r="G29" s="9">
        <v>453</v>
      </c>
      <c r="I29" s="9" t="s">
        <v>149</v>
      </c>
      <c r="J29" s="9"/>
      <c r="K29" s="11" t="s">
        <v>150</v>
      </c>
      <c r="L29" s="11" t="s">
        <v>151</v>
      </c>
      <c r="M29" s="11" t="s">
        <v>152</v>
      </c>
      <c r="N29" s="11" t="s">
        <v>153</v>
      </c>
      <c r="O29" s="11" t="s">
        <v>154</v>
      </c>
    </row>
    <row r="30" spans="1:15">
      <c r="A30" s="57" t="s">
        <v>155</v>
      </c>
      <c r="B30" s="9" t="s">
        <v>156</v>
      </c>
      <c r="C30" s="9">
        <v>68</v>
      </c>
      <c r="D30" s="9">
        <v>24</v>
      </c>
      <c r="E30" s="9">
        <v>58</v>
      </c>
      <c r="F30" s="9">
        <v>35</v>
      </c>
      <c r="G30" s="9">
        <v>42</v>
      </c>
      <c r="I30" s="12" t="s">
        <v>157</v>
      </c>
      <c r="J30" s="12" t="s">
        <v>158</v>
      </c>
      <c r="K30" s="12">
        <v>1666</v>
      </c>
      <c r="L30" s="12">
        <v>1299</v>
      </c>
      <c r="M30" s="12">
        <v>1564</v>
      </c>
      <c r="N30" s="12">
        <v>660</v>
      </c>
      <c r="O30" s="12">
        <v>697</v>
      </c>
    </row>
    <row r="31" spans="1:15">
      <c r="A31" s="9" t="s">
        <v>159</v>
      </c>
      <c r="B31" s="9" t="s">
        <v>160</v>
      </c>
      <c r="C31" s="9">
        <v>598</v>
      </c>
      <c r="D31" s="9">
        <v>561</v>
      </c>
      <c r="E31" s="9">
        <v>512</v>
      </c>
      <c r="F31" s="9">
        <v>454</v>
      </c>
      <c r="G31" s="9">
        <v>451</v>
      </c>
      <c r="I31" s="9" t="s">
        <v>161</v>
      </c>
      <c r="J31" s="9" t="s">
        <v>162</v>
      </c>
      <c r="K31" s="9">
        <v>0</v>
      </c>
      <c r="L31" s="9">
        <v>0</v>
      </c>
      <c r="M31" s="9">
        <v>0</v>
      </c>
      <c r="N31" s="9">
        <v>0</v>
      </c>
      <c r="O31" s="9">
        <v>0</v>
      </c>
    </row>
    <row r="32" spans="1:15" ht="16" thickBot="1">
      <c r="A32" s="20" t="s">
        <v>163</v>
      </c>
      <c r="B32" s="20" t="s">
        <v>164</v>
      </c>
      <c r="C32" s="20">
        <v>-1131</v>
      </c>
      <c r="D32" s="20">
        <v>1103</v>
      </c>
      <c r="E32" s="20">
        <v>1054</v>
      </c>
      <c r="F32" s="20">
        <v>974</v>
      </c>
      <c r="G32" s="20">
        <v>951</v>
      </c>
      <c r="I32" s="9" t="s">
        <v>165</v>
      </c>
      <c r="J32" s="9" t="s">
        <v>166</v>
      </c>
      <c r="K32" s="9">
        <v>585</v>
      </c>
      <c r="L32" s="9">
        <v>626</v>
      </c>
      <c r="M32" s="9">
        <v>658</v>
      </c>
      <c r="N32" s="9" t="s">
        <v>40</v>
      </c>
      <c r="O32" s="9" t="s">
        <v>40</v>
      </c>
    </row>
    <row r="33" spans="1:15" ht="16" thickBot="1">
      <c r="A33" s="21" t="s">
        <v>167</v>
      </c>
      <c r="B33" s="21" t="s">
        <v>168</v>
      </c>
      <c r="C33" s="21">
        <v>678</v>
      </c>
      <c r="D33" s="21">
        <v>312</v>
      </c>
      <c r="E33" s="21">
        <v>279</v>
      </c>
      <c r="F33" s="21">
        <v>279</v>
      </c>
      <c r="G33" s="21">
        <v>280</v>
      </c>
      <c r="I33" s="9" t="s">
        <v>169</v>
      </c>
      <c r="J33" s="9" t="s">
        <v>170</v>
      </c>
      <c r="K33" s="9">
        <v>1475</v>
      </c>
      <c r="L33" s="9">
        <v>1114</v>
      </c>
      <c r="M33" s="9">
        <v>1310</v>
      </c>
      <c r="N33" s="9">
        <v>1084</v>
      </c>
      <c r="O33" s="9">
        <v>1101</v>
      </c>
    </row>
    <row r="34" spans="1:15">
      <c r="A34" s="9" t="s">
        <v>171</v>
      </c>
      <c r="B34" s="9" t="s">
        <v>172</v>
      </c>
      <c r="C34" s="9">
        <v>387</v>
      </c>
      <c r="D34" s="9">
        <v>265</v>
      </c>
      <c r="E34" s="9">
        <v>236</v>
      </c>
      <c r="F34" s="9">
        <v>236</v>
      </c>
      <c r="G34" s="9">
        <v>237</v>
      </c>
      <c r="I34" s="9" t="s">
        <v>173</v>
      </c>
      <c r="J34" s="9" t="s">
        <v>174</v>
      </c>
      <c r="K34" s="9">
        <v>-197</v>
      </c>
      <c r="L34" s="9">
        <v>-159</v>
      </c>
      <c r="M34" s="9">
        <v>-165</v>
      </c>
      <c r="N34" s="9">
        <v>-159</v>
      </c>
      <c r="O34" s="9">
        <v>-121</v>
      </c>
    </row>
    <row r="35" spans="1:15">
      <c r="A35" s="9" t="s">
        <v>175</v>
      </c>
      <c r="B35" s="9" t="s">
        <v>176</v>
      </c>
      <c r="C35" s="9" t="s">
        <v>40</v>
      </c>
      <c r="D35" s="9">
        <v>47</v>
      </c>
      <c r="E35" s="9">
        <v>43</v>
      </c>
      <c r="F35" s="9">
        <v>43</v>
      </c>
      <c r="G35" s="9">
        <v>43</v>
      </c>
      <c r="I35" s="9" t="s">
        <v>177</v>
      </c>
      <c r="J35" s="9" t="s">
        <v>178</v>
      </c>
      <c r="K35" s="9">
        <v>19</v>
      </c>
      <c r="L35" s="9">
        <v>14</v>
      </c>
      <c r="M35" s="9">
        <v>6</v>
      </c>
      <c r="N35" s="9">
        <v>3</v>
      </c>
      <c r="O35" s="9">
        <v>4</v>
      </c>
    </row>
    <row r="36" spans="1:15" ht="16" thickBot="1">
      <c r="A36" s="12" t="s">
        <v>179</v>
      </c>
      <c r="B36" s="12" t="s">
        <v>180</v>
      </c>
      <c r="C36" s="12">
        <v>333</v>
      </c>
      <c r="D36" s="12">
        <v>262</v>
      </c>
      <c r="E36" s="12">
        <v>146</v>
      </c>
      <c r="F36" s="12">
        <v>117</v>
      </c>
      <c r="G36" s="12">
        <v>118</v>
      </c>
      <c r="I36" s="9" t="s">
        <v>181</v>
      </c>
      <c r="J36" s="9" t="s">
        <v>182</v>
      </c>
      <c r="K36" s="9">
        <v>-216</v>
      </c>
      <c r="L36" s="9">
        <v>-297</v>
      </c>
      <c r="M36" s="9">
        <v>-246</v>
      </c>
      <c r="N36" s="9">
        <v>-269</v>
      </c>
      <c r="O36" s="9">
        <v>-288</v>
      </c>
    </row>
    <row r="37" spans="1:15">
      <c r="A37" s="9" t="s">
        <v>183</v>
      </c>
      <c r="B37" s="9" t="s">
        <v>184</v>
      </c>
      <c r="C37" s="9">
        <v>98</v>
      </c>
      <c r="D37" s="9" t="s">
        <v>40</v>
      </c>
      <c r="E37" s="9" t="s">
        <v>40</v>
      </c>
      <c r="F37" s="9" t="s">
        <v>40</v>
      </c>
      <c r="G37" s="9" t="s">
        <v>40</v>
      </c>
      <c r="I37" s="9" t="s">
        <v>185</v>
      </c>
      <c r="J37" s="9" t="s">
        <v>186</v>
      </c>
      <c r="K37" s="11" t="s">
        <v>187</v>
      </c>
      <c r="L37" s="11" t="s">
        <v>188</v>
      </c>
      <c r="M37" s="11" t="s">
        <v>189</v>
      </c>
      <c r="N37" s="11" t="s">
        <v>190</v>
      </c>
      <c r="O37" s="11" t="s">
        <v>191</v>
      </c>
    </row>
    <row r="38" spans="1:15" ht="16" thickBot="1">
      <c r="A38" s="9" t="s">
        <v>192</v>
      </c>
      <c r="B38" s="9" t="s">
        <v>193</v>
      </c>
      <c r="C38" s="9">
        <v>234</v>
      </c>
      <c r="D38" s="9">
        <v>262</v>
      </c>
      <c r="E38" s="9">
        <v>146</v>
      </c>
      <c r="F38" s="9">
        <v>117</v>
      </c>
      <c r="G38" s="9">
        <v>118</v>
      </c>
      <c r="I38" s="12" t="s">
        <v>194</v>
      </c>
      <c r="J38" s="12" t="s">
        <v>195</v>
      </c>
      <c r="K38" s="12">
        <v>1666</v>
      </c>
      <c r="L38" s="12">
        <v>1299</v>
      </c>
      <c r="M38" s="12">
        <v>1564</v>
      </c>
      <c r="N38" s="12">
        <v>660</v>
      </c>
      <c r="O38" s="12">
        <v>697</v>
      </c>
    </row>
    <row r="39" spans="1:15" ht="16" thickBot="1">
      <c r="A39" s="22" t="s">
        <v>196</v>
      </c>
      <c r="B39" s="22" t="s">
        <v>197</v>
      </c>
      <c r="C39" s="22">
        <v>5900</v>
      </c>
      <c r="D39" s="22">
        <v>5641</v>
      </c>
      <c r="E39" s="22">
        <v>4232</v>
      </c>
      <c r="F39" s="22">
        <v>3543</v>
      </c>
      <c r="G39" s="22">
        <v>3358</v>
      </c>
      <c r="I39" s="9" t="s">
        <v>198</v>
      </c>
      <c r="J39" s="9" t="s">
        <v>199</v>
      </c>
      <c r="K39" s="11" t="s">
        <v>187</v>
      </c>
      <c r="L39" s="11" t="s">
        <v>188</v>
      </c>
      <c r="M39" s="11" t="s">
        <v>189</v>
      </c>
      <c r="N39" s="11" t="s">
        <v>190</v>
      </c>
      <c r="O39" s="11" t="s">
        <v>191</v>
      </c>
    </row>
    <row r="40" spans="1:15" ht="16" thickBot="1">
      <c r="A40" s="9" t="s">
        <v>200</v>
      </c>
      <c r="B40" s="9" t="s">
        <v>201</v>
      </c>
      <c r="C40" s="11" t="s">
        <v>202</v>
      </c>
      <c r="D40" s="11" t="s">
        <v>203</v>
      </c>
      <c r="E40" s="11" t="s">
        <v>204</v>
      </c>
      <c r="F40" s="11" t="s">
        <v>205</v>
      </c>
      <c r="G40" s="9" t="s">
        <v>40</v>
      </c>
      <c r="I40" s="12" t="s">
        <v>206</v>
      </c>
      <c r="J40" s="12" t="s">
        <v>207</v>
      </c>
      <c r="K40" s="12" t="s">
        <v>40</v>
      </c>
      <c r="L40" s="12" t="s">
        <v>40</v>
      </c>
      <c r="M40" s="12">
        <v>8</v>
      </c>
      <c r="N40" s="12">
        <v>7</v>
      </c>
      <c r="O40" s="12">
        <v>5</v>
      </c>
    </row>
    <row r="41" spans="1:15">
      <c r="A41" s="9" t="s">
        <v>208</v>
      </c>
      <c r="B41" s="9" t="s">
        <v>209</v>
      </c>
      <c r="C41" s="11" t="s">
        <v>210</v>
      </c>
      <c r="D41" s="9" t="s">
        <v>40</v>
      </c>
      <c r="E41" s="9" t="s">
        <v>40</v>
      </c>
      <c r="F41" s="9" t="s">
        <v>40</v>
      </c>
      <c r="G41" s="9" t="s">
        <v>40</v>
      </c>
      <c r="I41" s="23" t="s">
        <v>211</v>
      </c>
      <c r="J41" s="23" t="s">
        <v>212</v>
      </c>
      <c r="K41" s="23">
        <v>1666</v>
      </c>
      <c r="L41" s="23">
        <v>1299</v>
      </c>
      <c r="M41" s="23">
        <v>1572</v>
      </c>
      <c r="N41" s="23">
        <v>667</v>
      </c>
      <c r="O41" s="23">
        <v>702</v>
      </c>
    </row>
    <row r="42" spans="1:15">
      <c r="A42" s="9" t="s">
        <v>213</v>
      </c>
      <c r="B42" s="9" t="s">
        <v>214</v>
      </c>
      <c r="C42" s="11" t="s">
        <v>215</v>
      </c>
      <c r="I42" s="24" t="s">
        <v>216</v>
      </c>
      <c r="J42" s="24" t="s">
        <v>217</v>
      </c>
      <c r="K42" s="24">
        <v>5900</v>
      </c>
      <c r="L42" s="24">
        <v>5641</v>
      </c>
      <c r="M42" s="24">
        <v>4232</v>
      </c>
      <c r="N42" s="24">
        <v>3543</v>
      </c>
      <c r="O42" s="24">
        <v>3358</v>
      </c>
    </row>
  </sheetData>
  <mergeCells count="3">
    <mergeCell ref="A4:G5"/>
    <mergeCell ref="I4:O5"/>
    <mergeCell ref="A1: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DAD9-08E9-2843-A980-01E3A340A036}">
  <dimension ref="B1:M71"/>
  <sheetViews>
    <sheetView zoomScale="90" zoomScaleNormal="100" workbookViewId="0">
      <selection activeCell="D6" sqref="D6"/>
    </sheetView>
  </sheetViews>
  <sheetFormatPr baseColWidth="10" defaultColWidth="11" defaultRowHeight="15.5"/>
  <cols>
    <col min="2" max="9" width="21.83203125" customWidth="1"/>
  </cols>
  <sheetData>
    <row r="1" spans="2:13" ht="24" thickBot="1">
      <c r="B1" s="206" t="s">
        <v>218</v>
      </c>
      <c r="C1" s="207"/>
      <c r="D1" s="207"/>
      <c r="E1" s="207"/>
      <c r="F1" s="207"/>
      <c r="G1" s="207"/>
      <c r="H1" s="208"/>
    </row>
    <row r="2" spans="2:13">
      <c r="B2" s="27" t="s">
        <v>219</v>
      </c>
      <c r="C2" s="56" t="s">
        <v>220</v>
      </c>
      <c r="D2" s="27">
        <v>2021</v>
      </c>
      <c r="E2" s="27">
        <v>2020</v>
      </c>
      <c r="F2" s="27">
        <v>2019</v>
      </c>
      <c r="G2" s="27">
        <v>2018</v>
      </c>
      <c r="H2" s="27">
        <v>2017</v>
      </c>
      <c r="I2" s="205"/>
      <c r="J2" s="205"/>
      <c r="K2" s="205"/>
      <c r="L2" s="205"/>
      <c r="M2" s="205"/>
    </row>
    <row r="3" spans="2:13" ht="15" customHeight="1" thickBot="1">
      <c r="B3" s="8" t="s">
        <v>221</v>
      </c>
      <c r="C3" s="7" t="s">
        <v>222</v>
      </c>
      <c r="D3" s="7">
        <v>5768</v>
      </c>
      <c r="E3" s="7">
        <v>4451</v>
      </c>
      <c r="F3" s="7">
        <v>5767</v>
      </c>
      <c r="G3" s="7">
        <v>5575</v>
      </c>
      <c r="H3" s="7">
        <v>4904</v>
      </c>
      <c r="I3" s="26"/>
      <c r="J3" s="26"/>
      <c r="K3" s="26"/>
      <c r="L3" s="26"/>
      <c r="M3" s="26"/>
    </row>
    <row r="4" spans="2:13" ht="15" customHeight="1">
      <c r="B4" s="9" t="s">
        <v>223</v>
      </c>
      <c r="C4" s="9" t="s">
        <v>224</v>
      </c>
      <c r="D4" s="40">
        <f t="shared" ref="D4:F4" si="0">D3/E3 -1</f>
        <v>0.29588856436755795</v>
      </c>
      <c r="E4" s="41">
        <f t="shared" si="0"/>
        <v>-0.22819490202878445</v>
      </c>
      <c r="F4" s="40">
        <f t="shared" si="0"/>
        <v>3.4439461883408073E-2</v>
      </c>
      <c r="G4" s="40">
        <f>G3/H3 -1</f>
        <v>0.13682707993474708</v>
      </c>
      <c r="H4" s="9" t="s">
        <v>40</v>
      </c>
      <c r="I4" s="26"/>
      <c r="J4" s="26"/>
      <c r="K4" s="26"/>
      <c r="L4" s="26"/>
      <c r="M4" s="26"/>
    </row>
    <row r="5" spans="2:13" ht="15" customHeight="1">
      <c r="B5" s="9"/>
      <c r="C5" s="9"/>
      <c r="D5" s="11"/>
      <c r="E5" s="10"/>
      <c r="F5" s="11"/>
      <c r="G5" s="11"/>
      <c r="H5" s="9"/>
      <c r="I5" s="26"/>
      <c r="J5" s="26"/>
      <c r="K5" s="26"/>
      <c r="L5" s="26"/>
      <c r="M5" s="26"/>
    </row>
    <row r="6" spans="2:13" ht="15" customHeight="1" thickBot="1">
      <c r="B6" s="8" t="s">
        <v>225</v>
      </c>
      <c r="C6" s="8" t="s">
        <v>226</v>
      </c>
      <c r="D6" s="7">
        <v>2447</v>
      </c>
      <c r="E6" s="7">
        <v>2042</v>
      </c>
      <c r="F6" s="7">
        <v>2669</v>
      </c>
      <c r="G6" s="7">
        <v>2577</v>
      </c>
      <c r="H6" s="7">
        <v>2341</v>
      </c>
      <c r="I6" s="26"/>
      <c r="J6" s="26"/>
      <c r="K6" s="26"/>
      <c r="L6" s="26"/>
      <c r="M6" s="26"/>
    </row>
    <row r="7" spans="2:13" ht="15" customHeight="1">
      <c r="B7" s="9" t="s">
        <v>227</v>
      </c>
      <c r="C7" s="9" t="s">
        <v>228</v>
      </c>
      <c r="D7" s="9">
        <v>2304</v>
      </c>
      <c r="E7" s="9">
        <v>1900</v>
      </c>
      <c r="F7" s="9">
        <v>2545</v>
      </c>
      <c r="G7" s="9">
        <v>2457</v>
      </c>
      <c r="H7" s="9">
        <v>2224</v>
      </c>
      <c r="I7" s="26"/>
      <c r="J7" s="26"/>
      <c r="K7" s="26"/>
      <c r="L7" s="26"/>
      <c r="M7" s="26"/>
    </row>
    <row r="8" spans="2:13" ht="15" customHeight="1">
      <c r="B8" s="9" t="s">
        <v>229</v>
      </c>
      <c r="C8" s="9" t="s">
        <v>230</v>
      </c>
      <c r="D8" s="9">
        <v>143</v>
      </c>
      <c r="E8" s="9">
        <v>142</v>
      </c>
      <c r="F8" s="9">
        <v>124</v>
      </c>
      <c r="G8" s="9">
        <v>120</v>
      </c>
      <c r="H8" s="9">
        <v>117</v>
      </c>
      <c r="I8" s="26"/>
      <c r="J8" s="26"/>
      <c r="K8" s="26"/>
      <c r="L8" s="26"/>
      <c r="M8" s="26"/>
    </row>
    <row r="9" spans="2:13" ht="15" customHeight="1">
      <c r="B9" s="57" t="s">
        <v>231</v>
      </c>
      <c r="C9" s="28" t="s">
        <v>232</v>
      </c>
      <c r="D9" s="9">
        <v>142</v>
      </c>
      <c r="E9" s="9">
        <v>137</v>
      </c>
      <c r="F9" s="9">
        <f>1/'Compte de résultat'!F45</f>
        <v>2.5909090909090913</v>
      </c>
      <c r="G9" s="9">
        <v>120</v>
      </c>
      <c r="H9" s="9">
        <v>117</v>
      </c>
      <c r="I9" s="26"/>
      <c r="J9" s="26"/>
      <c r="K9" s="26"/>
      <c r="L9" s="26"/>
      <c r="M9" s="26"/>
    </row>
    <row r="10" spans="2:13" ht="15" customHeight="1">
      <c r="B10" s="57" t="s">
        <v>233</v>
      </c>
      <c r="C10" s="28" t="s">
        <v>234</v>
      </c>
      <c r="D10" s="9">
        <v>1</v>
      </c>
      <c r="E10" s="9">
        <v>5</v>
      </c>
      <c r="F10" s="9" t="s">
        <v>40</v>
      </c>
      <c r="G10" s="9" t="s">
        <v>40</v>
      </c>
      <c r="H10" s="9" t="s">
        <v>40</v>
      </c>
      <c r="I10" s="26"/>
      <c r="J10" s="26"/>
      <c r="K10" s="26"/>
      <c r="L10" s="26"/>
      <c r="M10" s="26"/>
    </row>
    <row r="11" spans="2:13" ht="15" customHeight="1">
      <c r="B11" s="9" t="s">
        <v>235</v>
      </c>
      <c r="C11" s="9" t="s">
        <v>236</v>
      </c>
      <c r="D11" s="11" t="s">
        <v>237</v>
      </c>
      <c r="E11" s="10" t="s">
        <v>238</v>
      </c>
      <c r="F11" s="11" t="s">
        <v>239</v>
      </c>
      <c r="G11" s="11" t="s">
        <v>240</v>
      </c>
      <c r="H11" s="9" t="s">
        <v>40</v>
      </c>
      <c r="I11" s="26"/>
      <c r="J11" s="26"/>
      <c r="K11" s="26"/>
      <c r="L11" s="26"/>
      <c r="M11" s="26"/>
    </row>
    <row r="12" spans="2:13" ht="15" customHeight="1">
      <c r="B12" s="9"/>
      <c r="C12" s="9"/>
      <c r="D12" s="11"/>
      <c r="E12" s="10"/>
      <c r="F12" s="11"/>
      <c r="G12" s="11"/>
      <c r="H12" s="9"/>
      <c r="I12" s="26"/>
      <c r="J12" s="26"/>
      <c r="K12" s="26"/>
      <c r="L12" s="26"/>
      <c r="M12" s="26"/>
    </row>
    <row r="13" spans="2:13" ht="15" customHeight="1" thickBot="1">
      <c r="B13" s="8" t="s">
        <v>241</v>
      </c>
      <c r="C13" s="8" t="s">
        <v>242</v>
      </c>
      <c r="D13" s="7">
        <v>3321</v>
      </c>
      <c r="E13" s="7">
        <v>2409</v>
      </c>
      <c r="F13" s="7">
        <v>3098</v>
      </c>
      <c r="G13" s="7">
        <v>2998</v>
      </c>
      <c r="H13" s="7">
        <v>2563</v>
      </c>
      <c r="I13" s="26"/>
      <c r="J13" s="26"/>
      <c r="K13" s="26"/>
      <c r="L13" s="26"/>
      <c r="M13" s="26"/>
    </row>
    <row r="14" spans="2:13" ht="15" customHeight="1">
      <c r="B14" s="9" t="s">
        <v>243</v>
      </c>
      <c r="C14" s="9" t="s">
        <v>244</v>
      </c>
      <c r="D14" s="54">
        <v>0.3785</v>
      </c>
      <c r="E14" s="55">
        <v>-0.22239999999999999</v>
      </c>
      <c r="F14" s="54">
        <v>3.3300000000000003E-2</v>
      </c>
      <c r="G14" s="54">
        <v>0.16980000000000001</v>
      </c>
      <c r="H14" s="9" t="s">
        <v>40</v>
      </c>
      <c r="I14" s="26"/>
      <c r="J14" s="26"/>
      <c r="K14" s="26"/>
      <c r="L14" s="26"/>
      <c r="M14" s="26"/>
    </row>
    <row r="15" spans="2:13" ht="15" customHeight="1">
      <c r="B15" s="9"/>
      <c r="C15" s="9"/>
      <c r="D15" s="11"/>
      <c r="E15" s="10"/>
      <c r="F15" s="11"/>
      <c r="G15" s="11"/>
      <c r="H15" s="9"/>
      <c r="I15" s="26"/>
      <c r="J15" s="26"/>
      <c r="K15" s="26"/>
      <c r="L15" s="26"/>
      <c r="M15" s="26"/>
    </row>
    <row r="16" spans="2:13" ht="15" customHeight="1">
      <c r="B16" s="9">
        <f>'Compte de résultat'!D44</f>
        <v>554</v>
      </c>
      <c r="C16" s="9" t="s">
        <v>245</v>
      </c>
      <c r="D16" s="11" t="s">
        <v>246</v>
      </c>
      <c r="E16" s="9" t="s">
        <v>40</v>
      </c>
      <c r="F16" s="9" t="s">
        <v>40</v>
      </c>
      <c r="G16" s="9" t="s">
        <v>40</v>
      </c>
      <c r="H16" s="9" t="s">
        <v>40</v>
      </c>
      <c r="I16" s="26"/>
      <c r="J16" s="26"/>
      <c r="K16" s="26"/>
      <c r="L16" s="26"/>
      <c r="M16" s="26"/>
    </row>
    <row r="17" spans="2:13" ht="15" customHeight="1" thickBot="1">
      <c r="B17" s="8" t="s">
        <v>247</v>
      </c>
      <c r="C17" s="8" t="s">
        <v>248</v>
      </c>
      <c r="D17" s="7">
        <v>2627</v>
      </c>
      <c r="E17" s="7">
        <v>2248</v>
      </c>
      <c r="F17" s="7">
        <v>2525</v>
      </c>
      <c r="G17" s="7">
        <v>2458</v>
      </c>
      <c r="H17" s="7">
        <v>2096</v>
      </c>
      <c r="I17" s="26"/>
      <c r="J17" s="26"/>
      <c r="K17" s="26"/>
      <c r="L17" s="26"/>
      <c r="M17" s="26"/>
    </row>
    <row r="18" spans="2:13" ht="15" customHeight="1">
      <c r="B18" s="9" t="s">
        <v>249</v>
      </c>
      <c r="C18" s="9" t="s">
        <v>250</v>
      </c>
      <c r="D18" s="9" t="s">
        <v>40</v>
      </c>
      <c r="E18" s="9">
        <v>2248</v>
      </c>
      <c r="F18" s="9">
        <v>2525</v>
      </c>
      <c r="G18" s="9">
        <v>2458</v>
      </c>
      <c r="H18" s="9">
        <v>2096</v>
      </c>
      <c r="I18" s="26"/>
      <c r="J18" s="26"/>
      <c r="K18" s="26"/>
      <c r="L18" s="26"/>
      <c r="M18" s="26"/>
    </row>
    <row r="19" spans="2:13" ht="15" customHeight="1">
      <c r="B19" s="9" t="s">
        <v>251</v>
      </c>
      <c r="C19" s="9" t="s">
        <v>252</v>
      </c>
      <c r="D19" s="11" t="s">
        <v>253</v>
      </c>
      <c r="E19" s="10" t="s">
        <v>254</v>
      </c>
      <c r="F19" s="11" t="s">
        <v>255</v>
      </c>
      <c r="G19" s="11" t="s">
        <v>256</v>
      </c>
      <c r="H19" s="9" t="s">
        <v>40</v>
      </c>
      <c r="I19" s="26"/>
      <c r="J19" s="26"/>
      <c r="K19" s="26"/>
      <c r="L19" s="26"/>
      <c r="M19" s="26"/>
    </row>
    <row r="20" spans="2:13" ht="15" customHeight="1">
      <c r="B20" s="9"/>
      <c r="C20" s="9"/>
      <c r="D20" s="11"/>
      <c r="E20" s="10"/>
      <c r="F20" s="11"/>
      <c r="G20" s="11"/>
      <c r="H20" s="9"/>
      <c r="I20" s="26"/>
      <c r="J20" s="26"/>
      <c r="K20" s="26"/>
      <c r="L20" s="26"/>
      <c r="M20" s="26"/>
    </row>
    <row r="21" spans="2:13" ht="15" customHeight="1" thickBot="1">
      <c r="B21" s="8" t="s">
        <v>257</v>
      </c>
      <c r="C21" s="8" t="s">
        <v>21</v>
      </c>
      <c r="D21" s="7">
        <v>694</v>
      </c>
      <c r="E21" s="7">
        <v>161</v>
      </c>
      <c r="F21" s="7">
        <v>573</v>
      </c>
      <c r="G21" s="7" t="s">
        <v>40</v>
      </c>
      <c r="H21" s="7" t="s">
        <v>40</v>
      </c>
      <c r="I21" s="26"/>
      <c r="J21" s="26"/>
      <c r="K21" s="26"/>
      <c r="L21" s="26"/>
      <c r="M21" s="26"/>
    </row>
    <row r="22" spans="2:13" ht="15" customHeight="1">
      <c r="B22" s="29" t="s">
        <v>258</v>
      </c>
      <c r="C22" s="29" t="s">
        <v>259</v>
      </c>
      <c r="D22" s="30">
        <v>60</v>
      </c>
      <c r="E22" s="30">
        <v>265</v>
      </c>
      <c r="F22" s="30">
        <v>18</v>
      </c>
      <c r="G22" s="30">
        <v>-31</v>
      </c>
      <c r="H22" s="30">
        <v>78</v>
      </c>
      <c r="I22" s="26"/>
      <c r="J22" s="26"/>
      <c r="K22" s="26"/>
      <c r="L22" s="26"/>
      <c r="M22" s="26"/>
    </row>
    <row r="23" spans="2:13" ht="15" customHeight="1" thickBot="1">
      <c r="B23" s="13"/>
      <c r="C23" s="13"/>
      <c r="D23" s="12"/>
      <c r="E23" s="12"/>
      <c r="F23" s="12"/>
      <c r="G23" s="12"/>
      <c r="H23" s="12"/>
      <c r="I23" s="26"/>
      <c r="J23" s="26"/>
      <c r="K23" s="26"/>
      <c r="L23" s="26"/>
      <c r="M23" s="26"/>
    </row>
    <row r="24" spans="2:13" ht="15" customHeight="1">
      <c r="B24" s="29" t="s">
        <v>260</v>
      </c>
      <c r="C24" s="29" t="s">
        <v>261</v>
      </c>
      <c r="D24" s="30">
        <v>14</v>
      </c>
      <c r="E24" s="30">
        <v>-13</v>
      </c>
      <c r="F24" s="30">
        <v>-30</v>
      </c>
      <c r="G24" s="30">
        <v>-26</v>
      </c>
      <c r="H24" s="30">
        <v>24</v>
      </c>
      <c r="I24" s="26"/>
      <c r="J24" s="26"/>
      <c r="K24" s="26"/>
      <c r="L24" s="26"/>
      <c r="M24" s="26"/>
    </row>
    <row r="25" spans="2:13" ht="15" customHeight="1" thickBot="1">
      <c r="B25" s="13"/>
      <c r="C25" s="13"/>
      <c r="D25" s="12"/>
      <c r="E25" s="12"/>
      <c r="F25" s="12"/>
      <c r="G25" s="12"/>
      <c r="H25" s="12"/>
      <c r="I25" s="26"/>
      <c r="J25" s="26"/>
      <c r="K25" s="26"/>
      <c r="L25" s="26"/>
      <c r="M25" s="26"/>
    </row>
    <row r="26" spans="2:13" ht="15" customHeight="1" thickBot="1">
      <c r="B26" s="8" t="s">
        <v>262</v>
      </c>
      <c r="C26" s="8" t="s">
        <v>263</v>
      </c>
      <c r="D26" s="7">
        <v>5</v>
      </c>
      <c r="E26" s="7">
        <v>10</v>
      </c>
      <c r="F26" s="7">
        <v>19</v>
      </c>
      <c r="G26" s="7">
        <v>10</v>
      </c>
      <c r="H26" s="7">
        <v>4</v>
      </c>
      <c r="I26" s="26"/>
      <c r="J26" s="26"/>
      <c r="K26" s="26"/>
      <c r="L26" s="26"/>
      <c r="M26" s="26"/>
    </row>
    <row r="27" spans="2:13" ht="15" customHeight="1" thickBot="1">
      <c r="B27" s="8" t="s">
        <v>264</v>
      </c>
      <c r="C27" s="8" t="s">
        <v>265</v>
      </c>
      <c r="D27" s="7">
        <v>73</v>
      </c>
      <c r="E27" s="7">
        <v>82</v>
      </c>
      <c r="F27" s="7">
        <v>66</v>
      </c>
      <c r="G27" s="7">
        <v>55</v>
      </c>
      <c r="H27" s="7">
        <v>69</v>
      </c>
      <c r="I27" s="26"/>
      <c r="J27" s="26"/>
      <c r="K27" s="26"/>
      <c r="L27" s="26"/>
      <c r="M27" s="26"/>
    </row>
    <row r="28" spans="2:13" ht="15" customHeight="1">
      <c r="B28" s="9" t="s">
        <v>266</v>
      </c>
      <c r="C28" s="9" t="s">
        <v>267</v>
      </c>
      <c r="D28" s="10" t="s">
        <v>268</v>
      </c>
      <c r="E28" s="11" t="s">
        <v>269</v>
      </c>
      <c r="F28" s="11" t="s">
        <v>270</v>
      </c>
      <c r="G28" s="10" t="s">
        <v>271</v>
      </c>
      <c r="H28" s="9" t="s">
        <v>40</v>
      </c>
      <c r="I28" s="26"/>
      <c r="J28" s="26"/>
      <c r="K28" s="26"/>
      <c r="L28" s="26"/>
      <c r="M28" s="26"/>
    </row>
    <row r="29" spans="2:13" ht="15" customHeight="1">
      <c r="B29" s="9"/>
      <c r="C29" s="9"/>
      <c r="D29" s="10"/>
      <c r="E29" s="11"/>
      <c r="F29" s="11"/>
      <c r="G29" s="10"/>
      <c r="H29" s="9"/>
      <c r="I29" s="26"/>
      <c r="J29" s="26"/>
      <c r="K29" s="26"/>
      <c r="L29" s="26"/>
      <c r="M29" s="26"/>
    </row>
    <row r="30" spans="2:13" ht="15" customHeight="1">
      <c r="B30" s="9" t="s">
        <v>272</v>
      </c>
      <c r="C30" s="9" t="s">
        <v>273</v>
      </c>
      <c r="D30" s="9">
        <v>73</v>
      </c>
      <c r="E30" s="9">
        <v>82</v>
      </c>
      <c r="F30" s="9">
        <v>66</v>
      </c>
      <c r="G30" s="9">
        <v>55</v>
      </c>
      <c r="H30" s="9">
        <v>69</v>
      </c>
      <c r="I30" s="26"/>
      <c r="J30" s="26"/>
      <c r="K30" s="26"/>
      <c r="L30" s="26"/>
      <c r="M30" s="26"/>
    </row>
    <row r="31" spans="2:13" ht="15" customHeight="1">
      <c r="B31" s="29" t="s">
        <v>274</v>
      </c>
      <c r="C31" s="29" t="s">
        <v>275</v>
      </c>
      <c r="D31" s="30">
        <v>580</v>
      </c>
      <c r="E31" s="30">
        <v>-190</v>
      </c>
      <c r="F31" s="30">
        <v>478</v>
      </c>
      <c r="G31" s="30">
        <v>500</v>
      </c>
      <c r="H31" s="30">
        <v>349</v>
      </c>
      <c r="I31" s="26"/>
      <c r="J31" s="26"/>
      <c r="K31" s="26"/>
      <c r="L31" s="26"/>
      <c r="M31" s="26"/>
    </row>
    <row r="32" spans="2:13" ht="15" customHeight="1" thickBot="1">
      <c r="B32" s="13"/>
      <c r="C32" s="13"/>
      <c r="D32" s="12"/>
      <c r="E32" s="12"/>
      <c r="F32" s="12"/>
      <c r="G32" s="12"/>
      <c r="H32" s="12"/>
      <c r="I32" s="26"/>
      <c r="J32" s="26"/>
      <c r="K32" s="26"/>
      <c r="L32" s="26"/>
      <c r="M32" s="26"/>
    </row>
    <row r="33" spans="2:13" ht="15" customHeight="1">
      <c r="B33" s="9" t="s">
        <v>276</v>
      </c>
      <c r="C33" s="9" t="s">
        <v>277</v>
      </c>
      <c r="D33" s="11" t="s">
        <v>278</v>
      </c>
      <c r="E33" s="10" t="s">
        <v>279</v>
      </c>
      <c r="F33" s="10" t="s">
        <v>280</v>
      </c>
      <c r="G33" s="11" t="s">
        <v>281</v>
      </c>
      <c r="H33" s="9" t="s">
        <v>40</v>
      </c>
      <c r="I33" s="26"/>
      <c r="J33" s="26"/>
      <c r="K33" s="26"/>
      <c r="L33" s="26"/>
      <c r="M33" s="26"/>
    </row>
    <row r="34" spans="2:13" ht="15" customHeight="1">
      <c r="B34" s="9"/>
      <c r="C34" s="9"/>
      <c r="D34" s="11"/>
      <c r="E34" s="10"/>
      <c r="F34" s="10"/>
      <c r="G34" s="11"/>
      <c r="H34" s="9"/>
      <c r="I34" s="26"/>
      <c r="J34" s="26"/>
      <c r="K34" s="26"/>
      <c r="L34" s="26"/>
      <c r="M34" s="26"/>
    </row>
    <row r="35" spans="2:13" ht="15" customHeight="1">
      <c r="B35" s="9" t="s">
        <v>282</v>
      </c>
      <c r="C35" s="9" t="s">
        <v>283</v>
      </c>
      <c r="D35" s="11" t="s">
        <v>284</v>
      </c>
      <c r="E35" s="9" t="s">
        <v>40</v>
      </c>
      <c r="F35" s="9" t="s">
        <v>40</v>
      </c>
      <c r="G35" s="9" t="s">
        <v>40</v>
      </c>
      <c r="H35" s="9" t="s">
        <v>40</v>
      </c>
      <c r="I35" s="26"/>
      <c r="J35" s="26"/>
      <c r="K35" s="26"/>
      <c r="L35" s="26"/>
      <c r="M35" s="26"/>
    </row>
    <row r="36" spans="2:13" ht="15" customHeight="1">
      <c r="B36" s="29" t="s">
        <v>285</v>
      </c>
      <c r="C36" s="29" t="s">
        <v>286</v>
      </c>
      <c r="D36" s="30">
        <v>27</v>
      </c>
      <c r="E36" s="30">
        <v>-63</v>
      </c>
      <c r="F36" s="30">
        <v>83</v>
      </c>
      <c r="G36" s="30">
        <v>215</v>
      </c>
      <c r="H36" s="30">
        <v>64</v>
      </c>
      <c r="I36" s="26"/>
      <c r="J36" s="26"/>
      <c r="K36" s="26"/>
      <c r="L36" s="26"/>
      <c r="M36" s="26"/>
    </row>
    <row r="37" spans="2:13" ht="15" customHeight="1" thickBot="1">
      <c r="B37" s="13"/>
      <c r="C37" s="13"/>
      <c r="D37" s="12"/>
      <c r="E37" s="12"/>
      <c r="F37" s="12"/>
      <c r="G37" s="12"/>
      <c r="H37" s="12"/>
      <c r="I37" s="26"/>
      <c r="J37" s="26"/>
      <c r="K37" s="26"/>
      <c r="L37" s="26"/>
      <c r="M37" s="26"/>
    </row>
    <row r="38" spans="2:13" ht="15" customHeight="1">
      <c r="B38" s="9" t="s">
        <v>287</v>
      </c>
      <c r="C38" s="9" t="s">
        <v>288</v>
      </c>
      <c r="D38" s="9">
        <v>21</v>
      </c>
      <c r="E38" s="9">
        <v>9</v>
      </c>
      <c r="F38" s="9">
        <v>10</v>
      </c>
      <c r="G38" s="9">
        <v>19</v>
      </c>
      <c r="H38" s="9">
        <v>11</v>
      </c>
      <c r="I38" s="26"/>
      <c r="J38" s="26"/>
      <c r="K38" s="26"/>
      <c r="L38" s="26"/>
      <c r="M38" s="26"/>
    </row>
    <row r="39" spans="2:13" ht="15" customHeight="1">
      <c r="B39" s="9" t="s">
        <v>289</v>
      </c>
      <c r="C39" s="9" t="s">
        <v>290</v>
      </c>
      <c r="D39" s="9">
        <v>94</v>
      </c>
      <c r="E39" s="9">
        <v>23</v>
      </c>
      <c r="F39" s="9">
        <v>87</v>
      </c>
      <c r="G39" s="9">
        <v>62</v>
      </c>
      <c r="H39" s="9">
        <v>53</v>
      </c>
      <c r="I39" s="26"/>
      <c r="J39" s="26"/>
      <c r="K39" s="26"/>
      <c r="L39" s="26"/>
      <c r="M39" s="26"/>
    </row>
    <row r="40" spans="2:13" ht="15" customHeight="1">
      <c r="B40" s="9" t="s">
        <v>291</v>
      </c>
      <c r="C40" s="9" t="s">
        <v>292</v>
      </c>
      <c r="D40" s="9">
        <v>-24</v>
      </c>
      <c r="E40" s="9">
        <v>-86</v>
      </c>
      <c r="F40" s="9">
        <v>-21</v>
      </c>
      <c r="G40" s="9">
        <v>131</v>
      </c>
      <c r="H40" s="9">
        <v>5</v>
      </c>
      <c r="I40" s="26"/>
      <c r="J40" s="26"/>
      <c r="K40" s="26"/>
      <c r="L40" s="26"/>
      <c r="M40" s="26"/>
    </row>
    <row r="41" spans="2:13" ht="15" customHeight="1">
      <c r="B41" s="9"/>
      <c r="C41" s="9"/>
      <c r="D41" s="9"/>
      <c r="E41" s="9"/>
      <c r="F41" s="9"/>
      <c r="G41" s="9"/>
      <c r="H41" s="9"/>
      <c r="I41" s="26"/>
      <c r="J41" s="26"/>
      <c r="K41" s="26"/>
      <c r="L41" s="26"/>
      <c r="M41" s="26"/>
    </row>
    <row r="42" spans="2:13" ht="15" customHeight="1">
      <c r="B42" s="9" t="s">
        <v>293</v>
      </c>
      <c r="C42" s="9" t="s">
        <v>294</v>
      </c>
      <c r="D42" s="9">
        <v>-64</v>
      </c>
      <c r="E42" s="9">
        <v>-9</v>
      </c>
      <c r="F42" s="9">
        <v>6</v>
      </c>
      <c r="G42" s="9">
        <v>3</v>
      </c>
      <c r="H42" s="9">
        <v>-6</v>
      </c>
      <c r="I42" s="26"/>
      <c r="J42" s="26"/>
      <c r="K42" s="26"/>
      <c r="L42" s="26"/>
      <c r="M42" s="26"/>
    </row>
    <row r="43" spans="2:13" ht="15" customHeight="1">
      <c r="B43" s="9"/>
      <c r="C43" s="9"/>
      <c r="D43" s="9"/>
      <c r="E43" s="9"/>
      <c r="F43" s="9"/>
      <c r="G43" s="9"/>
      <c r="H43" s="9"/>
      <c r="I43" s="26"/>
      <c r="J43" s="26"/>
      <c r="K43" s="26"/>
      <c r="L43" s="26"/>
      <c r="M43" s="26"/>
    </row>
    <row r="44" spans="2:13" ht="15" customHeight="1">
      <c r="B44" s="29" t="s">
        <v>295</v>
      </c>
      <c r="C44" s="29" t="s">
        <v>296</v>
      </c>
      <c r="D44" s="30">
        <v>554</v>
      </c>
      <c r="E44" s="30">
        <v>-127</v>
      </c>
      <c r="F44" s="30">
        <v>395</v>
      </c>
      <c r="G44" s="30">
        <v>285</v>
      </c>
      <c r="H44" s="30">
        <v>285</v>
      </c>
      <c r="I44" s="26"/>
      <c r="J44" s="26"/>
      <c r="K44" s="26"/>
      <c r="L44" s="26"/>
      <c r="M44" s="26"/>
    </row>
    <row r="45" spans="2:13" ht="15" customHeight="1">
      <c r="B45" s="98" t="s">
        <v>297</v>
      </c>
      <c r="C45" s="13"/>
      <c r="D45" s="97">
        <f t="shared" ref="D45:F45" si="1">(D44-E44)/E44</f>
        <v>-5.3622047244094491</v>
      </c>
      <c r="E45" s="97">
        <f t="shared" si="1"/>
        <v>-1.3215189873417721</v>
      </c>
      <c r="F45" s="97">
        <f t="shared" si="1"/>
        <v>0.38596491228070173</v>
      </c>
      <c r="G45" s="97">
        <f>(G44-H44)/H44</f>
        <v>0</v>
      </c>
      <c r="H45" s="96" t="s">
        <v>40</v>
      </c>
      <c r="I45" s="26"/>
      <c r="J45" s="26"/>
      <c r="K45" s="26"/>
      <c r="L45" s="26"/>
      <c r="M45" s="26"/>
    </row>
    <row r="46" spans="2:13" ht="15" customHeight="1" thickBot="1">
      <c r="B46" s="8" t="s">
        <v>298</v>
      </c>
      <c r="C46" s="8" t="s">
        <v>299</v>
      </c>
      <c r="D46" s="7" t="s">
        <v>40</v>
      </c>
      <c r="E46" s="7" t="s">
        <v>40</v>
      </c>
      <c r="F46" s="7">
        <v>0</v>
      </c>
      <c r="G46" s="7">
        <v>2</v>
      </c>
      <c r="H46" s="7">
        <v>3</v>
      </c>
      <c r="I46" s="26"/>
      <c r="J46" s="26"/>
      <c r="K46" s="26"/>
      <c r="L46" s="26"/>
      <c r="M46" s="26"/>
    </row>
    <row r="47" spans="2:13" ht="15" customHeight="1">
      <c r="B47" s="29" t="s">
        <v>300</v>
      </c>
      <c r="C47" s="29" t="s">
        <v>296</v>
      </c>
      <c r="D47" s="30">
        <v>553.5</v>
      </c>
      <c r="E47" s="30">
        <v>-127</v>
      </c>
      <c r="F47" s="30">
        <v>395</v>
      </c>
      <c r="G47" s="30">
        <v>283</v>
      </c>
      <c r="H47" s="30">
        <v>281</v>
      </c>
      <c r="I47" s="26"/>
      <c r="J47" s="26"/>
      <c r="K47" s="26"/>
      <c r="L47" s="26"/>
      <c r="M47" s="26"/>
    </row>
    <row r="48" spans="2:13" ht="15" customHeight="1" thickBot="1">
      <c r="B48" s="13"/>
      <c r="C48" s="13"/>
      <c r="D48" s="12"/>
      <c r="E48" s="12"/>
      <c r="F48" s="12"/>
      <c r="G48" s="12"/>
      <c r="H48" s="12"/>
      <c r="I48" s="26"/>
      <c r="J48" s="26"/>
      <c r="K48" s="26"/>
      <c r="L48" s="26"/>
      <c r="M48" s="26"/>
    </row>
    <row r="49" spans="2:13" ht="15" customHeight="1">
      <c r="B49" s="9" t="s">
        <v>301</v>
      </c>
      <c r="C49" s="9" t="s">
        <v>302</v>
      </c>
      <c r="D49" s="54">
        <v>5.3537999999999997</v>
      </c>
      <c r="E49" s="55">
        <v>-1.3222</v>
      </c>
      <c r="F49" s="54"/>
      <c r="G49" s="54">
        <v>6.1999999999999998E-3</v>
      </c>
      <c r="H49" s="9" t="s">
        <v>40</v>
      </c>
      <c r="I49" s="26"/>
      <c r="J49" s="26"/>
      <c r="K49" s="26"/>
      <c r="L49" s="26"/>
      <c r="M49" s="26"/>
    </row>
    <row r="50" spans="2:13" ht="15" customHeight="1">
      <c r="B50" s="9"/>
      <c r="C50" s="9"/>
      <c r="D50" s="11"/>
      <c r="E50" s="10"/>
      <c r="F50" s="11"/>
      <c r="G50" s="11"/>
      <c r="H50" s="9"/>
      <c r="I50" s="26"/>
      <c r="J50" s="26"/>
      <c r="K50" s="26"/>
      <c r="L50" s="26"/>
      <c r="M50" s="26"/>
    </row>
    <row r="51" spans="2:13" ht="15" customHeight="1">
      <c r="B51" s="9" t="s">
        <v>303</v>
      </c>
      <c r="C51" s="9" t="s">
        <v>304</v>
      </c>
      <c r="D51" s="54">
        <v>9.6000000000000002E-2</v>
      </c>
      <c r="E51" s="9" t="s">
        <v>40</v>
      </c>
      <c r="F51" s="9" t="s">
        <v>40</v>
      </c>
      <c r="G51" s="9" t="s">
        <v>40</v>
      </c>
      <c r="H51" s="9" t="s">
        <v>40</v>
      </c>
      <c r="I51" s="26"/>
      <c r="J51" s="26"/>
      <c r="K51" s="26"/>
      <c r="L51" s="26"/>
      <c r="M51" s="26"/>
    </row>
    <row r="52" spans="2:13" ht="15" customHeight="1">
      <c r="B52" s="29" t="s">
        <v>305</v>
      </c>
      <c r="C52" s="29" t="s">
        <v>306</v>
      </c>
      <c r="D52" s="30">
        <v>554</v>
      </c>
      <c r="E52" s="30">
        <v>-127</v>
      </c>
      <c r="F52" s="30">
        <v>395</v>
      </c>
      <c r="G52" s="30">
        <v>283</v>
      </c>
      <c r="H52" s="30">
        <v>281</v>
      </c>
      <c r="I52" s="26"/>
      <c r="J52" s="26"/>
      <c r="K52" s="26"/>
      <c r="L52" s="26"/>
      <c r="M52" s="26"/>
    </row>
    <row r="53" spans="2:13" ht="15" customHeight="1" thickBot="1">
      <c r="B53" s="13"/>
      <c r="C53" s="13"/>
      <c r="D53" s="12"/>
      <c r="E53" s="12"/>
      <c r="F53" s="12"/>
      <c r="G53" s="12"/>
      <c r="H53" s="12"/>
      <c r="I53" s="26"/>
      <c r="J53" s="26"/>
      <c r="K53" s="26"/>
      <c r="L53" s="26"/>
      <c r="M53" s="26"/>
    </row>
    <row r="54" spans="2:13" ht="15" customHeight="1">
      <c r="B54" s="29" t="s">
        <v>307</v>
      </c>
      <c r="C54" s="29" t="s">
        <v>308</v>
      </c>
      <c r="D54" s="30">
        <v>554</v>
      </c>
      <c r="E54" s="30">
        <v>-127</v>
      </c>
      <c r="F54" s="30">
        <v>395</v>
      </c>
      <c r="G54" s="30">
        <v>283</v>
      </c>
      <c r="H54" s="30">
        <v>281</v>
      </c>
      <c r="I54" s="26"/>
      <c r="J54" s="26"/>
      <c r="K54" s="26"/>
      <c r="L54" s="26"/>
      <c r="M54" s="26"/>
    </row>
    <row r="55" spans="2:13" ht="15" customHeight="1" thickBot="1">
      <c r="B55" s="13"/>
      <c r="C55" s="13"/>
      <c r="D55" s="12"/>
      <c r="E55" s="12"/>
      <c r="F55" s="12"/>
      <c r="G55" s="12"/>
      <c r="H55" s="12"/>
      <c r="I55" s="26"/>
      <c r="J55" s="26"/>
      <c r="K55" s="26"/>
      <c r="L55" s="26"/>
      <c r="M55" s="26"/>
    </row>
    <row r="56" spans="2:13" ht="15" customHeight="1">
      <c r="B56" s="29" t="s">
        <v>309</v>
      </c>
      <c r="C56" s="29" t="s">
        <v>310</v>
      </c>
      <c r="D56" s="30" t="s">
        <v>311</v>
      </c>
      <c r="E56" s="30" t="s">
        <v>312</v>
      </c>
      <c r="F56" s="30" t="s">
        <v>99</v>
      </c>
      <c r="G56" s="30" t="s">
        <v>313</v>
      </c>
      <c r="H56" s="30" t="s">
        <v>111</v>
      </c>
      <c r="I56" s="26"/>
      <c r="J56" s="26"/>
      <c r="K56" s="26"/>
      <c r="L56" s="26"/>
      <c r="M56" s="26"/>
    </row>
    <row r="57" spans="2:13" ht="15" customHeight="1" thickBot="1">
      <c r="B57" s="13"/>
      <c r="C57" s="13"/>
      <c r="D57" s="12"/>
      <c r="E57" s="12"/>
      <c r="F57" s="12"/>
      <c r="G57" s="12"/>
      <c r="H57" s="12"/>
      <c r="I57" s="26"/>
      <c r="J57" s="26"/>
      <c r="K57" s="26"/>
      <c r="L57" s="26"/>
      <c r="M57" s="26"/>
    </row>
    <row r="58" spans="2:13" ht="15" customHeight="1">
      <c r="B58" s="9" t="s">
        <v>314</v>
      </c>
      <c r="C58" s="9"/>
      <c r="D58" s="11" t="s">
        <v>315</v>
      </c>
      <c r="E58" s="10" t="s">
        <v>316</v>
      </c>
      <c r="F58" s="11" t="s">
        <v>317</v>
      </c>
      <c r="G58" s="11" t="s">
        <v>318</v>
      </c>
      <c r="H58" s="9" t="s">
        <v>40</v>
      </c>
      <c r="I58" s="26"/>
      <c r="J58" s="26"/>
      <c r="K58" s="26"/>
      <c r="L58" s="26"/>
      <c r="M58" s="26"/>
    </row>
    <row r="59" spans="2:13" ht="15" customHeight="1">
      <c r="B59" s="9"/>
      <c r="C59" s="9"/>
      <c r="D59" s="11"/>
      <c r="E59" s="10"/>
      <c r="F59" s="11"/>
      <c r="G59" s="11"/>
      <c r="H59" s="9"/>
      <c r="I59" s="26"/>
      <c r="J59" s="26"/>
      <c r="K59" s="26"/>
      <c r="L59" s="26"/>
      <c r="M59" s="26"/>
    </row>
    <row r="60" spans="2:13" ht="15" customHeight="1" thickBot="1">
      <c r="B60" s="8" t="s">
        <v>319</v>
      </c>
      <c r="C60" s="8" t="s">
        <v>320</v>
      </c>
      <c r="D60" s="7">
        <v>402</v>
      </c>
      <c r="E60" s="7">
        <v>397</v>
      </c>
      <c r="F60" s="7">
        <v>389</v>
      </c>
      <c r="G60" s="7">
        <v>377</v>
      </c>
      <c r="H60" s="7">
        <v>391</v>
      </c>
      <c r="I60" s="26"/>
      <c r="J60" s="26"/>
      <c r="K60" s="26"/>
      <c r="L60" s="26"/>
      <c r="M60" s="26"/>
    </row>
    <row r="61" spans="2:13" ht="15" customHeight="1">
      <c r="B61" s="29" t="s">
        <v>321</v>
      </c>
      <c r="C61" s="29" t="s">
        <v>322</v>
      </c>
      <c r="D61" s="30" t="s">
        <v>40</v>
      </c>
      <c r="E61" s="30" t="s">
        <v>312</v>
      </c>
      <c r="F61" s="30" t="s">
        <v>99</v>
      </c>
      <c r="G61" s="30" t="s">
        <v>313</v>
      </c>
      <c r="H61" s="30" t="s">
        <v>111</v>
      </c>
      <c r="I61" s="26"/>
      <c r="J61" s="26"/>
      <c r="K61" s="26"/>
      <c r="L61" s="26"/>
      <c r="M61" s="26"/>
    </row>
    <row r="62" spans="2:13" ht="15" customHeight="1" thickBot="1">
      <c r="B62" s="13"/>
      <c r="C62" s="13"/>
      <c r="D62" s="12"/>
      <c r="E62" s="12"/>
      <c r="F62" s="12"/>
      <c r="G62" s="12"/>
      <c r="H62" s="12"/>
      <c r="I62" s="26"/>
      <c r="J62" s="26"/>
      <c r="K62" s="26"/>
      <c r="L62" s="26"/>
      <c r="M62" s="26"/>
    </row>
    <row r="63" spans="2:13" ht="15" customHeight="1">
      <c r="B63" s="9" t="s">
        <v>323</v>
      </c>
      <c r="C63" s="9" t="s">
        <v>324</v>
      </c>
      <c r="D63" s="9" t="s">
        <v>325</v>
      </c>
      <c r="E63" s="10" t="s">
        <v>316</v>
      </c>
      <c r="F63" s="11" t="s">
        <v>326</v>
      </c>
      <c r="G63" s="11" t="s">
        <v>327</v>
      </c>
      <c r="H63" s="9" t="s">
        <v>40</v>
      </c>
      <c r="I63" s="26"/>
      <c r="J63" s="26"/>
      <c r="K63" s="26"/>
      <c r="L63" s="26"/>
      <c r="M63" s="26"/>
    </row>
    <row r="64" spans="2:13" ht="15" customHeight="1">
      <c r="B64" s="9"/>
      <c r="C64" s="9"/>
      <c r="D64" s="9"/>
      <c r="E64" s="10"/>
      <c r="F64" s="11"/>
      <c r="G64" s="11"/>
      <c r="H64" s="9"/>
      <c r="I64" s="26"/>
      <c r="J64" s="26"/>
      <c r="K64" s="26"/>
      <c r="L64" s="26"/>
      <c r="M64" s="26"/>
    </row>
    <row r="65" spans="2:13" ht="15" customHeight="1">
      <c r="B65" s="29" t="s">
        <v>328</v>
      </c>
      <c r="C65" s="29" t="s">
        <v>329</v>
      </c>
      <c r="D65" s="30">
        <v>410</v>
      </c>
      <c r="E65" s="30">
        <v>397</v>
      </c>
      <c r="F65" s="30">
        <v>408</v>
      </c>
      <c r="G65" s="30">
        <v>389</v>
      </c>
      <c r="H65" s="30">
        <v>391</v>
      </c>
      <c r="I65" s="26"/>
      <c r="J65" s="26"/>
      <c r="K65" s="26"/>
      <c r="L65" s="26"/>
      <c r="M65" s="26"/>
    </row>
    <row r="66" spans="2:13" ht="15" customHeight="1" thickBot="1">
      <c r="B66" s="13" t="s">
        <v>330</v>
      </c>
      <c r="C66" s="13" t="s">
        <v>331</v>
      </c>
      <c r="D66" s="12">
        <v>837</v>
      </c>
      <c r="E66" s="12">
        <v>303</v>
      </c>
      <c r="F66" s="12">
        <v>697</v>
      </c>
      <c r="G66" s="12">
        <v>661</v>
      </c>
      <c r="H66" s="12">
        <v>585</v>
      </c>
      <c r="I66" s="26"/>
      <c r="J66" s="26"/>
      <c r="K66" s="26"/>
      <c r="L66" s="26"/>
      <c r="M66" s="26"/>
    </row>
    <row r="67" spans="2:13" ht="15" customHeight="1">
      <c r="B67" s="9" t="s">
        <v>332</v>
      </c>
      <c r="C67" s="9" t="s">
        <v>333</v>
      </c>
      <c r="D67" s="54">
        <v>1.7669999999999999</v>
      </c>
      <c r="E67" s="55">
        <v>-0.56579999999999997</v>
      </c>
      <c r="F67" s="54">
        <v>5.5100000000000003E-2</v>
      </c>
      <c r="G67" s="54">
        <v>0.13009999999999999</v>
      </c>
      <c r="H67" s="9" t="s">
        <v>40</v>
      </c>
      <c r="I67" s="26"/>
      <c r="J67" s="26"/>
      <c r="K67" s="26"/>
      <c r="L67" s="26"/>
      <c r="M67" s="26"/>
    </row>
    <row r="68" spans="2:13" ht="15" customHeight="1">
      <c r="B68" s="9"/>
      <c r="C68" s="9"/>
      <c r="D68" s="11"/>
      <c r="E68" s="10"/>
      <c r="F68" s="11"/>
      <c r="G68" s="11"/>
      <c r="H68" s="9"/>
      <c r="I68" s="26"/>
      <c r="J68" s="26"/>
      <c r="K68" s="26"/>
      <c r="L68" s="26"/>
      <c r="M68" s="26"/>
    </row>
    <row r="69" spans="2:13" ht="15" customHeight="1">
      <c r="B69" s="9" t="s">
        <v>334</v>
      </c>
      <c r="C69" s="9" t="s">
        <v>335</v>
      </c>
      <c r="D69" s="9"/>
      <c r="E69" s="9" t="s">
        <v>40</v>
      </c>
      <c r="F69" s="9" t="s">
        <v>40</v>
      </c>
      <c r="G69" s="9" t="s">
        <v>40</v>
      </c>
      <c r="H69" s="9" t="s">
        <v>40</v>
      </c>
      <c r="I69" s="26"/>
      <c r="J69" s="26"/>
      <c r="K69" s="26"/>
      <c r="L69" s="26"/>
      <c r="M69" s="26"/>
    </row>
    <row r="70" spans="2:13" ht="15" customHeight="1">
      <c r="B70" s="57" t="s">
        <v>257</v>
      </c>
      <c r="C70" s="28" t="s">
        <v>21</v>
      </c>
      <c r="D70" s="9">
        <v>694</v>
      </c>
      <c r="E70" s="9">
        <v>161</v>
      </c>
      <c r="F70" s="9">
        <v>573</v>
      </c>
      <c r="G70" s="9" t="s">
        <v>40</v>
      </c>
      <c r="H70" s="9" t="s">
        <v>40</v>
      </c>
    </row>
    <row r="71" spans="2:13">
      <c r="B71" s="62" t="s">
        <v>336</v>
      </c>
      <c r="D71" s="32">
        <f>(D70-E70)/E70</f>
        <v>3.31055900621118</v>
      </c>
      <c r="E71" s="32">
        <f>(E70-F70)/F70</f>
        <v>-0.71902268760907506</v>
      </c>
      <c r="F71" t="s">
        <v>40</v>
      </c>
    </row>
  </sheetData>
  <mergeCells count="2">
    <mergeCell ref="I2:M2"/>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3A14-545B-AE40-A47F-615A4DED8612}">
  <dimension ref="A1:W87"/>
  <sheetViews>
    <sheetView zoomScale="70" zoomScaleNormal="70" zoomScaleSheetLayoutView="40" workbookViewId="0">
      <selection activeCell="A2" sqref="A2:O2"/>
    </sheetView>
  </sheetViews>
  <sheetFormatPr baseColWidth="10" defaultColWidth="11" defaultRowHeight="15.5"/>
  <cols>
    <col min="1" max="1" width="28.83203125" customWidth="1"/>
    <col min="2" max="2" width="14.33203125" bestFit="1" customWidth="1"/>
    <col min="4" max="4" width="16" customWidth="1"/>
    <col min="10" max="10" width="15.33203125" customWidth="1"/>
    <col min="11" max="11" width="11.83203125" bestFit="1" customWidth="1"/>
    <col min="17" max="17" width="33.58203125" customWidth="1"/>
  </cols>
  <sheetData>
    <row r="1" spans="1:23" ht="23.5" customHeight="1">
      <c r="A1" s="209" t="s">
        <v>337</v>
      </c>
      <c r="B1" s="210"/>
      <c r="C1" s="210"/>
      <c r="D1" s="210"/>
      <c r="E1" s="210"/>
      <c r="F1" s="210"/>
      <c r="G1" s="210"/>
      <c r="H1" s="210"/>
      <c r="I1" s="210"/>
      <c r="J1" s="210"/>
      <c r="K1" s="210"/>
      <c r="L1" s="210"/>
      <c r="M1" s="210"/>
      <c r="N1" s="210"/>
      <c r="O1" s="210"/>
    </row>
    <row r="2" spans="1:23" ht="15.65" customHeight="1">
      <c r="A2" s="211" t="s">
        <v>338</v>
      </c>
      <c r="B2" s="211"/>
      <c r="C2" s="211"/>
      <c r="D2" s="211"/>
      <c r="E2" s="211"/>
      <c r="F2" s="211"/>
      <c r="G2" s="211"/>
      <c r="H2" s="211"/>
      <c r="I2" s="211"/>
      <c r="J2" s="211"/>
      <c r="K2" s="211"/>
      <c r="L2" s="211"/>
      <c r="M2" s="211"/>
      <c r="N2" s="211"/>
      <c r="O2" s="211"/>
    </row>
    <row r="4" spans="1:23">
      <c r="A4" s="36" t="s">
        <v>339</v>
      </c>
      <c r="B4" s="31"/>
      <c r="C4" s="31"/>
      <c r="D4" s="31"/>
      <c r="E4" s="31"/>
      <c r="F4" s="31"/>
      <c r="G4" s="31"/>
      <c r="H4" s="31"/>
      <c r="I4" s="31"/>
      <c r="J4" s="31"/>
      <c r="K4" s="31"/>
      <c r="L4" s="31"/>
      <c r="M4" s="31"/>
      <c r="N4" s="31"/>
      <c r="O4" s="31"/>
    </row>
    <row r="5" spans="1:23">
      <c r="A5" t="s">
        <v>340</v>
      </c>
      <c r="D5" s="32">
        <v>0.12</v>
      </c>
      <c r="E5" s="32" t="s">
        <v>341</v>
      </c>
    </row>
    <row r="6" spans="1:23">
      <c r="D6" s="32">
        <v>6.8000000000000005E-2</v>
      </c>
      <c r="E6" t="s">
        <v>342</v>
      </c>
      <c r="J6" s="34"/>
    </row>
    <row r="7" spans="1:23">
      <c r="D7" s="33">
        <v>0.01</v>
      </c>
      <c r="E7" t="s">
        <v>343</v>
      </c>
    </row>
    <row r="8" spans="1:23">
      <c r="A8" t="s">
        <v>344</v>
      </c>
      <c r="D8" s="32">
        <v>0.20349999999999999</v>
      </c>
      <c r="E8" s="104" t="s">
        <v>345</v>
      </c>
    </row>
    <row r="9" spans="1:23">
      <c r="A9" t="s">
        <v>346</v>
      </c>
      <c r="D9" s="32">
        <f>8.2%</f>
        <v>8.199999999999999E-2</v>
      </c>
    </row>
    <row r="10" spans="1:23">
      <c r="A10" s="32" t="s">
        <v>347</v>
      </c>
      <c r="D10" s="32">
        <v>3.5000000000000003E-2</v>
      </c>
    </row>
    <row r="13" spans="1:23" ht="21">
      <c r="A13" s="35" t="s">
        <v>348</v>
      </c>
    </row>
    <row r="15" spans="1:23" ht="48">
      <c r="A15" s="114" t="s">
        <v>219</v>
      </c>
      <c r="B15" s="31"/>
      <c r="C15" s="31"/>
      <c r="D15" s="31"/>
      <c r="E15" s="31"/>
      <c r="F15" s="31"/>
      <c r="G15" s="31"/>
      <c r="H15" s="31"/>
      <c r="I15" s="31"/>
      <c r="J15" s="31"/>
      <c r="K15" s="31"/>
      <c r="L15" s="31"/>
      <c r="M15" s="31"/>
      <c r="N15" s="31"/>
      <c r="O15" s="31"/>
      <c r="Q15" s="35" t="s">
        <v>349</v>
      </c>
    </row>
    <row r="16" spans="1:23" ht="16" thickBot="1">
      <c r="A16" s="38"/>
      <c r="B16" s="38"/>
      <c r="C16" s="37" t="s">
        <v>350</v>
      </c>
      <c r="D16" s="37">
        <v>2017</v>
      </c>
      <c r="E16" s="37">
        <v>2018</v>
      </c>
      <c r="F16" s="37">
        <v>2019</v>
      </c>
      <c r="G16" s="37">
        <v>2020</v>
      </c>
      <c r="H16" s="37">
        <v>2021</v>
      </c>
      <c r="I16" s="38"/>
      <c r="J16" s="37" t="s">
        <v>351</v>
      </c>
      <c r="K16" s="37">
        <v>2022</v>
      </c>
      <c r="L16" s="37">
        <v>2023</v>
      </c>
      <c r="M16" s="37">
        <v>2024</v>
      </c>
      <c r="N16" s="37">
        <v>2025</v>
      </c>
      <c r="O16" s="37">
        <v>2026</v>
      </c>
      <c r="Q16" s="2"/>
      <c r="R16" s="2"/>
      <c r="S16" s="115">
        <v>2017</v>
      </c>
      <c r="T16" s="115">
        <v>2018</v>
      </c>
      <c r="U16" s="115">
        <v>2019</v>
      </c>
      <c r="V16" s="115">
        <v>2020</v>
      </c>
      <c r="W16" s="115">
        <v>2021</v>
      </c>
    </row>
    <row r="17" spans="1:23" ht="16" thickBot="1">
      <c r="A17" s="42" t="s">
        <v>221</v>
      </c>
      <c r="B17" s="39"/>
      <c r="C17" s="39"/>
      <c r="D17" s="58">
        <f>'Compte de résultat'!H3</f>
        <v>4904</v>
      </c>
      <c r="E17" s="58">
        <f>'Compte de résultat'!G3</f>
        <v>5575</v>
      </c>
      <c r="F17" s="58">
        <f>'Compte de résultat'!F3</f>
        <v>5767</v>
      </c>
      <c r="G17" s="58">
        <f>'Compte de résultat'!E3</f>
        <v>4451</v>
      </c>
      <c r="H17" s="58">
        <f>'Compte de résultat'!D3</f>
        <v>5768</v>
      </c>
      <c r="I17" s="39"/>
      <c r="J17" s="39"/>
      <c r="K17" s="58">
        <f>H17*(1+K18)</f>
        <v>6460.1600000000008</v>
      </c>
      <c r="L17" s="58">
        <f>K17*(1+L18)</f>
        <v>6899.4508800000012</v>
      </c>
      <c r="M17" s="58">
        <f t="shared" ref="M17:O17" si="0">L17*(1+M18)</f>
        <v>7299.6190310400016</v>
      </c>
      <c r="N17" s="58">
        <f t="shared" si="0"/>
        <v>7650.0007445299216</v>
      </c>
      <c r="O17" s="58">
        <f t="shared" si="0"/>
        <v>7940.7007728220588</v>
      </c>
      <c r="Q17" s="2" t="s">
        <v>352</v>
      </c>
      <c r="R17" s="2"/>
      <c r="S17" s="116">
        <f>Bilan!O38</f>
        <v>697</v>
      </c>
      <c r="T17" s="116">
        <f>Bilan!N38</f>
        <v>660</v>
      </c>
      <c r="U17" s="116">
        <f>Bilan!M38</f>
        <v>1564</v>
      </c>
      <c r="V17" s="116">
        <f>Bilan!L38</f>
        <v>1299</v>
      </c>
      <c r="W17" s="116">
        <f>Bilan!K38</f>
        <v>1666</v>
      </c>
    </row>
    <row r="18" spans="1:23">
      <c r="A18" s="1" t="s">
        <v>353</v>
      </c>
      <c r="D18" t="str">
        <f>'Compte de résultat'!H4</f>
        <v>-</v>
      </c>
      <c r="E18" s="44">
        <f>'Compte de résultat'!G4</f>
        <v>0.13682707993474708</v>
      </c>
      <c r="F18" s="44">
        <f>'Compte de résultat'!F4</f>
        <v>3.4439461883408073E-2</v>
      </c>
      <c r="G18" s="44">
        <f>'Compte de résultat'!E4</f>
        <v>-0.22819490202878445</v>
      </c>
      <c r="H18" s="44">
        <f>'Compte de résultat'!D4</f>
        <v>0.29588856436755795</v>
      </c>
      <c r="K18" s="32">
        <f>D5</f>
        <v>0.12</v>
      </c>
      <c r="L18" s="32">
        <f>D6</f>
        <v>6.8000000000000005E-2</v>
      </c>
      <c r="M18" s="32">
        <f>L18-1%</f>
        <v>5.8000000000000003E-2</v>
      </c>
      <c r="N18" s="32">
        <f t="shared" ref="N18:O18" si="1">M18-1%</f>
        <v>4.8000000000000001E-2</v>
      </c>
      <c r="O18" s="32">
        <f t="shared" si="1"/>
        <v>3.7999999999999999E-2</v>
      </c>
      <c r="Q18" t="s">
        <v>354</v>
      </c>
      <c r="S18">
        <f>'Compte de résultat'!H47</f>
        <v>281</v>
      </c>
      <c r="T18">
        <f>'Compte de résultat'!G47</f>
        <v>283</v>
      </c>
      <c r="U18">
        <f>'Compte de résultat'!F47</f>
        <v>395</v>
      </c>
      <c r="V18">
        <f>'Compte de résultat'!E47</f>
        <v>-127</v>
      </c>
      <c r="W18">
        <f>'Compte de résultat'!D47</f>
        <v>553.5</v>
      </c>
    </row>
    <row r="19" spans="1:23" ht="16" thickBot="1">
      <c r="A19" t="s">
        <v>355</v>
      </c>
      <c r="D19">
        <f>'Compte de résultat'!H7</f>
        <v>2224</v>
      </c>
      <c r="E19">
        <f>'Compte de résultat'!G7</f>
        <v>2457</v>
      </c>
      <c r="F19">
        <f>'Compte de résultat'!F7</f>
        <v>2545</v>
      </c>
      <c r="G19">
        <f>'Compte de résultat'!E7</f>
        <v>1900</v>
      </c>
      <c r="H19">
        <f>'Compte de résultat'!D7</f>
        <v>2304</v>
      </c>
      <c r="K19" s="50">
        <f>K17*K20</f>
        <v>2793.1721202970011</v>
      </c>
      <c r="L19" s="50">
        <f t="shared" ref="L19:O19" si="2">L17*L20</f>
        <v>2983.1078244771975</v>
      </c>
      <c r="M19" s="50">
        <f t="shared" si="2"/>
        <v>3156.1280782968747</v>
      </c>
      <c r="N19" s="50">
        <f t="shared" si="2"/>
        <v>3307.6222260551249</v>
      </c>
      <c r="O19" s="50">
        <f t="shared" si="2"/>
        <v>3433.3118706452196</v>
      </c>
      <c r="Q19" s="47" t="s">
        <v>356</v>
      </c>
      <c r="R19" s="51"/>
      <c r="S19" s="117">
        <f>S18/S17</f>
        <v>0.4031563845050215</v>
      </c>
      <c r="T19" s="117">
        <f t="shared" ref="T19:W19" si="3">T18/T17</f>
        <v>0.42878787878787877</v>
      </c>
      <c r="U19" s="117">
        <f t="shared" si="3"/>
        <v>0.25255754475703324</v>
      </c>
      <c r="V19" s="117">
        <f t="shared" si="3"/>
        <v>-9.7767513471901463E-2</v>
      </c>
      <c r="W19" s="117">
        <f t="shared" si="3"/>
        <v>0.3322328931572629</v>
      </c>
    </row>
    <row r="20" spans="1:23">
      <c r="A20" s="1" t="s">
        <v>357</v>
      </c>
      <c r="B20" s="48"/>
      <c r="C20" s="48"/>
      <c r="D20" s="49">
        <f>D19/D17</f>
        <v>0.4535073409461664</v>
      </c>
      <c r="E20" s="49">
        <f t="shared" ref="E20:H20" si="4">E19/E17</f>
        <v>0.44071748878923767</v>
      </c>
      <c r="F20" s="49">
        <f t="shared" si="4"/>
        <v>0.44130397086873591</v>
      </c>
      <c r="G20" s="49">
        <f t="shared" si="4"/>
        <v>0.42687036620984048</v>
      </c>
      <c r="H20" s="49">
        <f t="shared" si="4"/>
        <v>0.39944521497919555</v>
      </c>
      <c r="I20" s="48"/>
      <c r="J20" s="48"/>
      <c r="K20" s="32">
        <f>AVERAGE(D20:H20)</f>
        <v>0.43236887635863519</v>
      </c>
      <c r="L20" s="32">
        <f>$K$20</f>
        <v>0.43236887635863519</v>
      </c>
      <c r="M20" s="32">
        <f t="shared" ref="M20:O20" si="5">$K$20</f>
        <v>0.43236887635863519</v>
      </c>
      <c r="N20" s="32">
        <f t="shared" si="5"/>
        <v>0.43236887635863519</v>
      </c>
      <c r="O20" s="32">
        <f t="shared" si="5"/>
        <v>0.43236887635863519</v>
      </c>
    </row>
    <row r="22" spans="1:23" ht="16" thickBot="1">
      <c r="A22" s="47" t="s">
        <v>358</v>
      </c>
      <c r="B22" s="106" t="s">
        <v>359</v>
      </c>
      <c r="C22" s="47"/>
      <c r="D22" s="59">
        <f>D17-D19</f>
        <v>2680</v>
      </c>
      <c r="E22" s="59">
        <f t="shared" ref="E22:O22" si="6">E17-E19</f>
        <v>3118</v>
      </c>
      <c r="F22" s="59">
        <f t="shared" si="6"/>
        <v>3222</v>
      </c>
      <c r="G22" s="59">
        <f t="shared" si="6"/>
        <v>2551</v>
      </c>
      <c r="H22" s="59">
        <f t="shared" si="6"/>
        <v>3464</v>
      </c>
      <c r="I22" s="51"/>
      <c r="J22" s="51"/>
      <c r="K22" s="59">
        <f t="shared" si="6"/>
        <v>3666.9878797029996</v>
      </c>
      <c r="L22" s="59">
        <f t="shared" si="6"/>
        <v>3916.3430555228038</v>
      </c>
      <c r="M22" s="59">
        <f t="shared" si="6"/>
        <v>4143.4909527431264</v>
      </c>
      <c r="N22" s="59">
        <f t="shared" si="6"/>
        <v>4342.3785184747967</v>
      </c>
      <c r="O22" s="59">
        <f t="shared" si="6"/>
        <v>4507.3889021768391</v>
      </c>
    </row>
    <row r="23" spans="1:23">
      <c r="A23" s="1" t="s">
        <v>360</v>
      </c>
      <c r="D23" s="53">
        <f>D22/D17</f>
        <v>0.5464926590538336</v>
      </c>
      <c r="E23" s="53">
        <f t="shared" ref="E23:O23" si="7">E22/E17</f>
        <v>0.55928251121076233</v>
      </c>
      <c r="F23" s="53">
        <f t="shared" si="7"/>
        <v>0.55869602913126404</v>
      </c>
      <c r="G23" s="53">
        <f t="shared" si="7"/>
        <v>0.57312963379015947</v>
      </c>
      <c r="H23" s="53">
        <f t="shared" si="7"/>
        <v>0.60055478502080439</v>
      </c>
      <c r="I23" s="53"/>
      <c r="J23" s="53"/>
      <c r="K23" s="53">
        <f t="shared" si="7"/>
        <v>0.56763112364136481</v>
      </c>
      <c r="L23" s="53">
        <f t="shared" si="7"/>
        <v>0.56763112364136481</v>
      </c>
      <c r="M23" s="53">
        <f t="shared" si="7"/>
        <v>0.56763112364136481</v>
      </c>
      <c r="N23" s="53">
        <f t="shared" si="7"/>
        <v>0.56763112364136481</v>
      </c>
      <c r="O23" s="53">
        <f t="shared" si="7"/>
        <v>0.56763112364136481</v>
      </c>
      <c r="Q23" s="48"/>
    </row>
    <row r="24" spans="1:23">
      <c r="A24" t="s">
        <v>361</v>
      </c>
      <c r="D24">
        <f>'Compte de résultat'!H17</f>
        <v>2096</v>
      </c>
      <c r="E24">
        <f>'Compte de résultat'!G17</f>
        <v>2458</v>
      </c>
      <c r="F24">
        <f>'Compte de résultat'!F17</f>
        <v>2525</v>
      </c>
      <c r="G24">
        <f>'Compte de résultat'!E17</f>
        <v>2248</v>
      </c>
      <c r="H24">
        <f>'Compte de résultat'!D17</f>
        <v>2627</v>
      </c>
      <c r="K24" s="50">
        <f>K17*K25</f>
        <v>2928.5686928481173</v>
      </c>
      <c r="L24" s="50">
        <f>L17*L25</f>
        <v>3127.7113639617892</v>
      </c>
      <c r="M24" s="50">
        <f>M17*M25</f>
        <v>3309.118623071573</v>
      </c>
      <c r="N24" s="50">
        <f>N17*N25</f>
        <v>3467.9563169790085</v>
      </c>
      <c r="O24" s="50">
        <f>O17*O25</f>
        <v>3599.7386570242111</v>
      </c>
    </row>
    <row r="25" spans="1:23">
      <c r="A25" s="1" t="s">
        <v>357</v>
      </c>
      <c r="D25" s="53">
        <f>D24/D17</f>
        <v>0.42740619902120719</v>
      </c>
      <c r="E25" s="53">
        <f>E24/E17</f>
        <v>0.44089686098654707</v>
      </c>
      <c r="F25" s="53">
        <f>F24/F17</f>
        <v>0.43783596323911911</v>
      </c>
      <c r="G25" s="53">
        <f>G24/G17</f>
        <v>0.50505504381037969</v>
      </c>
      <c r="H25" s="53">
        <f>H24/H17</f>
        <v>0.45544382801664357</v>
      </c>
      <c r="K25" s="32">
        <f>AVERAGE(D25:H25)</f>
        <v>0.45332757901477932</v>
      </c>
      <c r="L25" s="32">
        <f>$K$25</f>
        <v>0.45332757901477932</v>
      </c>
      <c r="M25" s="32">
        <f>$K$25</f>
        <v>0.45332757901477932</v>
      </c>
      <c r="N25" s="32">
        <f>$K$25</f>
        <v>0.45332757901477932</v>
      </c>
      <c r="O25" s="32">
        <f>$K$25</f>
        <v>0.45332757901477932</v>
      </c>
      <c r="S25" s="61"/>
      <c r="T25" s="61"/>
      <c r="U25" s="61"/>
      <c r="V25" s="61"/>
      <c r="W25" s="61"/>
    </row>
    <row r="27" spans="1:23" ht="16" thickBot="1">
      <c r="A27" s="47" t="s">
        <v>362</v>
      </c>
      <c r="B27" s="106" t="s">
        <v>363</v>
      </c>
      <c r="C27" s="51"/>
      <c r="D27" s="59">
        <f>D22-D24</f>
        <v>584</v>
      </c>
      <c r="E27" s="59">
        <f t="shared" ref="E27:O27" si="8">E22-E24</f>
        <v>660</v>
      </c>
      <c r="F27" s="59">
        <f t="shared" si="8"/>
        <v>697</v>
      </c>
      <c r="G27" s="59">
        <f t="shared" si="8"/>
        <v>303</v>
      </c>
      <c r="H27" s="59">
        <f t="shared" si="8"/>
        <v>837</v>
      </c>
      <c r="I27" s="52"/>
      <c r="J27" s="52"/>
      <c r="K27" s="59">
        <f t="shared" si="8"/>
        <v>738.41918685488235</v>
      </c>
      <c r="L27" s="59">
        <f t="shared" si="8"/>
        <v>788.63169156101458</v>
      </c>
      <c r="M27" s="59">
        <f t="shared" si="8"/>
        <v>834.37232967155342</v>
      </c>
      <c r="N27" s="59">
        <f t="shared" si="8"/>
        <v>874.42220149578816</v>
      </c>
      <c r="O27" s="59">
        <f t="shared" si="8"/>
        <v>907.65024515262803</v>
      </c>
      <c r="Q27" s="48"/>
    </row>
    <row r="28" spans="1:23">
      <c r="A28" s="1" t="s">
        <v>360</v>
      </c>
      <c r="D28" s="53">
        <f>D27/D17</f>
        <v>0.11908646003262642</v>
      </c>
      <c r="E28" s="53">
        <f t="shared" ref="E28:H28" si="9">E27/E17</f>
        <v>0.11838565022421525</v>
      </c>
      <c r="F28" s="53">
        <f t="shared" si="9"/>
        <v>0.12086006589214496</v>
      </c>
      <c r="G28" s="53">
        <f t="shared" si="9"/>
        <v>6.8074589979779832E-2</v>
      </c>
      <c r="H28" s="53">
        <f t="shared" si="9"/>
        <v>0.14511095700416088</v>
      </c>
      <c r="I28" s="53"/>
      <c r="J28" s="53"/>
      <c r="K28" s="53">
        <f t="shared" ref="K28" si="10">K27/K17</f>
        <v>0.11430354462658546</v>
      </c>
      <c r="L28" s="53">
        <f t="shared" ref="L28" si="11">L27/L17</f>
        <v>0.11430354462658547</v>
      </c>
      <c r="M28" s="53">
        <f t="shared" ref="M28" si="12">M27/M17</f>
        <v>0.11430354462658547</v>
      </c>
      <c r="N28" s="53">
        <f t="shared" ref="N28" si="13">N27/N17</f>
        <v>0.1143035446265855</v>
      </c>
      <c r="O28" s="53">
        <f t="shared" ref="O28" si="14">O27/O17</f>
        <v>0.11430354462658548</v>
      </c>
    </row>
    <row r="29" spans="1:23">
      <c r="A29" t="s">
        <v>364</v>
      </c>
      <c r="D29">
        <f>'Compte de résultat'!H8</f>
        <v>117</v>
      </c>
      <c r="E29">
        <f>'Compte de résultat'!G8</f>
        <v>120</v>
      </c>
      <c r="F29">
        <f>'Compte de résultat'!F8</f>
        <v>124</v>
      </c>
      <c r="G29">
        <f>'Compte de résultat'!E8</f>
        <v>142</v>
      </c>
      <c r="H29">
        <f>'Compte de résultat'!D8</f>
        <v>143</v>
      </c>
      <c r="K29" s="50">
        <f>K30*K17</f>
        <v>159.66839049558197</v>
      </c>
      <c r="L29" s="50">
        <f t="shared" ref="L29:O29" si="15">L30*L17</f>
        <v>170.52584104928158</v>
      </c>
      <c r="M29" s="50">
        <f t="shared" si="15"/>
        <v>180.41633983013992</v>
      </c>
      <c r="N29" s="50">
        <f t="shared" si="15"/>
        <v>189.07632414198662</v>
      </c>
      <c r="O29" s="50">
        <f t="shared" si="15"/>
        <v>196.26122445938213</v>
      </c>
    </row>
    <row r="30" spans="1:23">
      <c r="A30" s="1" t="s">
        <v>357</v>
      </c>
      <c r="D30" s="53">
        <f>D29/D17</f>
        <v>2.3858075040783033E-2</v>
      </c>
      <c r="E30" s="53">
        <f t="shared" ref="E30:H30" si="16">E29/E17</f>
        <v>2.1524663677130046E-2</v>
      </c>
      <c r="F30" s="53">
        <f t="shared" si="16"/>
        <v>2.1501647303624069E-2</v>
      </c>
      <c r="G30" s="53">
        <f t="shared" si="16"/>
        <v>3.1902943158840708E-2</v>
      </c>
      <c r="H30" s="53">
        <f t="shared" si="16"/>
        <v>2.4791955617198335E-2</v>
      </c>
      <c r="K30" s="32">
        <f>AVERAGE(D30:H30)</f>
        <v>2.4715856959515239E-2</v>
      </c>
      <c r="L30" s="32">
        <f>$K$30</f>
        <v>2.4715856959515239E-2</v>
      </c>
      <c r="M30" s="32">
        <f t="shared" ref="M30:O30" si="17">$K$30</f>
        <v>2.4715856959515239E-2</v>
      </c>
      <c r="N30" s="32">
        <f t="shared" si="17"/>
        <v>2.4715856959515239E-2</v>
      </c>
      <c r="O30" s="32">
        <f t="shared" si="17"/>
        <v>2.4715856959515239E-2</v>
      </c>
      <c r="Q30" s="48"/>
    </row>
    <row r="32" spans="1:23" ht="16" thickBot="1">
      <c r="A32" s="47" t="s">
        <v>365</v>
      </c>
      <c r="B32" s="106" t="s">
        <v>366</v>
      </c>
      <c r="C32" s="51"/>
      <c r="D32" s="59">
        <f>D27-D29</f>
        <v>467</v>
      </c>
      <c r="E32" s="59">
        <f t="shared" ref="E32:O32" si="18">E27-E29</f>
        <v>540</v>
      </c>
      <c r="F32" s="59">
        <f t="shared" si="18"/>
        <v>573</v>
      </c>
      <c r="G32" s="59">
        <f t="shared" si="18"/>
        <v>161</v>
      </c>
      <c r="H32" s="59">
        <f t="shared" si="18"/>
        <v>694</v>
      </c>
      <c r="I32" s="52"/>
      <c r="J32" s="52"/>
      <c r="K32" s="59">
        <f t="shared" si="18"/>
        <v>578.75079635930035</v>
      </c>
      <c r="L32" s="59">
        <f t="shared" si="18"/>
        <v>618.10585051173302</v>
      </c>
      <c r="M32" s="59">
        <f t="shared" si="18"/>
        <v>653.9559898414135</v>
      </c>
      <c r="N32" s="59">
        <f t="shared" si="18"/>
        <v>685.3458773538016</v>
      </c>
      <c r="O32" s="59">
        <f t="shared" si="18"/>
        <v>711.38902069324593</v>
      </c>
    </row>
    <row r="33" spans="1:15">
      <c r="A33" s="1" t="s">
        <v>360</v>
      </c>
      <c r="D33" s="53">
        <f>D32/D17</f>
        <v>9.5228384991843398E-2</v>
      </c>
      <c r="E33" s="53">
        <f t="shared" ref="E33:O33" si="19">E32/E17</f>
        <v>9.6860986547085207E-2</v>
      </c>
      <c r="F33" s="53">
        <f t="shared" si="19"/>
        <v>9.9358418588520889E-2</v>
      </c>
      <c r="G33" s="53">
        <f t="shared" si="19"/>
        <v>3.6171646820939117E-2</v>
      </c>
      <c r="H33" s="53">
        <f t="shared" si="19"/>
        <v>0.12031900138696255</v>
      </c>
      <c r="I33" s="53"/>
      <c r="J33" s="53"/>
      <c r="K33" s="53">
        <f t="shared" si="19"/>
        <v>8.9587687667070204E-2</v>
      </c>
      <c r="L33" s="53">
        <f t="shared" si="19"/>
        <v>8.9587687667070245E-2</v>
      </c>
      <c r="M33" s="53">
        <f t="shared" si="19"/>
        <v>8.9587687667070232E-2</v>
      </c>
      <c r="N33" s="53">
        <f t="shared" si="19"/>
        <v>8.9587687667070259E-2</v>
      </c>
      <c r="O33" s="53">
        <f t="shared" si="19"/>
        <v>8.9587687667070245E-2</v>
      </c>
    </row>
    <row r="34" spans="1:15">
      <c r="A34" t="s">
        <v>367</v>
      </c>
      <c r="D34">
        <f>'Compte de résultat'!H36</f>
        <v>64</v>
      </c>
      <c r="E34">
        <f>'Compte de résultat'!G36</f>
        <v>215</v>
      </c>
      <c r="F34">
        <f>'Compte de résultat'!F36</f>
        <v>83</v>
      </c>
      <c r="G34">
        <f>'Compte de résultat'!E36</f>
        <v>-63</v>
      </c>
      <c r="H34">
        <f>'Compte de résultat'!D36</f>
        <v>27</v>
      </c>
      <c r="K34" s="61">
        <f>K32*$D$8</f>
        <v>117.77578705911762</v>
      </c>
      <c r="L34" s="61">
        <f>L32*$D$8</f>
        <v>125.78454057913765</v>
      </c>
      <c r="M34" s="61">
        <f>M32*$D$8</f>
        <v>133.08004393272765</v>
      </c>
      <c r="N34" s="61">
        <f>N32*$D$8</f>
        <v>139.46788604149862</v>
      </c>
      <c r="O34" s="61">
        <f>O32*$D$8</f>
        <v>144.76766571107552</v>
      </c>
    </row>
    <row r="36" spans="1:15" ht="16" thickBot="1">
      <c r="A36" s="47" t="s">
        <v>368</v>
      </c>
      <c r="B36" s="106" t="s">
        <v>369</v>
      </c>
      <c r="C36" s="51"/>
      <c r="D36" s="59">
        <f>D32-D34</f>
        <v>403</v>
      </c>
      <c r="E36" s="59">
        <f t="shared" ref="E36:O36" si="20">E32-E34</f>
        <v>325</v>
      </c>
      <c r="F36" s="59">
        <f t="shared" si="20"/>
        <v>490</v>
      </c>
      <c r="G36" s="59">
        <f t="shared" si="20"/>
        <v>224</v>
      </c>
      <c r="H36" s="59">
        <f t="shared" si="20"/>
        <v>667</v>
      </c>
      <c r="I36" s="59"/>
      <c r="J36" s="59"/>
      <c r="K36" s="59">
        <f t="shared" si="20"/>
        <v>460.97500930018271</v>
      </c>
      <c r="L36" s="59">
        <f t="shared" si="20"/>
        <v>492.32130993259534</v>
      </c>
      <c r="M36" s="59">
        <f t="shared" si="20"/>
        <v>520.87594590868582</v>
      </c>
      <c r="N36" s="59">
        <f t="shared" si="20"/>
        <v>545.87799131230304</v>
      </c>
      <c r="O36" s="59">
        <f t="shared" si="20"/>
        <v>566.62135498217037</v>
      </c>
    </row>
    <row r="37" spans="1:15">
      <c r="A37" t="s">
        <v>370</v>
      </c>
      <c r="E37">
        <v>159</v>
      </c>
      <c r="F37">
        <v>175</v>
      </c>
      <c r="G37">
        <v>130</v>
      </c>
      <c r="H37">
        <v>167</v>
      </c>
      <c r="K37" s="61">
        <f>K38*K17</f>
        <v>189.00007085494525</v>
      </c>
      <c r="L37" s="61">
        <f t="shared" ref="L37:O37" si="21">L38*L17</f>
        <v>201.85207567308154</v>
      </c>
      <c r="M37" s="61">
        <f t="shared" si="21"/>
        <v>213.55949606212027</v>
      </c>
      <c r="N37" s="61">
        <f t="shared" si="21"/>
        <v>223.81035187310204</v>
      </c>
      <c r="O37" s="61">
        <f t="shared" si="21"/>
        <v>232.31514524427993</v>
      </c>
    </row>
    <row r="38" spans="1:15">
      <c r="A38" s="1" t="s">
        <v>357</v>
      </c>
      <c r="E38" s="53">
        <f>E37/E17</f>
        <v>2.8520179372197311E-2</v>
      </c>
      <c r="F38" s="53">
        <f t="shared" ref="F38:H38" si="22">F37/F17</f>
        <v>3.0345066759146871E-2</v>
      </c>
      <c r="G38" s="53">
        <f t="shared" si="22"/>
        <v>2.9206919793304875E-2</v>
      </c>
      <c r="H38" s="53">
        <f t="shared" si="22"/>
        <v>2.8952843273231624E-2</v>
      </c>
      <c r="K38" s="32">
        <f>AVERAGE(E38:H38)</f>
        <v>2.9256252299470171E-2</v>
      </c>
      <c r="L38" s="32">
        <f>K$38</f>
        <v>2.9256252299470171E-2</v>
      </c>
      <c r="M38" s="32">
        <f t="shared" ref="M38:O38" si="23">L$38</f>
        <v>2.9256252299470171E-2</v>
      </c>
      <c r="N38" s="32">
        <f t="shared" si="23"/>
        <v>2.9256252299470171E-2</v>
      </c>
      <c r="O38" s="32">
        <f t="shared" si="23"/>
        <v>2.9256252299470171E-2</v>
      </c>
    </row>
    <row r="39" spans="1:15">
      <c r="A39" t="s">
        <v>371</v>
      </c>
      <c r="D39" s="61"/>
      <c r="E39" s="61">
        <f>E83</f>
        <v>32.12600000000009</v>
      </c>
      <c r="F39" s="61">
        <f>F83</f>
        <v>272.21600000000001</v>
      </c>
      <c r="G39" s="61">
        <f>G83</f>
        <v>-583.96900000000005</v>
      </c>
      <c r="H39" s="61">
        <f>H83</f>
        <v>-77.127999999999929</v>
      </c>
      <c r="I39" s="61"/>
      <c r="J39" s="61"/>
      <c r="K39" s="61">
        <f>K83</f>
        <v>-36.869094962608187</v>
      </c>
      <c r="L39" s="61">
        <f>L83</f>
        <v>-50.946196218837031</v>
      </c>
      <c r="M39" s="61">
        <f>M83</f>
        <v>5.7949951114756004</v>
      </c>
      <c r="N39" s="61">
        <f>N83</f>
        <v>5.0740177886418678</v>
      </c>
      <c r="O39" s="61">
        <f>O83</f>
        <v>4.2097434253096253</v>
      </c>
    </row>
    <row r="41" spans="1:15" ht="16" thickBot="1">
      <c r="A41" s="47" t="s">
        <v>372</v>
      </c>
      <c r="B41" s="106" t="s">
        <v>373</v>
      </c>
      <c r="C41" s="51"/>
      <c r="D41" s="51"/>
      <c r="E41" s="59">
        <f t="shared" ref="E41:G41" si="24">E36+E29-E37+E39</f>
        <v>318.12600000000009</v>
      </c>
      <c r="F41" s="59">
        <f t="shared" si="24"/>
        <v>711.21600000000001</v>
      </c>
      <c r="G41" s="59">
        <f t="shared" si="24"/>
        <v>-347.96900000000005</v>
      </c>
      <c r="H41" s="83">
        <f>H36+H29-H37+H39</f>
        <v>565.87200000000007</v>
      </c>
      <c r="I41" s="59"/>
      <c r="J41" s="59"/>
      <c r="K41" s="83">
        <f t="shared" ref="K41:O41" si="25">K36+K29-K37+K39</f>
        <v>394.77423397821127</v>
      </c>
      <c r="L41" s="83">
        <f t="shared" si="25"/>
        <v>410.04887908995829</v>
      </c>
      <c r="M41" s="83">
        <f t="shared" si="25"/>
        <v>493.52778478818107</v>
      </c>
      <c r="N41" s="83">
        <f t="shared" si="25"/>
        <v>516.21798136982943</v>
      </c>
      <c r="O41" s="83">
        <f t="shared" si="25"/>
        <v>534.77717762258214</v>
      </c>
    </row>
    <row r="42" spans="1:15">
      <c r="A42" s="1"/>
      <c r="F42" s="85"/>
      <c r="G42" s="85"/>
    </row>
    <row r="44" spans="1:15">
      <c r="A44" s="47" t="s">
        <v>374</v>
      </c>
      <c r="B44" s="84">
        <f>$D$9</f>
        <v>8.199999999999999E-2</v>
      </c>
      <c r="C44" s="84"/>
      <c r="D44" s="84" t="s">
        <v>347</v>
      </c>
      <c r="E44" s="84"/>
      <c r="F44" s="84"/>
      <c r="G44" s="84">
        <f>$D$10</f>
        <v>3.5000000000000003E-2</v>
      </c>
      <c r="H44" s="84"/>
      <c r="I44" s="84"/>
      <c r="J44" s="84"/>
      <c r="K44" s="84"/>
      <c r="L44" s="84"/>
      <c r="M44" s="84"/>
      <c r="N44" s="84"/>
      <c r="O44" s="84"/>
    </row>
    <row r="46" spans="1:15">
      <c r="A46" t="s">
        <v>375</v>
      </c>
      <c r="K46">
        <v>1</v>
      </c>
      <c r="L46">
        <v>2</v>
      </c>
      <c r="M46">
        <v>3</v>
      </c>
      <c r="N46">
        <v>4</v>
      </c>
      <c r="O46">
        <v>5</v>
      </c>
    </row>
    <row r="47" spans="1:15">
      <c r="A47" t="s">
        <v>376</v>
      </c>
      <c r="K47" s="60">
        <f>1/(1+$B$44)^K46</f>
        <v>0.92421441774491675</v>
      </c>
      <c r="L47" s="60">
        <f t="shared" ref="L47:O47" si="26">1/(1+$B$44)^L46</f>
        <v>0.85417228996757555</v>
      </c>
      <c r="M47" s="60">
        <f t="shared" si="26"/>
        <v>0.78943834562622495</v>
      </c>
      <c r="N47" s="60">
        <f t="shared" si="26"/>
        <v>0.72961030094845203</v>
      </c>
      <c r="O47" s="60">
        <f t="shared" si="26"/>
        <v>0.67431635947176705</v>
      </c>
    </row>
    <row r="48" spans="1:15" ht="16" thickBot="1">
      <c r="A48" s="47" t="s">
        <v>11</v>
      </c>
      <c r="B48" s="51"/>
      <c r="C48" s="51"/>
      <c r="D48" s="51"/>
      <c r="E48" s="51"/>
      <c r="F48" s="51"/>
      <c r="G48" s="51"/>
      <c r="H48" s="51"/>
      <c r="I48" s="51"/>
      <c r="J48" s="51"/>
      <c r="K48" s="83">
        <f>K41*K47</f>
        <v>364.85603879686806</v>
      </c>
      <c r="L48" s="83">
        <f t="shared" ref="L48:O48" si="27">L41*L47</f>
        <v>350.2523900509072</v>
      </c>
      <c r="M48" s="83">
        <f t="shared" si="27"/>
        <v>389.60975794375724</v>
      </c>
      <c r="N48" s="83">
        <f t="shared" si="27"/>
        <v>376.63795674224366</v>
      </c>
      <c r="O48" s="83">
        <f t="shared" si="27"/>
        <v>360.60899954304614</v>
      </c>
    </row>
    <row r="50" spans="1:15">
      <c r="A50" s="47" t="s">
        <v>377</v>
      </c>
      <c r="B50" s="87">
        <f>(H41*(1+G44))/(B44-G44)</f>
        <v>12461.223829787239</v>
      </c>
      <c r="C50" s="51"/>
      <c r="D50" s="47" t="s">
        <v>378</v>
      </c>
      <c r="E50" s="51"/>
      <c r="F50" s="87">
        <f>B50*O47</f>
        <v>8402.807087464962</v>
      </c>
      <c r="G50" s="51"/>
      <c r="H50" s="51"/>
      <c r="I50" s="51"/>
      <c r="J50" s="51"/>
      <c r="K50" s="51"/>
      <c r="L50" s="51"/>
      <c r="M50" s="51"/>
      <c r="N50" s="51"/>
      <c r="O50" s="51"/>
    </row>
    <row r="52" spans="1:15" ht="21.5" thickBot="1">
      <c r="A52" s="86" t="s">
        <v>379</v>
      </c>
      <c r="B52" s="105" t="s">
        <v>380</v>
      </c>
      <c r="C52" s="86"/>
      <c r="D52" s="88">
        <f>SUM(K48:O48)+F50</f>
        <v>10244.772230541785</v>
      </c>
      <c r="E52" s="86"/>
      <c r="F52" s="86"/>
      <c r="G52" s="86"/>
      <c r="H52" s="86"/>
      <c r="I52" s="86"/>
      <c r="J52" s="86"/>
      <c r="K52" s="86"/>
      <c r="L52" s="86"/>
      <c r="M52" s="86"/>
      <c r="N52" s="86"/>
      <c r="O52" s="86"/>
    </row>
    <row r="56" spans="1:15" ht="21">
      <c r="A56" s="35" t="s">
        <v>381</v>
      </c>
    </row>
    <row r="58" spans="1:15" ht="46.5">
      <c r="A58" s="45" t="s">
        <v>219</v>
      </c>
      <c r="B58" s="31"/>
      <c r="C58" s="31"/>
      <c r="D58" s="31"/>
      <c r="E58" s="31"/>
      <c r="F58" s="31"/>
      <c r="G58" s="31"/>
      <c r="H58" s="31"/>
      <c r="I58" s="31"/>
      <c r="J58" s="31"/>
      <c r="K58" s="31"/>
      <c r="L58" s="31"/>
      <c r="M58" s="31"/>
      <c r="N58" s="31"/>
      <c r="O58" s="31"/>
    </row>
    <row r="59" spans="1:15">
      <c r="A59" s="38"/>
      <c r="B59" s="38"/>
      <c r="C59" s="37" t="s">
        <v>350</v>
      </c>
      <c r="D59" s="37">
        <v>2017</v>
      </c>
      <c r="E59" s="37">
        <v>2018</v>
      </c>
      <c r="F59" s="37">
        <v>2019</v>
      </c>
      <c r="G59" s="37">
        <v>2020</v>
      </c>
      <c r="H59" s="37">
        <v>2021</v>
      </c>
      <c r="I59" s="38"/>
      <c r="J59" s="37" t="s">
        <v>351</v>
      </c>
      <c r="K59" s="37">
        <v>2022</v>
      </c>
      <c r="L59" s="37">
        <v>2023</v>
      </c>
      <c r="M59" s="37">
        <v>2024</v>
      </c>
      <c r="N59" s="37">
        <v>2025</v>
      </c>
      <c r="O59" s="37">
        <v>2026</v>
      </c>
    </row>
    <row r="60" spans="1:15">
      <c r="A60" s="47" t="s">
        <v>382</v>
      </c>
      <c r="B60" s="51"/>
      <c r="C60" s="51"/>
      <c r="D60" s="51"/>
      <c r="E60" s="51"/>
      <c r="F60" s="51"/>
      <c r="G60" s="51"/>
      <c r="H60" s="51"/>
      <c r="I60" s="51"/>
      <c r="J60" s="51"/>
      <c r="K60" s="51"/>
      <c r="L60" s="51"/>
      <c r="M60" s="51"/>
      <c r="N60" s="51"/>
      <c r="O60" s="51"/>
    </row>
    <row r="61" spans="1:15">
      <c r="A61" t="s">
        <v>383</v>
      </c>
      <c r="D61">
        <f>Bilan!G12</f>
        <v>485</v>
      </c>
      <c r="E61">
        <f>Bilan!F12</f>
        <v>534</v>
      </c>
      <c r="F61">
        <f>Bilan!E12</f>
        <v>783</v>
      </c>
      <c r="G61">
        <f>Bilan!D12</f>
        <v>540</v>
      </c>
      <c r="H61">
        <f>Bilan!C12</f>
        <v>708</v>
      </c>
      <c r="K61" s="61">
        <f>K65*K17/365</f>
        <v>792.96</v>
      </c>
      <c r="L61" s="61">
        <f>L65*L17/365</f>
        <v>846.88128000000006</v>
      </c>
      <c r="M61" s="61">
        <f>M65*M17/365</f>
        <v>896.00039424000022</v>
      </c>
      <c r="N61" s="61">
        <f>N65*N17/365</f>
        <v>939.00841316352012</v>
      </c>
      <c r="O61" s="61">
        <f>O65*O17/365</f>
        <v>974.69073286373396</v>
      </c>
    </row>
    <row r="62" spans="1:15">
      <c r="A62" t="s">
        <v>104</v>
      </c>
      <c r="D62">
        <f>Bilan!G18</f>
        <v>759</v>
      </c>
      <c r="E62">
        <f>Bilan!F18</f>
        <v>884</v>
      </c>
      <c r="F62">
        <f>Bilan!E18</f>
        <v>884</v>
      </c>
      <c r="G62">
        <f>Bilan!D18</f>
        <v>818</v>
      </c>
      <c r="H62">
        <f>Bilan!C18</f>
        <v>898</v>
      </c>
      <c r="K62" s="61">
        <f>K66*K19/365</f>
        <v>994.82842640715114</v>
      </c>
      <c r="L62" s="61">
        <f>L66*L19/365</f>
        <v>1062.4767594028374</v>
      </c>
      <c r="M62" s="61">
        <f>M66*M19/365</f>
        <v>1124.1004114482018</v>
      </c>
      <c r="N62" s="61">
        <f>N66*N19/365</f>
        <v>1178.0572311977157</v>
      </c>
      <c r="O62" s="61">
        <f>O66*O19/365</f>
        <v>1222.8234059832289</v>
      </c>
    </row>
    <row r="63" spans="1:15">
      <c r="A63" s="63" t="s">
        <v>122</v>
      </c>
      <c r="D63">
        <f>Bilan!G22</f>
        <v>119</v>
      </c>
      <c r="E63">
        <f>Bilan!F22</f>
        <v>157</v>
      </c>
      <c r="F63">
        <f>Bilan!E22</f>
        <v>188</v>
      </c>
      <c r="G63">
        <f>Bilan!D22</f>
        <v>175</v>
      </c>
      <c r="H63">
        <f>Bilan!C22</f>
        <v>203</v>
      </c>
      <c r="K63" s="61">
        <f>K67*K17</f>
        <v>227.36</v>
      </c>
      <c r="L63" s="61">
        <f>L67*L17</f>
        <v>242.82048000000003</v>
      </c>
      <c r="M63" s="61">
        <f>M67*M17</f>
        <v>256.90406784000004</v>
      </c>
      <c r="N63" s="61">
        <f>N67*N17</f>
        <v>269.23546309632002</v>
      </c>
      <c r="O63" s="61">
        <f>O67*O17</f>
        <v>279.46641069398021</v>
      </c>
    </row>
    <row r="64" spans="1:15">
      <c r="A64" s="160" t="s">
        <v>384</v>
      </c>
      <c r="B64" s="161"/>
      <c r="C64" s="161"/>
      <c r="D64" s="162">
        <f>SUM(D61:D63)</f>
        <v>1363</v>
      </c>
      <c r="E64" s="162">
        <f t="shared" ref="E64:O64" si="28">SUM(E61:E63)</f>
        <v>1575</v>
      </c>
      <c r="F64" s="162">
        <f t="shared" si="28"/>
        <v>1855</v>
      </c>
      <c r="G64" s="162">
        <f t="shared" si="28"/>
        <v>1533</v>
      </c>
      <c r="H64" s="162">
        <f t="shared" si="28"/>
        <v>1809</v>
      </c>
      <c r="I64" s="162"/>
      <c r="J64" s="162"/>
      <c r="K64" s="163">
        <f t="shared" si="28"/>
        <v>2015.1484264071514</v>
      </c>
      <c r="L64" s="163">
        <f t="shared" si="28"/>
        <v>2152.1785194028375</v>
      </c>
      <c r="M64" s="163">
        <f t="shared" si="28"/>
        <v>2277.0048735282021</v>
      </c>
      <c r="N64" s="163">
        <f t="shared" si="28"/>
        <v>2386.3011074575561</v>
      </c>
      <c r="O64" s="163">
        <f t="shared" si="28"/>
        <v>2476.9805495409432</v>
      </c>
    </row>
    <row r="65" spans="1:22">
      <c r="A65" s="67" t="s">
        <v>385</v>
      </c>
      <c r="B65" s="67"/>
      <c r="C65" s="67"/>
      <c r="D65" s="69">
        <f>D61/D17*365</f>
        <v>36.09808319738989</v>
      </c>
      <c r="E65" s="69">
        <f>E61/E17*365</f>
        <v>34.961434977578477</v>
      </c>
      <c r="F65" s="69">
        <f>F61/F17*365</f>
        <v>49.556962025316459</v>
      </c>
      <c r="G65" s="69">
        <f>G61/G17*365</f>
        <v>44.28218377892609</v>
      </c>
      <c r="H65" s="69">
        <f>H61/H17*365</f>
        <v>44.802357836338416</v>
      </c>
      <c r="I65" s="67"/>
      <c r="J65" s="67"/>
      <c r="K65" s="69">
        <f>H65</f>
        <v>44.802357836338416</v>
      </c>
      <c r="L65" s="69">
        <f t="shared" ref="L65:O67" si="29">$K65</f>
        <v>44.802357836338416</v>
      </c>
      <c r="M65" s="69">
        <f t="shared" si="29"/>
        <v>44.802357836338416</v>
      </c>
      <c r="N65" s="69">
        <f t="shared" si="29"/>
        <v>44.802357836338416</v>
      </c>
      <c r="O65" s="69">
        <f t="shared" si="29"/>
        <v>44.802357836338416</v>
      </c>
      <c r="Q65" s="108"/>
      <c r="R65" s="108"/>
      <c r="S65" s="108"/>
      <c r="T65" s="108"/>
      <c r="U65" s="108"/>
      <c r="V65" s="108"/>
    </row>
    <row r="66" spans="1:22">
      <c r="A66" s="43" t="s">
        <v>386</v>
      </c>
      <c r="B66" s="43"/>
      <c r="C66" s="43"/>
      <c r="D66" s="70">
        <f>D62/D19*365</f>
        <v>124.56609712230215</v>
      </c>
      <c r="E66" s="70">
        <f>E62/E19*365</f>
        <v>131.32275132275132</v>
      </c>
      <c r="F66" s="70">
        <f>F62/F19*365</f>
        <v>126.78192534381139</v>
      </c>
      <c r="G66" s="70">
        <f>G62/G19*365</f>
        <v>157.1421052631579</v>
      </c>
      <c r="H66" s="70">
        <f>H62/H19*365</f>
        <v>142.2612847222222</v>
      </c>
      <c r="I66" s="43"/>
      <c r="J66" s="43"/>
      <c r="K66" s="70">
        <v>130</v>
      </c>
      <c r="L66" s="70">
        <f t="shared" si="29"/>
        <v>130</v>
      </c>
      <c r="M66" s="70">
        <f t="shared" si="29"/>
        <v>130</v>
      </c>
      <c r="N66" s="70">
        <f t="shared" si="29"/>
        <v>130</v>
      </c>
      <c r="O66" s="70">
        <f t="shared" si="29"/>
        <v>130</v>
      </c>
      <c r="Q66" s="108"/>
      <c r="R66" s="108"/>
      <c r="S66" s="108"/>
      <c r="T66" s="108"/>
      <c r="U66" s="108"/>
      <c r="V66" s="108"/>
    </row>
    <row r="67" spans="1:22">
      <c r="A67" s="68" t="s">
        <v>387</v>
      </c>
      <c r="B67" s="68"/>
      <c r="C67" s="68"/>
      <c r="D67" s="71">
        <f>D63/D17</f>
        <v>2.4265905383360521E-2</v>
      </c>
      <c r="E67" s="71">
        <f>E63/E17</f>
        <v>2.8161434977578476E-2</v>
      </c>
      <c r="F67" s="71">
        <f>F63/F17</f>
        <v>3.2599271718397778E-2</v>
      </c>
      <c r="G67" s="71">
        <f>G63/G17</f>
        <v>3.9317007414064256E-2</v>
      </c>
      <c r="H67" s="71">
        <f>H63/H17</f>
        <v>3.5194174757281552E-2</v>
      </c>
      <c r="I67" s="68"/>
      <c r="J67" s="68"/>
      <c r="K67" s="71">
        <f>H67</f>
        <v>3.5194174757281552E-2</v>
      </c>
      <c r="L67" s="71">
        <f t="shared" si="29"/>
        <v>3.5194174757281552E-2</v>
      </c>
      <c r="M67" s="71">
        <f t="shared" si="29"/>
        <v>3.5194174757281552E-2</v>
      </c>
      <c r="N67" s="71">
        <f t="shared" si="29"/>
        <v>3.5194174757281552E-2</v>
      </c>
      <c r="O67" s="71">
        <f t="shared" si="29"/>
        <v>3.5194174757281552E-2</v>
      </c>
      <c r="Q67" s="108"/>
      <c r="R67" s="108"/>
      <c r="S67" s="108"/>
      <c r="T67" s="108"/>
      <c r="U67" s="108"/>
      <c r="V67" s="108"/>
    </row>
    <row r="69" spans="1:22">
      <c r="A69" s="47" t="s">
        <v>388</v>
      </c>
      <c r="B69" s="51"/>
      <c r="C69" s="51"/>
      <c r="D69" s="51"/>
      <c r="E69" s="51"/>
      <c r="F69" s="51"/>
      <c r="G69" s="51"/>
      <c r="H69" s="51"/>
      <c r="I69" s="51"/>
      <c r="J69" s="51"/>
      <c r="K69" s="51"/>
      <c r="L69" s="51"/>
      <c r="M69" s="51"/>
      <c r="N69" s="51"/>
      <c r="O69" s="51"/>
    </row>
    <row r="70" spans="1:22">
      <c r="A70" t="s">
        <v>43</v>
      </c>
      <c r="D70">
        <f>Bilan!O9</f>
        <v>290</v>
      </c>
      <c r="E70">
        <f>Bilan!N9</f>
        <v>351</v>
      </c>
      <c r="F70">
        <f>Bilan!M9</f>
        <v>360</v>
      </c>
      <c r="G70">
        <f>Bilan!L9</f>
        <v>375</v>
      </c>
      <c r="H70">
        <f>Bilan!K9</f>
        <v>525</v>
      </c>
      <c r="K70" s="61">
        <f>K75*K19/365</f>
        <v>636.46500136975942</v>
      </c>
      <c r="L70" s="61">
        <f>L75*L19/365</f>
        <v>679.74462146290307</v>
      </c>
      <c r="M70" s="61">
        <f>M75*M19/365</f>
        <v>719.16980950775144</v>
      </c>
      <c r="N70" s="61">
        <f>N75*N19/365</f>
        <v>753.68996036412352</v>
      </c>
      <c r="O70" s="61">
        <f>O75*O19/365</f>
        <v>782.33017885796028</v>
      </c>
    </row>
    <row r="71" spans="1:22">
      <c r="A71" t="s">
        <v>68</v>
      </c>
      <c r="D71">
        <f>Bilan!O13</f>
        <v>227</v>
      </c>
      <c r="E71">
        <f>Bilan!N13</f>
        <v>299</v>
      </c>
      <c r="F71">
        <f>Bilan!M13</f>
        <v>223</v>
      </c>
      <c r="G71">
        <f>Bilan!L13</f>
        <v>179</v>
      </c>
      <c r="H71">
        <f>Bilan!K13</f>
        <v>275</v>
      </c>
      <c r="K71" s="61">
        <f>($H$71/($H$71+$H$72))*(K76*K17)</f>
        <v>308</v>
      </c>
      <c r="L71" s="61">
        <f>($H$71/($H$71+$H$72))*(L76*L17)</f>
        <v>328.94400000000002</v>
      </c>
      <c r="M71" s="61">
        <f>($H$71/($H$71+$H$72))*(M76*M17)</f>
        <v>348.02275200000008</v>
      </c>
      <c r="N71" s="61">
        <f>($H$71/($H$71+$H$72))*(N76*N17)</f>
        <v>364.72784409600013</v>
      </c>
      <c r="O71" s="61">
        <f>($H$71/($H$71+$H$72))*(O76*O17)</f>
        <v>378.58750217164805</v>
      </c>
    </row>
    <row r="72" spans="1:22">
      <c r="A72" t="s">
        <v>389</v>
      </c>
      <c r="G72" s="61">
        <v>237.142</v>
      </c>
      <c r="H72" s="61">
        <v>245.369</v>
      </c>
      <c r="K72" s="61">
        <f>($H$72/($H$71+$H$72))*(K76*K17)</f>
        <v>274.81328000000002</v>
      </c>
      <c r="L72" s="61">
        <f>($G$72/($G$71+$G$72))*(L76*L17)</f>
        <v>354.70525280137963</v>
      </c>
      <c r="M72" s="61">
        <f>($G$72/($G$71+$G$72))*(M76*M17)</f>
        <v>375.27815746385966</v>
      </c>
      <c r="N72" s="61">
        <f>($G$72/($G$71+$G$72))*(N76*N17)</f>
        <v>393.29150902212496</v>
      </c>
      <c r="O72" s="61">
        <f>($G$72/($G$71+$G$72))*(O76*O17)</f>
        <v>408.23658636496566</v>
      </c>
    </row>
    <row r="73" spans="1:22">
      <c r="A73" t="s">
        <v>390</v>
      </c>
      <c r="D73" s="61">
        <v>301.51600000000002</v>
      </c>
      <c r="E73" s="61">
        <v>348.39</v>
      </c>
      <c r="F73" s="61">
        <v>423.17399999999998</v>
      </c>
      <c r="G73" s="61">
        <v>477.00099999999998</v>
      </c>
      <c r="H73" s="61">
        <v>575.90200000000004</v>
      </c>
      <c r="K73" s="61">
        <f>K77*K17</f>
        <v>645.01024000000018</v>
      </c>
      <c r="L73" s="61">
        <f>L77*L17</f>
        <v>688.87093632000017</v>
      </c>
      <c r="M73" s="61">
        <f>M77*M17</f>
        <v>728.82545062656027</v>
      </c>
      <c r="N73" s="61">
        <f>N77*N17</f>
        <v>763.80907225663509</v>
      </c>
      <c r="O73" s="61">
        <f>O77*O17</f>
        <v>792.83381700238726</v>
      </c>
    </row>
    <row r="74" spans="1:22">
      <c r="A74" s="160" t="s">
        <v>391</v>
      </c>
      <c r="B74" s="161"/>
      <c r="C74" s="161"/>
      <c r="D74" s="163">
        <f>SUM(D70:D73)</f>
        <v>818.51600000000008</v>
      </c>
      <c r="E74" s="163">
        <f t="shared" ref="E74:O74" si="30">SUM(E70:E73)</f>
        <v>998.39</v>
      </c>
      <c r="F74" s="163">
        <f t="shared" si="30"/>
        <v>1006.174</v>
      </c>
      <c r="G74" s="163">
        <f t="shared" si="30"/>
        <v>1268.143</v>
      </c>
      <c r="H74" s="163">
        <f t="shared" si="30"/>
        <v>1621.271</v>
      </c>
      <c r="I74" s="163"/>
      <c r="J74" s="163"/>
      <c r="K74" s="163">
        <f t="shared" si="30"/>
        <v>1864.2885213697596</v>
      </c>
      <c r="L74" s="163">
        <f t="shared" si="30"/>
        <v>2052.2648105842827</v>
      </c>
      <c r="M74" s="163">
        <f t="shared" si="30"/>
        <v>2171.2961695981717</v>
      </c>
      <c r="N74" s="163">
        <f t="shared" si="30"/>
        <v>2275.5183857388838</v>
      </c>
      <c r="O74" s="163">
        <f t="shared" si="30"/>
        <v>2361.9880843969613</v>
      </c>
    </row>
    <row r="75" spans="1:22">
      <c r="A75" s="67" t="s">
        <v>392</v>
      </c>
      <c r="B75" s="67"/>
      <c r="C75" s="67"/>
      <c r="D75" s="69">
        <f>D70/D19*365</f>
        <v>47.594424460431654</v>
      </c>
      <c r="E75" s="69">
        <f>E70/E19*365</f>
        <v>52.142857142857139</v>
      </c>
      <c r="F75" s="69">
        <f>F70/F19*365</f>
        <v>51.630648330058939</v>
      </c>
      <c r="G75" s="69">
        <f>G70/G19*365</f>
        <v>72.03947368421052</v>
      </c>
      <c r="H75" s="69">
        <f>H70/H19*365</f>
        <v>83.170572916666671</v>
      </c>
      <c r="I75" s="67"/>
      <c r="J75" s="67"/>
      <c r="K75" s="69">
        <f>H75</f>
        <v>83.170572916666671</v>
      </c>
      <c r="L75" s="69">
        <f t="shared" ref="L75:O77" si="31">$K75</f>
        <v>83.170572916666671</v>
      </c>
      <c r="M75" s="69">
        <f t="shared" si="31"/>
        <v>83.170572916666671</v>
      </c>
      <c r="N75" s="69">
        <f t="shared" si="31"/>
        <v>83.170572916666671</v>
      </c>
      <c r="O75" s="69">
        <f t="shared" si="31"/>
        <v>83.170572916666671</v>
      </c>
      <c r="Q75" s="108"/>
      <c r="R75" s="108"/>
      <c r="S75" s="108"/>
      <c r="T75" s="108"/>
      <c r="U75" s="108"/>
      <c r="V75" s="108"/>
    </row>
    <row r="76" spans="1:22">
      <c r="A76" s="43" t="s">
        <v>393</v>
      </c>
      <c r="B76" s="43"/>
      <c r="C76" s="43"/>
      <c r="D76" s="72">
        <f>D71/D17</f>
        <v>4.6288743882544864E-2</v>
      </c>
      <c r="E76" s="72">
        <f>E71/E17</f>
        <v>5.3632286995515692E-2</v>
      </c>
      <c r="F76" s="72">
        <f>F71/F17</f>
        <v>3.8668285070227154E-2</v>
      </c>
      <c r="G76" s="72">
        <f>(G71+G72)/G17</f>
        <v>9.3494046281734439E-2</v>
      </c>
      <c r="H76" s="72">
        <f>(H71+H72)/H17</f>
        <v>9.021653952843274E-2</v>
      </c>
      <c r="I76" s="43"/>
      <c r="J76" s="43"/>
      <c r="K76" s="72">
        <f>H76</f>
        <v>9.021653952843274E-2</v>
      </c>
      <c r="L76" s="72">
        <f t="shared" si="31"/>
        <v>9.021653952843274E-2</v>
      </c>
      <c r="M76" s="72">
        <f t="shared" si="31"/>
        <v>9.021653952843274E-2</v>
      </c>
      <c r="N76" s="72">
        <f t="shared" si="31"/>
        <v>9.021653952843274E-2</v>
      </c>
      <c r="O76" s="72">
        <f t="shared" si="31"/>
        <v>9.021653952843274E-2</v>
      </c>
      <c r="Q76" s="108"/>
      <c r="R76" s="108"/>
      <c r="S76" s="108"/>
      <c r="T76" s="108"/>
      <c r="U76" s="108"/>
      <c r="V76" s="108"/>
    </row>
    <row r="77" spans="1:22">
      <c r="A77" s="68" t="s">
        <v>394</v>
      </c>
      <c r="B77" s="68"/>
      <c r="C77" s="68"/>
      <c r="D77" s="71">
        <f>D73/D17</f>
        <v>6.1483686786296905E-2</v>
      </c>
      <c r="E77" s="71">
        <f>E73/E17</f>
        <v>6.2491479820627797E-2</v>
      </c>
      <c r="F77" s="71">
        <f>F73/F17</f>
        <v>7.3378533032772669E-2</v>
      </c>
      <c r="G77" s="71">
        <f>G73/G17</f>
        <v>0.10716715344866322</v>
      </c>
      <c r="H77" s="71">
        <f>H73/H17</f>
        <v>9.9844313453536768E-2</v>
      </c>
      <c r="I77" s="68"/>
      <c r="J77" s="68"/>
      <c r="K77" s="71">
        <f>H77</f>
        <v>9.9844313453536768E-2</v>
      </c>
      <c r="L77" s="71">
        <f t="shared" si="31"/>
        <v>9.9844313453536768E-2</v>
      </c>
      <c r="M77" s="71">
        <f t="shared" si="31"/>
        <v>9.9844313453536768E-2</v>
      </c>
      <c r="N77" s="71">
        <f t="shared" si="31"/>
        <v>9.9844313453536768E-2</v>
      </c>
      <c r="O77" s="71">
        <f t="shared" si="31"/>
        <v>9.9844313453536768E-2</v>
      </c>
      <c r="Q77" s="108"/>
      <c r="R77" s="108"/>
      <c r="S77" s="108"/>
      <c r="T77" s="108"/>
      <c r="U77" s="108"/>
      <c r="V77" s="108"/>
    </row>
    <row r="80" spans="1:22">
      <c r="A80" s="47" t="s">
        <v>395</v>
      </c>
      <c r="B80" s="51"/>
      <c r="C80" s="51"/>
      <c r="D80" s="59">
        <f>D64-D74</f>
        <v>544.48399999999992</v>
      </c>
      <c r="E80" s="59">
        <f>E64-E74</f>
        <v>576.61</v>
      </c>
      <c r="F80" s="59">
        <f>F64-F74</f>
        <v>848.82600000000002</v>
      </c>
      <c r="G80" s="59">
        <f>G64-G74</f>
        <v>264.85699999999997</v>
      </c>
      <c r="H80" s="59">
        <f>H64-H74</f>
        <v>187.72900000000004</v>
      </c>
      <c r="I80" s="59"/>
      <c r="J80" s="59"/>
      <c r="K80" s="59">
        <f t="shared" ref="K80:O80" si="32">K64-K74</f>
        <v>150.85990503739185</v>
      </c>
      <c r="L80" s="59">
        <f t="shared" si="32"/>
        <v>99.913708818554824</v>
      </c>
      <c r="M80" s="59">
        <f t="shared" si="32"/>
        <v>105.70870393003042</v>
      </c>
      <c r="N80" s="59">
        <f t="shared" si="32"/>
        <v>110.78272171867229</v>
      </c>
      <c r="O80" s="59">
        <f t="shared" si="32"/>
        <v>114.99246514398192</v>
      </c>
    </row>
    <row r="81" spans="1:15">
      <c r="A81" s="1" t="s">
        <v>357</v>
      </c>
      <c r="D81" s="53">
        <f>D80/D17</f>
        <v>0.11102854812398041</v>
      </c>
      <c r="E81" s="53">
        <f>E80/E17</f>
        <v>0.10342780269058297</v>
      </c>
      <c r="F81" s="53">
        <f>F80/F17</f>
        <v>0.14718675221085487</v>
      </c>
      <c r="G81" s="53">
        <f>G80/G17</f>
        <v>5.9505055043810373E-2</v>
      </c>
      <c r="H81" s="53">
        <f>H80/H17</f>
        <v>3.2546636615811378E-2</v>
      </c>
      <c r="I81" s="53"/>
      <c r="J81" s="53"/>
      <c r="K81" s="53">
        <f>K80/K17</f>
        <v>2.3352348090046042E-2</v>
      </c>
      <c r="L81" s="53">
        <f>L80/L17</f>
        <v>1.4481400122462327E-2</v>
      </c>
      <c r="M81" s="53">
        <f>M80/M17</f>
        <v>1.4481400122462247E-2</v>
      </c>
      <c r="N81" s="53">
        <f>N80/N17</f>
        <v>1.4481400122462299E-2</v>
      </c>
      <c r="O81" s="53">
        <f>O80/O17</f>
        <v>1.448140012246231E-2</v>
      </c>
    </row>
    <row r="83" spans="1:15">
      <c r="A83" s="118" t="s">
        <v>371</v>
      </c>
      <c r="B83" s="119"/>
      <c r="C83" s="119"/>
      <c r="D83" s="118"/>
      <c r="E83" s="120">
        <f>E80-D80</f>
        <v>32.12600000000009</v>
      </c>
      <c r="F83" s="120">
        <f t="shared" ref="F83:O83" si="33">F80-E80</f>
        <v>272.21600000000001</v>
      </c>
      <c r="G83" s="120">
        <f t="shared" si="33"/>
        <v>-583.96900000000005</v>
      </c>
      <c r="H83" s="120">
        <f t="shared" si="33"/>
        <v>-77.127999999999929</v>
      </c>
      <c r="I83" s="120"/>
      <c r="J83" s="120"/>
      <c r="K83" s="120">
        <f>K80-H80</f>
        <v>-36.869094962608187</v>
      </c>
      <c r="L83" s="120">
        <f>L80-K80</f>
        <v>-50.946196218837031</v>
      </c>
      <c r="M83" s="120">
        <f t="shared" si="33"/>
        <v>5.7949951114756004</v>
      </c>
      <c r="N83" s="120">
        <f t="shared" si="33"/>
        <v>5.0740177886418678</v>
      </c>
      <c r="O83" s="120">
        <f t="shared" si="33"/>
        <v>4.2097434253096253</v>
      </c>
    </row>
    <row r="84" spans="1:15">
      <c r="C84" s="61"/>
      <c r="D84" s="61"/>
      <c r="E84" s="61"/>
      <c r="F84" s="61"/>
      <c r="G84" s="61"/>
    </row>
    <row r="85" spans="1:15">
      <c r="C85" s="32"/>
      <c r="D85" s="32"/>
      <c r="E85" s="32"/>
      <c r="F85" s="32"/>
      <c r="G85" s="32"/>
    </row>
    <row r="86" spans="1:15">
      <c r="A86" s="32"/>
      <c r="C86" s="32"/>
      <c r="D86" s="32"/>
      <c r="E86" s="32"/>
      <c r="F86" s="32"/>
      <c r="G86" s="32"/>
    </row>
    <row r="87" spans="1:15">
      <c r="C87" s="60"/>
      <c r="D87" s="60"/>
      <c r="E87" s="60"/>
      <c r="F87" s="60"/>
      <c r="G87" s="60"/>
    </row>
  </sheetData>
  <mergeCells count="2">
    <mergeCell ref="A1:O1"/>
    <mergeCell ref="A2:O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CAD8-51D5-4CF4-8D36-703746D4595B}">
  <dimension ref="A1:Q17"/>
  <sheetViews>
    <sheetView tabSelected="1" zoomScale="70" zoomScaleNormal="70" workbookViewId="0">
      <selection activeCell="D17" sqref="D17"/>
    </sheetView>
  </sheetViews>
  <sheetFormatPr baseColWidth="10" defaultColWidth="11" defaultRowHeight="15.5"/>
  <cols>
    <col min="1" max="1" width="23.83203125" customWidth="1"/>
    <col min="2" max="2" width="10.58203125" customWidth="1"/>
    <col min="4" max="4" width="23.5" customWidth="1"/>
    <col min="6" max="6" width="14.83203125" customWidth="1"/>
  </cols>
  <sheetData>
    <row r="1" spans="1:17" ht="23.5">
      <c r="A1" s="209" t="s">
        <v>396</v>
      </c>
      <c r="B1" s="210"/>
      <c r="C1" s="210"/>
      <c r="D1" s="210"/>
      <c r="E1" s="210"/>
      <c r="F1" s="210"/>
      <c r="G1" s="210"/>
      <c r="H1" s="210"/>
      <c r="I1" s="210"/>
      <c r="J1" s="210"/>
      <c r="K1" s="210"/>
      <c r="L1" s="210"/>
      <c r="M1" s="210"/>
      <c r="N1" s="210"/>
      <c r="O1" s="210"/>
      <c r="P1" s="210"/>
      <c r="Q1" s="110"/>
    </row>
    <row r="2" spans="1:17">
      <c r="A2" s="212" t="s">
        <v>397</v>
      </c>
      <c r="B2" s="212"/>
      <c r="C2" s="212"/>
      <c r="D2" s="212"/>
      <c r="E2" s="212"/>
      <c r="F2" s="212"/>
      <c r="G2" s="212"/>
      <c r="H2" s="212"/>
      <c r="I2" s="212"/>
      <c r="J2" s="212"/>
      <c r="K2" s="212"/>
      <c r="L2" s="212"/>
      <c r="M2" s="212"/>
      <c r="N2" s="212"/>
      <c r="O2" s="212"/>
      <c r="P2" s="212"/>
    </row>
    <row r="4" spans="1:17">
      <c r="A4" s="36" t="s">
        <v>339</v>
      </c>
      <c r="B4" s="36"/>
      <c r="C4" s="36"/>
      <c r="D4" s="36"/>
      <c r="E4" s="36"/>
      <c r="F4" s="36"/>
      <c r="G4" s="36"/>
      <c r="H4" s="36"/>
      <c r="I4" s="36"/>
      <c r="J4" s="36"/>
      <c r="K4" s="36"/>
      <c r="L4" s="36"/>
      <c r="M4" s="36"/>
      <c r="N4" s="36"/>
      <c r="O4" s="36"/>
      <c r="P4" s="36"/>
      <c r="Q4" s="48"/>
    </row>
    <row r="5" spans="1:17">
      <c r="A5" t="s">
        <v>398</v>
      </c>
      <c r="D5" s="85">
        <f>13%</f>
        <v>0.13</v>
      </c>
      <c r="E5" s="104"/>
    </row>
    <row r="6" spans="1:17">
      <c r="A6" t="s">
        <v>399</v>
      </c>
      <c r="D6">
        <v>10</v>
      </c>
    </row>
    <row r="9" spans="1:17" ht="16" thickBot="1">
      <c r="A9" s="112"/>
      <c r="B9" s="112"/>
      <c r="C9" s="113" t="s">
        <v>350</v>
      </c>
      <c r="D9" s="113">
        <v>2021</v>
      </c>
      <c r="E9" s="113"/>
      <c r="F9" s="113" t="s">
        <v>351</v>
      </c>
      <c r="G9" s="113">
        <v>2022</v>
      </c>
      <c r="H9" s="113">
        <v>2023</v>
      </c>
      <c r="I9" s="113">
        <v>2024</v>
      </c>
      <c r="J9" s="113">
        <v>2025</v>
      </c>
      <c r="K9" s="113">
        <v>2026</v>
      </c>
      <c r="L9" s="113">
        <v>2027</v>
      </c>
      <c r="M9" s="113">
        <v>2028</v>
      </c>
      <c r="N9" s="113">
        <v>2029</v>
      </c>
      <c r="O9" s="113">
        <v>2030</v>
      </c>
      <c r="P9" s="113">
        <v>2031</v>
      </c>
    </row>
    <row r="10" spans="1:17" ht="16" thickBot="1">
      <c r="A10" s="42" t="s">
        <v>400</v>
      </c>
      <c r="B10" s="39"/>
      <c r="C10" s="39"/>
      <c r="D10" s="58">
        <f>'Compte de résultat'!D47</f>
        <v>553.5</v>
      </c>
      <c r="E10" s="58"/>
      <c r="F10" s="58"/>
      <c r="G10" s="58">
        <f t="shared" ref="G10:P10" si="0">$D$10*G12</f>
        <v>625.45499999999993</v>
      </c>
      <c r="H10" s="58">
        <f t="shared" si="0"/>
        <v>706.76414999999986</v>
      </c>
      <c r="I10" s="58">
        <f t="shared" si="0"/>
        <v>798.64348949999965</v>
      </c>
      <c r="J10" s="58">
        <f t="shared" si="0"/>
        <v>902.46714313499956</v>
      </c>
      <c r="K10" s="58">
        <f t="shared" si="0"/>
        <v>1019.7878717425494</v>
      </c>
      <c r="L10" s="58">
        <f t="shared" si="0"/>
        <v>1152.3602950690806</v>
      </c>
      <c r="M10" s="58">
        <f t="shared" si="0"/>
        <v>1302.1671334280609</v>
      </c>
      <c r="N10" s="58">
        <f t="shared" si="0"/>
        <v>1471.4488607737089</v>
      </c>
      <c r="O10" s="58">
        <f t="shared" si="0"/>
        <v>1662.737212674291</v>
      </c>
      <c r="P10" s="58">
        <f t="shared" si="0"/>
        <v>1878.8930503219483</v>
      </c>
      <c r="Q10" s="48"/>
    </row>
    <row r="11" spans="1:17">
      <c r="A11" t="s">
        <v>375</v>
      </c>
      <c r="D11">
        <v>0</v>
      </c>
      <c r="G11">
        <v>1</v>
      </c>
      <c r="H11">
        <f>G11+1</f>
        <v>2</v>
      </c>
      <c r="I11">
        <f t="shared" ref="I11:P11" si="1">H11+1</f>
        <v>3</v>
      </c>
      <c r="J11">
        <f t="shared" si="1"/>
        <v>4</v>
      </c>
      <c r="K11">
        <f t="shared" si="1"/>
        <v>5</v>
      </c>
      <c r="L11">
        <f t="shared" si="1"/>
        <v>6</v>
      </c>
      <c r="M11">
        <f t="shared" si="1"/>
        <v>7</v>
      </c>
      <c r="N11">
        <f t="shared" si="1"/>
        <v>8</v>
      </c>
      <c r="O11">
        <f t="shared" si="1"/>
        <v>9</v>
      </c>
      <c r="P11">
        <f t="shared" si="1"/>
        <v>10</v>
      </c>
      <c r="Q11" s="61"/>
    </row>
    <row r="12" spans="1:17">
      <c r="A12" t="s">
        <v>376</v>
      </c>
      <c r="D12">
        <f>(1+$D$5)^D11</f>
        <v>1</v>
      </c>
      <c r="G12" s="60">
        <f t="shared" ref="G12:P12" si="2">(1+$D$5)^G11</f>
        <v>1.1299999999999999</v>
      </c>
      <c r="H12" s="60">
        <f t="shared" si="2"/>
        <v>1.2768999999999997</v>
      </c>
      <c r="I12" s="60">
        <f t="shared" si="2"/>
        <v>1.4428969999999994</v>
      </c>
      <c r="J12" s="60">
        <f t="shared" si="2"/>
        <v>1.6304736099999992</v>
      </c>
      <c r="K12" s="60">
        <f t="shared" si="2"/>
        <v>1.8424351792999989</v>
      </c>
      <c r="L12" s="60">
        <f t="shared" si="2"/>
        <v>2.0819517526089983</v>
      </c>
      <c r="M12" s="60">
        <f t="shared" si="2"/>
        <v>2.352605480448168</v>
      </c>
      <c r="N12" s="60">
        <f t="shared" si="2"/>
        <v>2.6584441929064297</v>
      </c>
      <c r="O12" s="60">
        <f t="shared" si="2"/>
        <v>3.0040419379842653</v>
      </c>
      <c r="P12" s="60">
        <f t="shared" si="2"/>
        <v>3.3945673899222193</v>
      </c>
    </row>
    <row r="13" spans="1:17" ht="16" thickBot="1">
      <c r="G13" s="60"/>
      <c r="H13" s="60"/>
      <c r="I13" s="60"/>
      <c r="J13" s="60"/>
      <c r="K13" s="60"/>
      <c r="L13" s="60"/>
      <c r="M13" s="60"/>
      <c r="N13" s="60"/>
      <c r="O13" s="60"/>
      <c r="P13" s="60"/>
    </row>
    <row r="14" spans="1:17" ht="16" thickBot="1">
      <c r="A14" s="42" t="s">
        <v>401</v>
      </c>
      <c r="B14" s="39"/>
      <c r="C14" s="39"/>
      <c r="D14" s="39"/>
      <c r="E14" s="39"/>
      <c r="F14" s="39"/>
      <c r="G14" s="111">
        <f t="shared" ref="G14:P14" si="3">G10/G15</f>
        <v>619.2623762376237</v>
      </c>
      <c r="H14" s="111">
        <f t="shared" si="3"/>
        <v>679.3196366782006</v>
      </c>
      <c r="I14" s="111">
        <f t="shared" si="3"/>
        <v>730.87192821262738</v>
      </c>
      <c r="J14" s="111">
        <f t="shared" si="3"/>
        <v>771.43269621842092</v>
      </c>
      <c r="K14" s="111">
        <f t="shared" si="3"/>
        <v>799.03048175746824</v>
      </c>
      <c r="L14" s="111">
        <f t="shared" si="3"/>
        <v>812.36853639312392</v>
      </c>
      <c r="M14" s="111">
        <f t="shared" si="3"/>
        <v>810.92424623292277</v>
      </c>
      <c r="N14" s="111">
        <f t="shared" si="3"/>
        <v>794.97803461191472</v>
      </c>
      <c r="O14" s="111">
        <f t="shared" si="3"/>
        <v>765.57040275074723</v>
      </c>
      <c r="P14" s="111">
        <f t="shared" si="3"/>
        <v>724.39460710741014</v>
      </c>
    </row>
    <row r="15" spans="1:17">
      <c r="A15" t="s">
        <v>376</v>
      </c>
      <c r="D15">
        <f>(1+D11%)^D11</f>
        <v>1</v>
      </c>
      <c r="G15" s="60">
        <f t="shared" ref="G15:P15" si="4">(1+G11%)^G11</f>
        <v>1.01</v>
      </c>
      <c r="H15" s="60">
        <f t="shared" si="4"/>
        <v>1.0404</v>
      </c>
      <c r="I15" s="60">
        <f t="shared" si="4"/>
        <v>1.092727</v>
      </c>
      <c r="J15" s="60">
        <f t="shared" si="4"/>
        <v>1.1698585600000002</v>
      </c>
      <c r="K15" s="60">
        <f t="shared" si="4"/>
        <v>1.2762815625000001</v>
      </c>
      <c r="L15" s="60">
        <f t="shared" si="4"/>
        <v>1.4185191122560006</v>
      </c>
      <c r="M15" s="60">
        <f t="shared" si="4"/>
        <v>1.6057814764784302</v>
      </c>
      <c r="N15" s="60">
        <f t="shared" si="4"/>
        <v>1.8509302102818823</v>
      </c>
      <c r="O15" s="60">
        <f t="shared" si="4"/>
        <v>2.1718932794423105</v>
      </c>
      <c r="P15" s="60">
        <f t="shared" si="4"/>
        <v>2.5937424601000019</v>
      </c>
    </row>
    <row r="17" spans="1:16" ht="21.5" thickBot="1">
      <c r="A17" s="86" t="s">
        <v>379</v>
      </c>
      <c r="B17" s="105"/>
      <c r="C17" s="105"/>
      <c r="D17" s="88">
        <f>SUM(G14:P14)</f>
        <v>7508.1529462004601</v>
      </c>
      <c r="E17" s="105"/>
      <c r="F17" s="105"/>
      <c r="G17" s="105"/>
      <c r="H17" s="105"/>
      <c r="I17" s="105"/>
      <c r="J17" s="105"/>
      <c r="K17" s="105"/>
      <c r="L17" s="105"/>
      <c r="M17" s="105"/>
      <c r="N17" s="105"/>
      <c r="O17" s="105"/>
      <c r="P17" s="105"/>
    </row>
  </sheetData>
  <mergeCells count="2">
    <mergeCell ref="A1:P1"/>
    <mergeCell ref="A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1B33-49CF-4EB2-BEE4-2188C90201FC}">
  <dimension ref="A1:M60"/>
  <sheetViews>
    <sheetView topLeftCell="A32" zoomScale="70" zoomScaleNormal="70" workbookViewId="0">
      <selection activeCell="K9" sqref="K9:M9"/>
    </sheetView>
  </sheetViews>
  <sheetFormatPr baseColWidth="10" defaultColWidth="11" defaultRowHeight="15.5"/>
  <cols>
    <col min="1" max="6" width="14.58203125" customWidth="1"/>
    <col min="8" max="8" width="15.58203125" customWidth="1"/>
  </cols>
  <sheetData>
    <row r="1" spans="1:13">
      <c r="A1" s="222" t="s">
        <v>402</v>
      </c>
      <c r="B1" s="223"/>
      <c r="C1" s="223"/>
      <c r="D1" s="223"/>
      <c r="E1" s="223"/>
      <c r="F1" s="224"/>
    </row>
    <row r="2" spans="1:13">
      <c r="A2" s="225" t="s">
        <v>403</v>
      </c>
      <c r="B2" s="226"/>
      <c r="C2" s="226"/>
      <c r="D2" s="226"/>
      <c r="E2" s="226"/>
      <c r="F2" s="227"/>
    </row>
    <row r="3" spans="1:13">
      <c r="A3" t="s">
        <v>404</v>
      </c>
    </row>
    <row r="5" spans="1:13">
      <c r="B5" s="99">
        <v>2021</v>
      </c>
      <c r="C5" s="99">
        <v>2020</v>
      </c>
      <c r="D5" s="99">
        <v>2019</v>
      </c>
      <c r="E5" s="99">
        <v>2018</v>
      </c>
      <c r="F5" s="99">
        <v>2017</v>
      </c>
    </row>
    <row r="6" spans="1:13">
      <c r="A6" s="228" t="s">
        <v>405</v>
      </c>
      <c r="B6" s="229"/>
      <c r="C6" s="229"/>
      <c r="D6" s="229"/>
      <c r="E6" s="229"/>
      <c r="F6" s="230"/>
      <c r="H6" s="139" t="s">
        <v>406</v>
      </c>
      <c r="I6" s="140">
        <v>2021</v>
      </c>
      <c r="J6" s="140">
        <v>2020</v>
      </c>
      <c r="K6" s="140">
        <v>2019</v>
      </c>
      <c r="L6" s="140">
        <v>2018</v>
      </c>
      <c r="M6" s="141">
        <v>2017</v>
      </c>
    </row>
    <row r="7" spans="1:13">
      <c r="A7" s="234" t="s">
        <v>407</v>
      </c>
      <c r="B7" s="235"/>
      <c r="C7" s="235"/>
      <c r="D7" s="235"/>
      <c r="E7" s="235"/>
      <c r="F7" s="236"/>
      <c r="H7" s="138" t="s">
        <v>408</v>
      </c>
      <c r="I7">
        <f>831+6833</f>
        <v>7664</v>
      </c>
      <c r="J7">
        <f>920+6757</f>
        <v>7677</v>
      </c>
      <c r="K7">
        <v>1249</v>
      </c>
      <c r="L7">
        <v>1249</v>
      </c>
      <c r="M7" s="142" t="s">
        <v>40</v>
      </c>
    </row>
    <row r="8" spans="1:13">
      <c r="A8" s="91" t="s">
        <v>408</v>
      </c>
      <c r="B8" s="148">
        <v>6590</v>
      </c>
      <c r="C8" s="148">
        <v>7550</v>
      </c>
      <c r="D8" s="148">
        <v>6590</v>
      </c>
      <c r="E8" s="148">
        <v>9730</v>
      </c>
      <c r="F8" s="89">
        <v>13240</v>
      </c>
      <c r="H8" s="138" t="s">
        <v>409</v>
      </c>
      <c r="I8">
        <v>3440</v>
      </c>
      <c r="J8">
        <v>2023</v>
      </c>
      <c r="K8">
        <v>1370</v>
      </c>
      <c r="L8">
        <v>924</v>
      </c>
      <c r="M8" s="142">
        <v>852</v>
      </c>
    </row>
    <row r="9" spans="1:13">
      <c r="A9" s="91" t="s">
        <v>409</v>
      </c>
      <c r="B9" s="148">
        <v>8750</v>
      </c>
      <c r="C9" s="148">
        <v>7580</v>
      </c>
      <c r="D9" s="148">
        <v>8630</v>
      </c>
      <c r="E9" s="148">
        <v>8130</v>
      </c>
      <c r="F9" s="89">
        <v>8420</v>
      </c>
      <c r="H9" s="138" t="s">
        <v>410</v>
      </c>
      <c r="I9">
        <v>1803</v>
      </c>
      <c r="J9">
        <v>1601</v>
      </c>
      <c r="K9" s="75" t="s">
        <v>40</v>
      </c>
      <c r="L9" s="75" t="s">
        <v>40</v>
      </c>
      <c r="M9" s="142" t="s">
        <v>40</v>
      </c>
    </row>
    <row r="10" spans="1:13">
      <c r="A10" s="92" t="s">
        <v>410</v>
      </c>
      <c r="B10" s="81">
        <v>4260</v>
      </c>
      <c r="C10" s="81">
        <v>3330</v>
      </c>
      <c r="D10" s="81">
        <v>2450</v>
      </c>
      <c r="E10" s="107">
        <v>3410</v>
      </c>
      <c r="F10" s="93">
        <v>3330</v>
      </c>
      <c r="H10" s="137" t="s">
        <v>411</v>
      </c>
      <c r="I10" s="94">
        <v>1020.7</v>
      </c>
      <c r="J10" s="94">
        <v>1546.7</v>
      </c>
      <c r="K10" s="94">
        <v>1006.75</v>
      </c>
      <c r="L10" s="94">
        <v>1020.22</v>
      </c>
      <c r="M10" s="144" t="s">
        <v>40</v>
      </c>
    </row>
    <row r="11" spans="1:13">
      <c r="A11" s="91" t="s">
        <v>412</v>
      </c>
      <c r="B11" s="148">
        <v>10000</v>
      </c>
      <c r="C11" s="148">
        <v>7970</v>
      </c>
      <c r="D11" s="148">
        <v>7590</v>
      </c>
      <c r="E11" s="149" t="s">
        <v>40</v>
      </c>
      <c r="F11" s="64" t="s">
        <v>40</v>
      </c>
    </row>
    <row r="12" spans="1:13">
      <c r="A12" s="231" t="s">
        <v>300</v>
      </c>
      <c r="B12" s="232"/>
      <c r="C12" s="232"/>
      <c r="D12" s="232"/>
      <c r="E12" s="232"/>
      <c r="F12" s="233"/>
    </row>
    <row r="13" spans="1:13">
      <c r="A13" s="91" t="s">
        <v>408</v>
      </c>
      <c r="B13" s="148">
        <v>256</v>
      </c>
      <c r="C13" s="148">
        <v>-665</v>
      </c>
      <c r="D13" s="148">
        <v>351</v>
      </c>
      <c r="E13" s="149" t="s">
        <v>40</v>
      </c>
      <c r="F13" s="64" t="s">
        <v>40</v>
      </c>
    </row>
    <row r="14" spans="1:13">
      <c r="A14" s="91" t="s">
        <v>409</v>
      </c>
      <c r="B14" s="148">
        <v>-121</v>
      </c>
      <c r="C14" s="148">
        <v>384</v>
      </c>
      <c r="D14" s="148">
        <v>431</v>
      </c>
      <c r="E14" s="148">
        <v>163</v>
      </c>
      <c r="F14" s="89">
        <v>-99</v>
      </c>
    </row>
    <row r="15" spans="1:13">
      <c r="A15" s="91" t="s">
        <v>410</v>
      </c>
      <c r="B15" s="148">
        <v>-209</v>
      </c>
      <c r="C15" s="148">
        <v>191</v>
      </c>
      <c r="D15" s="148">
        <v>262</v>
      </c>
      <c r="E15" s="148">
        <v>204</v>
      </c>
      <c r="F15" s="89">
        <v>212</v>
      </c>
    </row>
    <row r="16" spans="1:13">
      <c r="A16" s="95" t="s">
        <v>412</v>
      </c>
      <c r="B16" s="94">
        <f>'Compte de résultat'!D47</f>
        <v>553.5</v>
      </c>
      <c r="C16" s="94">
        <f>'Compte de résultat'!E47</f>
        <v>-127</v>
      </c>
      <c r="D16" s="94">
        <f>'Compte de résultat'!F47</f>
        <v>395</v>
      </c>
      <c r="E16" s="94">
        <f>'Compte de résultat'!G47</f>
        <v>283</v>
      </c>
      <c r="F16" s="122">
        <f>'Compte de résultat'!H47</f>
        <v>281</v>
      </c>
    </row>
    <row r="17" spans="1:6">
      <c r="A17" s="231" t="s">
        <v>413</v>
      </c>
      <c r="B17" s="232"/>
      <c r="C17" s="232"/>
      <c r="D17" s="232"/>
      <c r="E17" s="232"/>
      <c r="F17" s="233"/>
    </row>
    <row r="18" spans="1:6">
      <c r="A18" s="91" t="s">
        <v>408</v>
      </c>
      <c r="B18" s="150">
        <v>16670</v>
      </c>
      <c r="C18" s="150">
        <v>13800</v>
      </c>
      <c r="D18" s="150">
        <v>16383</v>
      </c>
      <c r="E18" s="150">
        <v>16580</v>
      </c>
      <c r="F18" s="64" t="s">
        <v>40</v>
      </c>
    </row>
    <row r="19" spans="1:6">
      <c r="A19" s="91" t="s">
        <v>409</v>
      </c>
      <c r="B19" s="150">
        <v>5982.8</v>
      </c>
      <c r="C19" s="150">
        <v>4400.8</v>
      </c>
      <c r="D19" s="150">
        <v>6159.8</v>
      </c>
      <c r="E19" s="150">
        <v>6313</v>
      </c>
      <c r="F19" s="64" t="s">
        <v>40</v>
      </c>
    </row>
    <row r="20" spans="1:6">
      <c r="A20" s="91" t="s">
        <v>410</v>
      </c>
      <c r="B20" s="150">
        <v>5010.8850000000002</v>
      </c>
      <c r="C20" s="150">
        <v>3759.1129999999998</v>
      </c>
      <c r="D20" s="150">
        <v>4308.2120000000004</v>
      </c>
      <c r="E20" s="150">
        <v>4035.72</v>
      </c>
      <c r="F20" s="64" t="s">
        <v>40</v>
      </c>
    </row>
    <row r="21" spans="1:6">
      <c r="A21" s="95" t="s">
        <v>412</v>
      </c>
      <c r="B21" s="109">
        <f>'Compte de résultat'!D3</f>
        <v>5768</v>
      </c>
      <c r="C21" s="109">
        <f>'Compte de résultat'!E3</f>
        <v>4451</v>
      </c>
      <c r="D21" s="109">
        <f>'Compte de résultat'!F3</f>
        <v>5767</v>
      </c>
      <c r="E21" s="109">
        <f>'Compte de résultat'!G3</f>
        <v>5575</v>
      </c>
      <c r="F21" s="122">
        <f>'Compte de résultat'!H3</f>
        <v>4904</v>
      </c>
    </row>
    <row r="22" spans="1:6">
      <c r="A22" s="231" t="s">
        <v>362</v>
      </c>
      <c r="B22" s="232"/>
      <c r="C22" s="232"/>
      <c r="D22" s="232"/>
      <c r="E22" s="232"/>
      <c r="F22" s="233"/>
    </row>
    <row r="23" spans="1:6">
      <c r="A23" s="91" t="s">
        <v>408</v>
      </c>
      <c r="B23" s="150">
        <v>994</v>
      </c>
      <c r="C23" s="150">
        <v>-403</v>
      </c>
      <c r="D23" s="150">
        <v>1161</v>
      </c>
      <c r="E23" s="150">
        <v>1973</v>
      </c>
      <c r="F23" s="64" t="s">
        <v>40</v>
      </c>
    </row>
    <row r="24" spans="1:6">
      <c r="A24" s="91" t="s">
        <v>409</v>
      </c>
      <c r="B24" s="150">
        <v>975.6</v>
      </c>
      <c r="C24" s="150">
        <v>221.3</v>
      </c>
      <c r="D24" s="150">
        <v>613.5</v>
      </c>
      <c r="E24" s="150">
        <v>884.5</v>
      </c>
      <c r="F24" s="64" t="s">
        <v>40</v>
      </c>
    </row>
    <row r="25" spans="1:6">
      <c r="A25" s="91" t="s">
        <v>410</v>
      </c>
      <c r="B25" s="150">
        <v>774.16</v>
      </c>
      <c r="C25" s="150">
        <v>174.06100000000001</v>
      </c>
      <c r="D25" s="150">
        <v>495.21800000000002</v>
      </c>
      <c r="E25" s="150">
        <v>509.20100000000002</v>
      </c>
      <c r="F25" s="64" t="s">
        <v>40</v>
      </c>
    </row>
    <row r="26" spans="1:6">
      <c r="A26" s="129" t="s">
        <v>412</v>
      </c>
      <c r="B26" s="73">
        <f>'Compte de résultat'!D66</f>
        <v>837</v>
      </c>
      <c r="C26" s="73">
        <f>'Compte de résultat'!E66</f>
        <v>303</v>
      </c>
      <c r="D26" s="73">
        <f>'Compte de résultat'!F66</f>
        <v>697</v>
      </c>
      <c r="E26" s="73">
        <f>'Compte de résultat'!G66</f>
        <v>661</v>
      </c>
      <c r="F26" s="130">
        <f>'Compte de résultat'!H66</f>
        <v>585</v>
      </c>
    </row>
    <row r="27" spans="1:6">
      <c r="A27" s="243" t="s">
        <v>414</v>
      </c>
      <c r="B27" s="244"/>
      <c r="C27" s="244"/>
      <c r="D27" s="244"/>
      <c r="E27" s="244"/>
      <c r="F27" s="245"/>
    </row>
    <row r="28" spans="1:6" ht="15.65" customHeight="1">
      <c r="A28" s="237" t="s">
        <v>415</v>
      </c>
      <c r="B28" s="238"/>
      <c r="C28" s="238"/>
      <c r="D28" s="238"/>
      <c r="E28" s="238"/>
      <c r="F28" s="239"/>
    </row>
    <row r="29" spans="1:6">
      <c r="A29" s="91" t="s">
        <v>408</v>
      </c>
      <c r="B29" s="146">
        <f t="shared" ref="B29:D31" si="0">MAX(B8/B13,0)</f>
        <v>25.7421875</v>
      </c>
      <c r="C29" s="146">
        <f t="shared" si="0"/>
        <v>0</v>
      </c>
      <c r="D29" s="146">
        <f t="shared" si="0"/>
        <v>18.774928774928775</v>
      </c>
      <c r="E29" s="147" t="s">
        <v>40</v>
      </c>
      <c r="F29" s="101" t="s">
        <v>40</v>
      </c>
    </row>
    <row r="30" spans="1:6">
      <c r="A30" s="91" t="s">
        <v>409</v>
      </c>
      <c r="B30" s="146">
        <f t="shared" si="0"/>
        <v>0</v>
      </c>
      <c r="C30" s="146">
        <f t="shared" si="0"/>
        <v>19.739583333333332</v>
      </c>
      <c r="D30" s="146">
        <f t="shared" si="0"/>
        <v>20.023201856148493</v>
      </c>
      <c r="E30" s="146">
        <f>E9/E14</f>
        <v>49.877300613496935</v>
      </c>
      <c r="F30" s="102">
        <f>F9/F14</f>
        <v>-85.050505050505052</v>
      </c>
    </row>
    <row r="31" spans="1:6">
      <c r="A31" s="91" t="s">
        <v>410</v>
      </c>
      <c r="B31" s="146">
        <f t="shared" si="0"/>
        <v>0</v>
      </c>
      <c r="C31" s="146">
        <f t="shared" si="0"/>
        <v>17.434554973821989</v>
      </c>
      <c r="D31" s="146">
        <f t="shared" si="0"/>
        <v>9.3511450381679388</v>
      </c>
      <c r="E31" s="146">
        <f>E10/E15</f>
        <v>16.715686274509803</v>
      </c>
      <c r="F31" s="102">
        <f>F10/F15</f>
        <v>15.70754716981132</v>
      </c>
    </row>
    <row r="32" spans="1:6">
      <c r="A32" s="124" t="s">
        <v>416</v>
      </c>
      <c r="B32" s="151">
        <f>AVERAGE(B29:B31)</f>
        <v>8.5807291666666661</v>
      </c>
      <c r="C32" s="151">
        <f t="shared" ref="C32:D32" si="1">AVERAGE(C29:C31)</f>
        <v>12.39137943571844</v>
      </c>
      <c r="D32" s="151">
        <f t="shared" si="1"/>
        <v>16.049758556415071</v>
      </c>
      <c r="E32" s="152" t="s">
        <v>40</v>
      </c>
      <c r="F32" s="100" t="s">
        <v>40</v>
      </c>
    </row>
    <row r="33" spans="1:6">
      <c r="A33" s="126" t="s">
        <v>417</v>
      </c>
      <c r="B33" s="153">
        <f>B16*B32</f>
        <v>4749.43359375</v>
      </c>
      <c r="C33" s="153">
        <f>C16*C32</f>
        <v>-1573.7051883362419</v>
      </c>
      <c r="D33" s="153">
        <f>D16*D32</f>
        <v>6339.6546297839532</v>
      </c>
      <c r="E33" s="154" t="s">
        <v>40</v>
      </c>
      <c r="F33" s="103" t="s">
        <v>40</v>
      </c>
    </row>
    <row r="34" spans="1:6" ht="15.65" customHeight="1">
      <c r="A34" s="240" t="s">
        <v>418</v>
      </c>
      <c r="B34" s="241"/>
      <c r="C34" s="241"/>
      <c r="D34" s="241"/>
      <c r="E34" s="241"/>
      <c r="F34" s="242"/>
    </row>
    <row r="35" spans="1:6">
      <c r="A35" s="91" t="s">
        <v>408</v>
      </c>
      <c r="B35" s="146">
        <f t="shared" ref="B35:E36" si="2">(B8+I7)/B18</f>
        <v>0.8550689862027594</v>
      </c>
      <c r="C35" s="146">
        <f t="shared" si="2"/>
        <v>1.1034057971014493</v>
      </c>
      <c r="D35" s="146">
        <f t="shared" si="2"/>
        <v>0.47848379417689069</v>
      </c>
      <c r="E35" s="146">
        <f t="shared" si="2"/>
        <v>0.66218335343787693</v>
      </c>
      <c r="F35" s="101" t="s">
        <v>40</v>
      </c>
    </row>
    <row r="36" spans="1:6" ht="15.65" customHeight="1">
      <c r="A36" s="91" t="s">
        <v>409</v>
      </c>
      <c r="B36" s="146">
        <f t="shared" si="2"/>
        <v>2.0375075215618104</v>
      </c>
      <c r="C36" s="146">
        <f t="shared" si="2"/>
        <v>2.1821032539538265</v>
      </c>
      <c r="D36" s="146">
        <f t="shared" si="2"/>
        <v>1.6234293321211728</v>
      </c>
      <c r="E36" s="146">
        <f t="shared" si="2"/>
        <v>1.4341834310153652</v>
      </c>
      <c r="F36" s="101" t="s">
        <v>40</v>
      </c>
    </row>
    <row r="37" spans="1:6" ht="15.65" customHeight="1">
      <c r="A37" s="91" t="s">
        <v>410</v>
      </c>
      <c r="B37" s="146">
        <f>(B10+I9)/B20</f>
        <v>1.209965904226499</v>
      </c>
      <c r="C37" s="146">
        <f>(C10+J9)/C20</f>
        <v>1.3117456165856147</v>
      </c>
      <c r="D37" s="147" t="s">
        <v>40</v>
      </c>
      <c r="E37" s="147" t="s">
        <v>40</v>
      </c>
      <c r="F37" s="101" t="s">
        <v>40</v>
      </c>
    </row>
    <row r="38" spans="1:6" ht="15.65" customHeight="1">
      <c r="A38" s="124" t="s">
        <v>419</v>
      </c>
      <c r="B38" s="151">
        <f>AVERAGE(B35:B37)</f>
        <v>1.3675141373303561</v>
      </c>
      <c r="C38" s="151">
        <f>AVERAGE(C35:C37)</f>
        <v>1.5324182225469636</v>
      </c>
      <c r="D38" s="152" t="s">
        <v>40</v>
      </c>
      <c r="E38" s="152" t="s">
        <v>40</v>
      </c>
      <c r="F38" s="100" t="s">
        <v>40</v>
      </c>
    </row>
    <row r="39" spans="1:6">
      <c r="A39" s="126" t="s">
        <v>417</v>
      </c>
      <c r="B39" s="153">
        <f>B38*B21-I10</f>
        <v>6867.1215441214945</v>
      </c>
      <c r="C39" s="153">
        <f>C38*C21-J10</f>
        <v>5274.0935085565352</v>
      </c>
      <c r="D39" s="154" t="s">
        <v>40</v>
      </c>
      <c r="E39" s="154" t="s">
        <v>40</v>
      </c>
      <c r="F39" s="103" t="s">
        <v>40</v>
      </c>
    </row>
    <row r="40" spans="1:6" ht="15.65" customHeight="1">
      <c r="A40" s="240" t="s">
        <v>420</v>
      </c>
      <c r="B40" s="241"/>
      <c r="C40" s="241"/>
      <c r="D40" s="241"/>
      <c r="E40" s="241"/>
      <c r="F40" s="242"/>
    </row>
    <row r="41" spans="1:6">
      <c r="A41" s="91" t="s">
        <v>408</v>
      </c>
      <c r="B41" s="146">
        <f t="shared" ref="B41:E42" si="3">(B23+I7)/B23</f>
        <v>8.7102615694164989</v>
      </c>
      <c r="C41" s="146">
        <f t="shared" si="3"/>
        <v>-18.049627791563275</v>
      </c>
      <c r="D41" s="146">
        <f t="shared" si="3"/>
        <v>2.0757967269595174</v>
      </c>
      <c r="E41" s="123">
        <f t="shared" si="3"/>
        <v>1.6330461226558541</v>
      </c>
      <c r="F41" s="145" t="s">
        <v>40</v>
      </c>
    </row>
    <row r="42" spans="1:6">
      <c r="A42" s="91" t="s">
        <v>409</v>
      </c>
      <c r="B42" s="146">
        <f t="shared" si="3"/>
        <v>4.5260352603526037</v>
      </c>
      <c r="C42" s="146">
        <f t="shared" si="3"/>
        <v>10.141436963398103</v>
      </c>
      <c r="D42" s="146">
        <f t="shared" si="3"/>
        <v>3.2330888345558271</v>
      </c>
      <c r="E42" s="146">
        <f t="shared" si="3"/>
        <v>2.0446579988694178</v>
      </c>
      <c r="F42" s="145" t="s">
        <v>40</v>
      </c>
    </row>
    <row r="43" spans="1:6">
      <c r="A43" s="91" t="s">
        <v>410</v>
      </c>
      <c r="B43" s="146">
        <f>(B25+I9)/B25</f>
        <v>3.328975922289966</v>
      </c>
      <c r="C43" s="146">
        <f>(C25+J9)/C25</f>
        <v>10.197924865420742</v>
      </c>
      <c r="D43" s="147" t="s">
        <v>40</v>
      </c>
      <c r="E43" s="147" t="s">
        <v>40</v>
      </c>
      <c r="F43" s="145" t="s">
        <v>40</v>
      </c>
    </row>
    <row r="44" spans="1:6">
      <c r="A44" s="124" t="s">
        <v>421</v>
      </c>
      <c r="B44" s="125">
        <f>AVERAGE(B41:B43)</f>
        <v>5.5217575840196895</v>
      </c>
      <c r="C44" s="151">
        <f t="shared" ref="C44" si="4">AVERAGE(C41:C43)</f>
        <v>0.76324467908519011</v>
      </c>
      <c r="D44" s="152" t="s">
        <v>40</v>
      </c>
      <c r="E44" s="152" t="s">
        <v>40</v>
      </c>
      <c r="F44" s="100" t="s">
        <v>40</v>
      </c>
    </row>
    <row r="45" spans="1:6">
      <c r="A45" s="155" t="s">
        <v>417</v>
      </c>
      <c r="B45" s="156">
        <f>B44*B26-I10</f>
        <v>3601.0110978244802</v>
      </c>
      <c r="C45" s="156">
        <f>C44*C26-J10</f>
        <v>-1315.4368622371874</v>
      </c>
      <c r="D45" s="156" t="e">
        <f>D44*D26-K10</f>
        <v>#VALUE!</v>
      </c>
      <c r="E45" s="157" t="s">
        <v>40</v>
      </c>
      <c r="F45" s="158" t="s">
        <v>40</v>
      </c>
    </row>
    <row r="46" spans="1:6" ht="15.65" customHeight="1">
      <c r="A46" s="74" t="s">
        <v>422</v>
      </c>
      <c r="B46" s="159" t="s">
        <v>423</v>
      </c>
      <c r="C46" s="159"/>
      <c r="D46" s="159"/>
      <c r="E46" s="159"/>
      <c r="F46" s="128"/>
    </row>
    <row r="47" spans="1:6">
      <c r="A47" s="74"/>
      <c r="B47" s="127" t="s">
        <v>424</v>
      </c>
      <c r="C47" s="127"/>
      <c r="D47" s="127"/>
      <c r="E47" s="127"/>
      <c r="F47" s="128"/>
    </row>
    <row r="48" spans="1:6">
      <c r="A48" s="74"/>
      <c r="B48" s="159" t="s">
        <v>425</v>
      </c>
      <c r="C48" s="159"/>
      <c r="D48" s="159"/>
      <c r="E48" s="159"/>
      <c r="F48" s="128"/>
    </row>
    <row r="49" spans="1:6" ht="267.75" customHeight="1">
      <c r="A49" s="213" t="s">
        <v>426</v>
      </c>
      <c r="B49" s="214"/>
      <c r="C49" s="214"/>
      <c r="D49" s="214"/>
      <c r="E49" s="214"/>
      <c r="F49" s="215"/>
    </row>
    <row r="50" spans="1:6">
      <c r="A50" s="216"/>
      <c r="B50" s="217"/>
      <c r="C50" s="217"/>
      <c r="D50" s="217"/>
      <c r="E50" s="217"/>
      <c r="F50" s="218"/>
    </row>
    <row r="51" spans="1:6">
      <c r="A51" s="219"/>
      <c r="B51" s="220"/>
      <c r="C51" s="220"/>
      <c r="D51" s="220"/>
      <c r="E51" s="220"/>
      <c r="F51" s="221"/>
    </row>
    <row r="60" spans="1:6">
      <c r="C60" s="90"/>
    </row>
  </sheetData>
  <mergeCells count="12">
    <mergeCell ref="A49:F51"/>
    <mergeCell ref="A1:F1"/>
    <mergeCell ref="A2:F2"/>
    <mergeCell ref="A6:F6"/>
    <mergeCell ref="A12:F12"/>
    <mergeCell ref="A7:F7"/>
    <mergeCell ref="A28:F28"/>
    <mergeCell ref="A34:F34"/>
    <mergeCell ref="A40:F40"/>
    <mergeCell ref="A27:F27"/>
    <mergeCell ref="A17:F17"/>
    <mergeCell ref="A22:F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065F2-1767-F641-B018-6C64A3132867}">
  <dimension ref="A1:F20"/>
  <sheetViews>
    <sheetView topLeftCell="A11" zoomScale="70" zoomScaleNormal="70" workbookViewId="0">
      <selection activeCell="A17" sqref="A17:F17"/>
    </sheetView>
  </sheetViews>
  <sheetFormatPr baseColWidth="10" defaultColWidth="11" defaultRowHeight="15.5"/>
  <cols>
    <col min="1" max="6" width="18.75" customWidth="1"/>
  </cols>
  <sheetData>
    <row r="1" spans="1:6" ht="24" thickBot="1">
      <c r="A1" s="246" t="s">
        <v>427</v>
      </c>
      <c r="B1" s="247"/>
      <c r="C1" s="247"/>
      <c r="D1" s="247"/>
      <c r="E1" s="247"/>
      <c r="F1" s="247"/>
    </row>
    <row r="2" spans="1:6">
      <c r="A2" s="248" t="s">
        <v>428</v>
      </c>
      <c r="B2" s="249"/>
      <c r="C2" s="249"/>
      <c r="D2" s="249"/>
      <c r="E2" s="249"/>
      <c r="F2" s="249"/>
    </row>
    <row r="3" spans="1:6">
      <c r="A3" s="76" t="s">
        <v>429</v>
      </c>
      <c r="B3" s="73" t="s">
        <v>430</v>
      </c>
      <c r="C3" s="73"/>
      <c r="D3" s="73"/>
      <c r="E3" s="73"/>
      <c r="F3" s="77"/>
    </row>
    <row r="4" spans="1:6">
      <c r="A4" s="78"/>
      <c r="B4" t="s">
        <v>431</v>
      </c>
      <c r="F4" s="79"/>
    </row>
    <row r="5" spans="1:6">
      <c r="A5" s="80"/>
      <c r="B5" s="81" t="s">
        <v>432</v>
      </c>
      <c r="C5" s="81"/>
      <c r="D5" s="81"/>
      <c r="E5" s="81" t="s">
        <v>433</v>
      </c>
      <c r="F5" s="82">
        <f>Bilan!C34</f>
        <v>387</v>
      </c>
    </row>
    <row r="11" spans="1:6" ht="16" customHeight="1"/>
    <row r="12" spans="1:6" ht="17.149999999999999" customHeight="1"/>
    <row r="17" spans="1:6" ht="16" customHeight="1">
      <c r="A17" s="164"/>
      <c r="B17" s="165"/>
      <c r="C17" s="165"/>
      <c r="D17" s="165"/>
      <c r="E17" s="165"/>
      <c r="F17" s="166"/>
    </row>
    <row r="18" spans="1:6">
      <c r="A18" s="167"/>
      <c r="B18" s="168">
        <v>2021</v>
      </c>
      <c r="C18" s="168">
        <v>2020</v>
      </c>
      <c r="D18" s="168">
        <v>2019</v>
      </c>
      <c r="E18" s="168">
        <v>2018</v>
      </c>
      <c r="F18" s="169">
        <v>2017</v>
      </c>
    </row>
    <row r="19" spans="1:6">
      <c r="A19" s="74" t="s">
        <v>434</v>
      </c>
      <c r="B19">
        <f>Bilan!C39 - (Bilan!K7+Bilan!K19) - Bilan!K22 - B17</f>
        <v>3344</v>
      </c>
      <c r="C19">
        <f>Bilan!D39 - (Bilan!L7+Bilan!L19) - Bilan!L22 - C17</f>
        <v>2657</v>
      </c>
      <c r="D19">
        <f>Bilan!E39 - (Bilan!M7+Bilan!M19) - Bilan!M22 - D17</f>
        <v>2875</v>
      </c>
      <c r="E19" s="75" t="s">
        <v>40</v>
      </c>
      <c r="F19" s="64" t="s">
        <v>40</v>
      </c>
    </row>
    <row r="20" spans="1:6" ht="16" thickBot="1">
      <c r="A20" s="133" t="s">
        <v>435</v>
      </c>
      <c r="B20" s="134">
        <f>B19</f>
        <v>3344</v>
      </c>
      <c r="C20" s="134">
        <f>C19</f>
        <v>2657</v>
      </c>
      <c r="D20" s="134">
        <f>D19</f>
        <v>2875</v>
      </c>
      <c r="E20" s="135" t="str">
        <f>E19</f>
        <v>-</v>
      </c>
      <c r="F20" s="136" t="str">
        <f>F19</f>
        <v>-</v>
      </c>
    </row>
  </sheetData>
  <mergeCells count="2">
    <mergeCell ref="A1:F1"/>
    <mergeCell ref="A2:F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5EC5F25853D84984B9AAC9EE7B2909" ma:contentTypeVersion="16" ma:contentTypeDescription="Crée un document." ma:contentTypeScope="" ma:versionID="ffe3628ad126820e51af573078545eee">
  <xsd:schema xmlns:xsd="http://www.w3.org/2001/XMLSchema" xmlns:xs="http://www.w3.org/2001/XMLSchema" xmlns:p="http://schemas.microsoft.com/office/2006/metadata/properties" xmlns:ns1="http://schemas.microsoft.com/sharepoint/v3" xmlns:ns3="7ec2ec5c-a6f4-4251-b56e-1d80dc8fda1f" xmlns:ns4="483f88e2-c4fb-41a7-a57f-f32ddd716934" targetNamespace="http://schemas.microsoft.com/office/2006/metadata/properties" ma:root="true" ma:fieldsID="1e5686b4445551242f0136205fe0e310" ns1:_="" ns3:_="" ns4:_="">
    <xsd:import namespace="http://schemas.microsoft.com/sharepoint/v3"/>
    <xsd:import namespace="7ec2ec5c-a6f4-4251-b56e-1d80dc8fda1f"/>
    <xsd:import namespace="483f88e2-c4fb-41a7-a57f-f32ddd7169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étés de la stratégie de conformité unifiée" ma:hidden="true" ma:internalName="_ip_UnifiedCompliancePolicyProperties">
      <xsd:simpleType>
        <xsd:restriction base="dms:Note"/>
      </xsd:simpleType>
    </xsd:element>
    <xsd:element name="_ip_UnifiedCompliancePolicyUIAction" ma:index="22"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c2ec5c-a6f4-4251-b56e-1d80dc8fda1f"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3f88e2-c4fb-41a7-a57f-f32ddd7169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1D5C1C-D3C0-4427-94B6-0F39BA8EBE6C}">
  <ds:schemaRefs>
    <ds:schemaRef ds:uri="http://schemas.microsoft.com/sharepoint/v3/contenttype/forms"/>
  </ds:schemaRefs>
</ds:datastoreItem>
</file>

<file path=customXml/itemProps2.xml><?xml version="1.0" encoding="utf-8"?>
<ds:datastoreItem xmlns:ds="http://schemas.openxmlformats.org/officeDocument/2006/customXml" ds:itemID="{6A4B1A99-D99C-4181-841E-0119215A45B8}">
  <ds:schemaRefs>
    <ds:schemaRef ds:uri="http://purl.org/dc/elements/1.1/"/>
    <ds:schemaRef ds:uri="http://schemas.microsoft.com/office/2006/metadata/properties"/>
    <ds:schemaRef ds:uri="http://schemas.openxmlformats.org/package/2006/metadata/core-properties"/>
    <ds:schemaRef ds:uri="7ec2ec5c-a6f4-4251-b56e-1d80dc8fda1f"/>
    <ds:schemaRef ds:uri="http://schemas.microsoft.com/office/infopath/2007/PartnerControls"/>
    <ds:schemaRef ds:uri="http://purl.org/dc/terms/"/>
    <ds:schemaRef ds:uri="http://schemas.microsoft.com/office/2006/documentManagement/types"/>
    <ds:schemaRef ds:uri="http://schemas.microsoft.com/sharepoint/v3"/>
    <ds:schemaRef ds:uri="483f88e2-c4fb-41a7-a57f-f32ddd716934"/>
    <ds:schemaRef ds:uri="http://www.w3.org/XML/1998/namespace"/>
    <ds:schemaRef ds:uri="http://purl.org/dc/dcmitype/"/>
  </ds:schemaRefs>
</ds:datastoreItem>
</file>

<file path=customXml/itemProps3.xml><?xml version="1.0" encoding="utf-8"?>
<ds:datastoreItem xmlns:ds="http://schemas.openxmlformats.org/officeDocument/2006/customXml" ds:itemID="{BDBB7DA4-18A4-4C4B-9C71-93CF465D3A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c2ec5c-a6f4-4251-b56e-1d80dc8fda1f"/>
    <ds:schemaRef ds:uri="483f88e2-c4fb-41a7-a57f-f32ddd7169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README</vt:lpstr>
      <vt:lpstr>Bilan</vt:lpstr>
      <vt:lpstr>Compte de résultat</vt:lpstr>
      <vt:lpstr>SIG + Valo DCF</vt:lpstr>
      <vt:lpstr>Valo Performance</vt:lpstr>
      <vt:lpstr>Valo Comparative</vt:lpstr>
      <vt:lpstr>Valo Patrimoniale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Thibault GAILLARD</dc:creator>
  <cp:keywords/>
  <dc:description/>
  <cp:lastModifiedBy>Pauline CHAUVEAU</cp:lastModifiedBy>
  <cp:revision/>
  <dcterms:created xsi:type="dcterms:W3CDTF">2022-05-10T12:22:25Z</dcterms:created>
  <dcterms:modified xsi:type="dcterms:W3CDTF">2022-05-17T09:50:23Z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0x0101000F5EC5F25853D84984B9AAC9EE7B2909</vt:lpwstr>
  </property>
</Properties>
</file>