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3170" activeTab="5"/>
  </bookViews>
  <sheets>
    <sheet name="99 Agency" sheetId="2" r:id="rId1"/>
    <sheet name="Historical --&gt;" sheetId="6" r:id="rId2"/>
    <sheet name="P&amp;L" sheetId="1" r:id="rId3"/>
    <sheet name="Balance Sheet" sheetId="3" r:id="rId4"/>
    <sheet name="Cash Flow" sheetId="5" r:id="rId5"/>
    <sheet name="Revenue - Bottom-Up" sheetId="8" r:id="rId6"/>
    <sheet name="Revenue - Top-Down" sheetId="14" r:id="rId7"/>
    <sheet name="Revenue Forecast" sheetId="15" r:id="rId8"/>
    <sheet name="Cost of Sales - Ad Campaigns" sheetId="9" r:id="rId9"/>
    <sheet name="Cost of Sales - SEO Campaigns" sheetId="20" r:id="rId10"/>
    <sheet name="SG&amp;A" sheetId="10" r:id="rId11"/>
    <sheet name="Fixed Assets" sheetId="12" r:id="rId12"/>
    <sheet name="Working Capital" sheetId="21" r:id="rId13"/>
    <sheet name="Financial Liabilities" sheetId="22" r:id="rId14"/>
    <sheet name="Master Budget --&gt;" sheetId="16" r:id="rId15"/>
    <sheet name="IS" sheetId="18" r:id="rId16"/>
    <sheet name="BS" sheetId="17" r:id="rId17"/>
    <sheet name="CF" sheetId="19" r:id="rId18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" i="8"/>
  <c r="N28"/>
  <c r="F6" i="12" l="1"/>
  <c r="E6"/>
  <c r="D6"/>
  <c r="F24" i="17" l="1"/>
  <c r="E24"/>
  <c r="D24"/>
  <c r="C24"/>
  <c r="F6" i="22" l="1"/>
  <c r="E6"/>
  <c r="D6"/>
  <c r="C6"/>
  <c r="F5"/>
  <c r="E5"/>
  <c r="E7" s="1"/>
  <c r="D5"/>
  <c r="C5"/>
  <c r="F15" i="18"/>
  <c r="E15"/>
  <c r="D15"/>
  <c r="C15"/>
  <c r="F13"/>
  <c r="E13"/>
  <c r="D13"/>
  <c r="F11"/>
  <c r="E11"/>
  <c r="D11"/>
  <c r="C11"/>
  <c r="F9"/>
  <c r="E9"/>
  <c r="D9"/>
  <c r="C9"/>
  <c r="F8"/>
  <c r="E8"/>
  <c r="D8"/>
  <c r="C8"/>
  <c r="F6"/>
  <c r="E6"/>
  <c r="D6"/>
  <c r="C6"/>
  <c r="F5"/>
  <c r="E5"/>
  <c r="D5"/>
  <c r="C5"/>
  <c r="F14" i="21"/>
  <c r="E14"/>
  <c r="D14"/>
  <c r="C14"/>
  <c r="F11"/>
  <c r="E11"/>
  <c r="D11"/>
  <c r="C11"/>
  <c r="F8"/>
  <c r="E8"/>
  <c r="D8"/>
  <c r="C8"/>
  <c r="F6"/>
  <c r="F12" s="1"/>
  <c r="E6"/>
  <c r="E12" s="1"/>
  <c r="D6"/>
  <c r="D12" s="1"/>
  <c r="C6"/>
  <c r="G29" i="10"/>
  <c r="F29"/>
  <c r="E29"/>
  <c r="D29"/>
  <c r="C29"/>
  <c r="C7" i="22" l="1"/>
  <c r="J15" i="18" s="1"/>
  <c r="D7" i="22"/>
  <c r="L15" i="18" s="1"/>
  <c r="F7" i="22"/>
  <c r="K15" i="18"/>
  <c r="I15"/>
  <c r="C12" i="21"/>
  <c r="M15" i="18" l="1"/>
  <c r="F13" i="20"/>
  <c r="E13"/>
  <c r="D13"/>
  <c r="C13"/>
  <c r="F7"/>
  <c r="E7"/>
  <c r="D7"/>
  <c r="C7"/>
  <c r="G13" i="9"/>
  <c r="F13"/>
  <c r="E13"/>
  <c r="D13"/>
  <c r="C13"/>
  <c r="G13" i="20" l="1"/>
  <c r="C11"/>
  <c r="E11"/>
  <c r="D11"/>
  <c r="F11"/>
  <c r="G7"/>
  <c r="G11" l="1"/>
  <c r="L5" i="1"/>
  <c r="G5" i="18" s="1"/>
  <c r="K20" i="8" l="1"/>
  <c r="J20"/>
  <c r="I20"/>
  <c r="H20"/>
  <c r="K19"/>
  <c r="J19"/>
  <c r="I19"/>
  <c r="H19"/>
  <c r="K18"/>
  <c r="J18"/>
  <c r="I18"/>
  <c r="H18"/>
  <c r="K17"/>
  <c r="J17"/>
  <c r="I17"/>
  <c r="H17"/>
  <c r="F20"/>
  <c r="E20"/>
  <c r="D20"/>
  <c r="C20"/>
  <c r="F19"/>
  <c r="E19"/>
  <c r="D19"/>
  <c r="C19"/>
  <c r="F18"/>
  <c r="E18"/>
  <c r="D18"/>
  <c r="C18"/>
  <c r="F17"/>
  <c r="E17"/>
  <c r="E21" s="1"/>
  <c r="D17"/>
  <c r="C17"/>
  <c r="K11"/>
  <c r="J11"/>
  <c r="I11"/>
  <c r="H11"/>
  <c r="K10"/>
  <c r="J10"/>
  <c r="I10"/>
  <c r="H10"/>
  <c r="K9"/>
  <c r="J9"/>
  <c r="I9"/>
  <c r="H9"/>
  <c r="K8"/>
  <c r="J8"/>
  <c r="I8"/>
  <c r="H8"/>
  <c r="G11"/>
  <c r="G10"/>
  <c r="G9"/>
  <c r="G8"/>
  <c r="F12"/>
  <c r="E12"/>
  <c r="D12"/>
  <c r="C12"/>
  <c r="K52"/>
  <c r="F13" i="15" s="1"/>
  <c r="F15" s="1"/>
  <c r="J52" i="8"/>
  <c r="E13" i="15" s="1"/>
  <c r="I52" i="8"/>
  <c r="D13" i="15" s="1"/>
  <c r="H52" i="8"/>
  <c r="C13" i="15" s="1"/>
  <c r="L51" i="8"/>
  <c r="L50"/>
  <c r="L49"/>
  <c r="L48"/>
  <c r="G51"/>
  <c r="G31" s="1"/>
  <c r="G50"/>
  <c r="G30" s="1"/>
  <c r="G49"/>
  <c r="G29" s="1"/>
  <c r="G48"/>
  <c r="G28" s="1"/>
  <c r="F52"/>
  <c r="E52"/>
  <c r="D52"/>
  <c r="C52"/>
  <c r="G60"/>
  <c r="G59"/>
  <c r="G58"/>
  <c r="G57"/>
  <c r="L60"/>
  <c r="L59"/>
  <c r="L58"/>
  <c r="L57"/>
  <c r="K61"/>
  <c r="F14" i="15" s="1"/>
  <c r="L6" i="18" s="1"/>
  <c r="J61" i="8"/>
  <c r="E14" i="15" s="1"/>
  <c r="K6" i="18" s="1"/>
  <c r="I61" i="8"/>
  <c r="D14" i="15" s="1"/>
  <c r="J6" i="18" s="1"/>
  <c r="H61" i="8"/>
  <c r="C14" i="15" s="1"/>
  <c r="F61" i="8"/>
  <c r="E61"/>
  <c r="D61"/>
  <c r="C61"/>
  <c r="E15" i="15" l="1"/>
  <c r="D15"/>
  <c r="C15"/>
  <c r="N59" i="8"/>
  <c r="G18"/>
  <c r="G38" s="1"/>
  <c r="N57"/>
  <c r="I8" i="18"/>
  <c r="N60" i="8"/>
  <c r="F21"/>
  <c r="N58"/>
  <c r="N50"/>
  <c r="N51"/>
  <c r="N49"/>
  <c r="N48"/>
  <c r="F5" i="21"/>
  <c r="F9" s="1"/>
  <c r="G14" i="15"/>
  <c r="E5" i="21"/>
  <c r="E9" s="1"/>
  <c r="D5"/>
  <c r="D9" s="1"/>
  <c r="G13" i="15"/>
  <c r="G15" s="1"/>
  <c r="C8" s="1"/>
  <c r="C5" i="21"/>
  <c r="C9" s="1"/>
  <c r="K21" i="8"/>
  <c r="F9" i="20" s="1"/>
  <c r="F10" s="1"/>
  <c r="L18" i="8"/>
  <c r="L38" s="1"/>
  <c r="J21"/>
  <c r="E9" i="20" s="1"/>
  <c r="E10" s="1"/>
  <c r="K12" i="8"/>
  <c r="I12"/>
  <c r="J12"/>
  <c r="I21"/>
  <c r="D9" i="20" s="1"/>
  <c r="D10" s="1"/>
  <c r="D21" i="8"/>
  <c r="G12"/>
  <c r="L11"/>
  <c r="G17"/>
  <c r="G37" s="1"/>
  <c r="G19"/>
  <c r="G39" s="1"/>
  <c r="G20"/>
  <c r="G40" s="1"/>
  <c r="L17"/>
  <c r="L19"/>
  <c r="L20"/>
  <c r="L40" s="1"/>
  <c r="L61"/>
  <c r="G61"/>
  <c r="G52"/>
  <c r="G32" s="1"/>
  <c r="L52"/>
  <c r="L8"/>
  <c r="L9"/>
  <c r="L10"/>
  <c r="C21"/>
  <c r="G21" s="1"/>
  <c r="H21"/>
  <c r="H12"/>
  <c r="J11" i="3"/>
  <c r="F10" i="5"/>
  <c r="I11" i="3"/>
  <c r="H11"/>
  <c r="E10" i="5" s="1"/>
  <c r="G11" i="3"/>
  <c r="F11"/>
  <c r="E11"/>
  <c r="D11"/>
  <c r="C11"/>
  <c r="F5" i="12"/>
  <c r="E5"/>
  <c r="D5"/>
  <c r="F9"/>
  <c r="I13" i="18" s="1"/>
  <c r="E9" i="12"/>
  <c r="D9"/>
  <c r="C9"/>
  <c r="C5"/>
  <c r="F15" i="5"/>
  <c r="E15"/>
  <c r="D15"/>
  <c r="C15"/>
  <c r="F14"/>
  <c r="E14"/>
  <c r="D14"/>
  <c r="C14"/>
  <c r="F13"/>
  <c r="E13"/>
  <c r="D13"/>
  <c r="C13"/>
  <c r="F9"/>
  <c r="E9"/>
  <c r="D9"/>
  <c r="C9"/>
  <c r="F6"/>
  <c r="E6"/>
  <c r="D6"/>
  <c r="C6"/>
  <c r="G41" i="8" l="1"/>
  <c r="N52"/>
  <c r="I6" i="18"/>
  <c r="M6"/>
  <c r="N61" i="8"/>
  <c r="N18"/>
  <c r="N38"/>
  <c r="K8" i="18"/>
  <c r="L8"/>
  <c r="N19" i="8"/>
  <c r="L39"/>
  <c r="N17"/>
  <c r="L37"/>
  <c r="L21"/>
  <c r="C9" i="20"/>
  <c r="C10" s="1"/>
  <c r="N40" i="8"/>
  <c r="L28"/>
  <c r="N10"/>
  <c r="L30"/>
  <c r="N30" s="1"/>
  <c r="N9"/>
  <c r="L29"/>
  <c r="N29" s="1"/>
  <c r="N11"/>
  <c r="L31"/>
  <c r="N31" s="1"/>
  <c r="G13" i="5"/>
  <c r="G15"/>
  <c r="G9"/>
  <c r="G14"/>
  <c r="F8" i="12"/>
  <c r="D8"/>
  <c r="E8"/>
  <c r="N20" i="8"/>
  <c r="L12"/>
  <c r="D10" i="5"/>
  <c r="C10"/>
  <c r="G10" l="1"/>
  <c r="N37" i="8"/>
  <c r="N39"/>
  <c r="N21"/>
  <c r="G9" i="20"/>
  <c r="G10" s="1"/>
  <c r="L41" i="8"/>
  <c r="N12"/>
  <c r="L32"/>
  <c r="N32" s="1"/>
  <c r="D11" i="5"/>
  <c r="E11"/>
  <c r="F11"/>
  <c r="G25" i="3"/>
  <c r="J25"/>
  <c r="I25"/>
  <c r="H25"/>
  <c r="E25"/>
  <c r="D25"/>
  <c r="C25"/>
  <c r="D22"/>
  <c r="J22"/>
  <c r="I22"/>
  <c r="H22"/>
  <c r="G22"/>
  <c r="F22"/>
  <c r="E22"/>
  <c r="H13"/>
  <c r="G13"/>
  <c r="E13"/>
  <c r="D13"/>
  <c r="C13"/>
  <c r="J13"/>
  <c r="I13"/>
  <c r="F13"/>
  <c r="J9" i="18" l="1"/>
  <c r="K9"/>
  <c r="J8"/>
  <c r="M8"/>
  <c r="N41" i="8"/>
  <c r="L9" i="18"/>
  <c r="L15" i="1"/>
  <c r="L11"/>
  <c r="G11" i="18" s="1"/>
  <c r="L9" i="1"/>
  <c r="G9" i="18" s="1"/>
  <c r="L8" i="1"/>
  <c r="G8" i="18" s="1"/>
  <c r="K7" i="1"/>
  <c r="J7"/>
  <c r="I7"/>
  <c r="H7"/>
  <c r="L6"/>
  <c r="G6" i="18" s="1"/>
  <c r="G15" i="1"/>
  <c r="G11"/>
  <c r="G9"/>
  <c r="G8"/>
  <c r="G6"/>
  <c r="G5"/>
  <c r="F9"/>
  <c r="F25" i="3" s="1"/>
  <c r="F7" i="1"/>
  <c r="E7"/>
  <c r="E24" i="3" s="1"/>
  <c r="D7" i="1"/>
  <c r="C7"/>
  <c r="E10" l="1"/>
  <c r="E12" s="1"/>
  <c r="E14" s="1"/>
  <c r="E16" s="1"/>
  <c r="M9" i="18"/>
  <c r="K10" i="1"/>
  <c r="F7" i="18"/>
  <c r="F12" i="12"/>
  <c r="F13" s="1"/>
  <c r="J24" i="3"/>
  <c r="J10" i="1"/>
  <c r="E7" i="18"/>
  <c r="E12" i="12"/>
  <c r="E13" s="1"/>
  <c r="I24" i="3"/>
  <c r="G15" i="18"/>
  <c r="G6" i="5"/>
  <c r="H10" i="1"/>
  <c r="H12" s="1"/>
  <c r="C7" i="18"/>
  <c r="C12" i="12"/>
  <c r="G24" i="3"/>
  <c r="I10" i="1"/>
  <c r="D12" i="12"/>
  <c r="D13" s="1"/>
  <c r="D7" i="18"/>
  <c r="H24" i="3"/>
  <c r="C10" i="1"/>
  <c r="C12" s="1"/>
  <c r="C24" i="3"/>
  <c r="D10" i="1"/>
  <c r="D12" s="1"/>
  <c r="D14" s="1"/>
  <c r="D16" s="1"/>
  <c r="D17" s="1"/>
  <c r="D18" s="1"/>
  <c r="D24" i="3"/>
  <c r="F10" i="1"/>
  <c r="F12" s="1"/>
  <c r="F14" s="1"/>
  <c r="F16" s="1"/>
  <c r="F17" s="1"/>
  <c r="F18" s="1"/>
  <c r="F24" i="3"/>
  <c r="L7" i="1"/>
  <c r="E17"/>
  <c r="E18" s="1"/>
  <c r="G7"/>
  <c r="G10" s="1"/>
  <c r="G12" s="1"/>
  <c r="K5" i="18" l="1"/>
  <c r="K7" s="1"/>
  <c r="K10" s="1"/>
  <c r="J5"/>
  <c r="J7" s="1"/>
  <c r="J10" s="1"/>
  <c r="L5"/>
  <c r="L7" s="1"/>
  <c r="L10" s="1"/>
  <c r="I9"/>
  <c r="L10" i="1"/>
  <c r="G7" i="18"/>
  <c r="I12" i="1"/>
  <c r="D10" i="18"/>
  <c r="C10"/>
  <c r="J12" i="1"/>
  <c r="E10" i="18"/>
  <c r="K12" i="1"/>
  <c r="F10" i="18"/>
  <c r="C22" i="3"/>
  <c r="I11" i="18" l="1"/>
  <c r="J11"/>
  <c r="J12" s="1"/>
  <c r="K11"/>
  <c r="K12" s="1"/>
  <c r="L11"/>
  <c r="L12" s="1"/>
  <c r="I5"/>
  <c r="I7" s="1"/>
  <c r="I10" s="1"/>
  <c r="E12"/>
  <c r="J14" i="1"/>
  <c r="E5" i="5"/>
  <c r="D12" i="18"/>
  <c r="D5" i="5"/>
  <c r="I14" i="1"/>
  <c r="F12" i="18"/>
  <c r="F5" i="5"/>
  <c r="K14" i="1"/>
  <c r="C12" i="18"/>
  <c r="C5" i="5"/>
  <c r="L12" i="1"/>
  <c r="G10" i="18"/>
  <c r="I12" l="1"/>
  <c r="I14" s="1"/>
  <c r="I16" s="1"/>
  <c r="I17" s="1"/>
  <c r="M11"/>
  <c r="M5"/>
  <c r="M7" s="1"/>
  <c r="M10" s="1"/>
  <c r="G12"/>
  <c r="G5" i="5"/>
  <c r="K16" i="1"/>
  <c r="F14" i="18"/>
  <c r="I16" i="1"/>
  <c r="D14" i="18"/>
  <c r="J16" i="1"/>
  <c r="E14" i="18"/>
  <c r="M12" l="1"/>
  <c r="I18"/>
  <c r="D16"/>
  <c r="I17" i="1"/>
  <c r="I18"/>
  <c r="J17"/>
  <c r="J18" s="1"/>
  <c r="E16" i="18"/>
  <c r="K17" i="1"/>
  <c r="F16" i="18"/>
  <c r="E17" i="5" l="1"/>
  <c r="E18" i="18"/>
  <c r="F17"/>
  <c r="F7" i="5"/>
  <c r="K18" i="1"/>
  <c r="D17" i="5"/>
  <c r="D18" i="18"/>
  <c r="E17"/>
  <c r="E7" i="5"/>
  <c r="D17" i="18"/>
  <c r="D7" i="5"/>
  <c r="D19" l="1"/>
  <c r="F17"/>
  <c r="F19" s="1"/>
  <c r="F18" i="18"/>
  <c r="E19" i="5"/>
  <c r="C13" i="18"/>
  <c r="L13" i="1"/>
  <c r="G13" i="18" s="1"/>
  <c r="G13" i="1"/>
  <c r="G14" s="1"/>
  <c r="G16" s="1"/>
  <c r="H14"/>
  <c r="C14" i="18" s="1"/>
  <c r="C6" i="12"/>
  <c r="C8" s="1"/>
  <c r="C13" s="1"/>
  <c r="H16" i="1" l="1"/>
  <c r="C16" i="18" s="1"/>
  <c r="H17" i="1"/>
  <c r="H18" s="1"/>
  <c r="L14"/>
  <c r="C11" i="5"/>
  <c r="G11" s="1"/>
  <c r="C14" i="1"/>
  <c r="C16" s="1"/>
  <c r="C18" i="18" l="1"/>
  <c r="C17" i="5"/>
  <c r="G17" s="1"/>
  <c r="G14" i="18"/>
  <c r="L16" i="1"/>
  <c r="C17"/>
  <c r="G17" s="1"/>
  <c r="G18" s="1"/>
  <c r="C17" i="18"/>
  <c r="L17" i="1"/>
  <c r="C7" i="5"/>
  <c r="H9" i="12"/>
  <c r="G17" i="18" l="1"/>
  <c r="G7" i="5"/>
  <c r="L18" i="1"/>
  <c r="G18" i="18" s="1"/>
  <c r="G16"/>
  <c r="C19" i="5"/>
  <c r="G19" s="1"/>
  <c r="C18" i="1"/>
  <c r="J13" i="18" l="1"/>
  <c r="I9" i="12" l="1"/>
  <c r="J14" i="18"/>
  <c r="J16" s="1"/>
  <c r="K13" l="1"/>
  <c r="J17"/>
  <c r="J9" i="12" l="1"/>
  <c r="J18" i="18"/>
  <c r="K14"/>
  <c r="K16" s="1"/>
  <c r="K17" l="1"/>
  <c r="L13"/>
  <c r="K18" l="1"/>
  <c r="K9" i="12"/>
  <c r="L14" i="18"/>
  <c r="L16" s="1"/>
  <c r="M13"/>
  <c r="M14" s="1"/>
  <c r="M16" s="1"/>
  <c r="M17" l="1"/>
  <c r="L17"/>
  <c r="M18" l="1"/>
  <c r="L18"/>
</calcChain>
</file>

<file path=xl/sharedStrings.xml><?xml version="1.0" encoding="utf-8"?>
<sst xmlns="http://schemas.openxmlformats.org/spreadsheetml/2006/main" count="448" uniqueCount="142">
  <si>
    <t>Revenue SEO Campaigns</t>
  </si>
  <si>
    <t>Total Revenue</t>
  </si>
  <si>
    <t>Revenue Ad Campaigns</t>
  </si>
  <si>
    <t>Cost of Ads</t>
  </si>
  <si>
    <t>Cost of SEO Campaigns</t>
  </si>
  <si>
    <t>Gross Profit</t>
  </si>
  <si>
    <t>SG&amp;A</t>
  </si>
  <si>
    <t>EBITDA</t>
  </si>
  <si>
    <t>D&amp;A</t>
  </si>
  <si>
    <t>EBIT</t>
  </si>
  <si>
    <t>Interest Expenses</t>
  </si>
  <si>
    <t>EBT</t>
  </si>
  <si>
    <t>Taxes</t>
  </si>
  <si>
    <t>Net Income</t>
  </si>
  <si>
    <t>Q1</t>
  </si>
  <si>
    <t>Q2</t>
  </si>
  <si>
    <t>Q3</t>
  </si>
  <si>
    <t>Q4</t>
  </si>
  <si>
    <t>FY 2015</t>
  </si>
  <si>
    <t>FY 2016</t>
  </si>
  <si>
    <t>$ in 000s</t>
  </si>
  <si>
    <t>Profit &amp; Loss</t>
  </si>
  <si>
    <t>99 Agency ---&gt;</t>
  </si>
  <si>
    <t>Balance Sheet</t>
  </si>
  <si>
    <t>Cash</t>
  </si>
  <si>
    <t>Trade Receivables</t>
  </si>
  <si>
    <t>Inventory</t>
  </si>
  <si>
    <t>Fixed Assets</t>
  </si>
  <si>
    <t>Trade Payables</t>
  </si>
  <si>
    <t>Other assets</t>
  </si>
  <si>
    <t>Financial Liabilities</t>
  </si>
  <si>
    <t>Equity</t>
  </si>
  <si>
    <t>Total Liabilities &amp; Equity</t>
  </si>
  <si>
    <t>Total Assets</t>
  </si>
  <si>
    <t>31Mar
2015</t>
  </si>
  <si>
    <t>30Jun
2015</t>
  </si>
  <si>
    <t>30Sep
2015</t>
  </si>
  <si>
    <t>31Dec
2015</t>
  </si>
  <si>
    <t>31Mar
2016</t>
  </si>
  <si>
    <t>30Jun
2016</t>
  </si>
  <si>
    <t>30Sep
2016</t>
  </si>
  <si>
    <t>31Dec
2016</t>
  </si>
  <si>
    <t>DSO</t>
  </si>
  <si>
    <t>DPO</t>
  </si>
  <si>
    <t>Change in Accounts Receivable</t>
  </si>
  <si>
    <t>Change in Other Assets</t>
  </si>
  <si>
    <t>Change in Trade Payables</t>
  </si>
  <si>
    <t>CAPEX</t>
  </si>
  <si>
    <t>Other Liabilities</t>
  </si>
  <si>
    <t>Change in Other Liabilities</t>
  </si>
  <si>
    <t>Change in Financial Liabilities</t>
  </si>
  <si>
    <t>Changes in Equity</t>
  </si>
  <si>
    <t>Net Cash Flow</t>
  </si>
  <si>
    <t>Cash Flow</t>
  </si>
  <si>
    <t>Beginning value of Fixed Assets</t>
  </si>
  <si>
    <t>Ending Value of Fixed Assets</t>
  </si>
  <si>
    <t>Bottom-up Forecast</t>
  </si>
  <si>
    <t>Client A</t>
  </si>
  <si>
    <t>Client B</t>
  </si>
  <si>
    <t>Client C</t>
  </si>
  <si>
    <t>Number of ad campaigns</t>
  </si>
  <si>
    <t>Other</t>
  </si>
  <si>
    <t>Budget</t>
  </si>
  <si>
    <t>FY 2017</t>
  </si>
  <si>
    <t>Total number of ad campaigns</t>
  </si>
  <si>
    <t>Number of SEO campaigns</t>
  </si>
  <si>
    <t>Total number of SEO campaigns</t>
  </si>
  <si>
    <t>Average revenue per ad campaign</t>
  </si>
  <si>
    <t>Average revenue per SEO campaign</t>
  </si>
  <si>
    <t>Revenue in 000s</t>
  </si>
  <si>
    <t>Average revenue ad campaigns</t>
  </si>
  <si>
    <t>Average revenue SEO campaigns</t>
  </si>
  <si>
    <t>Total revenue SEO campaigns</t>
  </si>
  <si>
    <t>Total revenue ad campagigns</t>
  </si>
  <si>
    <t>Revenue: Bottom - Up</t>
  </si>
  <si>
    <t>Revenue: Top - Down</t>
  </si>
  <si>
    <t>Percentage of people using Internet</t>
  </si>
  <si>
    <t>Country ABC population (million people)</t>
  </si>
  <si>
    <t>Average revenue per internet user (in $)</t>
  </si>
  <si>
    <t>Number of Internet Users  (million people)</t>
  </si>
  <si>
    <t>Total Revenue Internet Industry (in million $)</t>
  </si>
  <si>
    <t>% spent on Agency fees</t>
  </si>
  <si>
    <t>Agency Revenue</t>
  </si>
  <si>
    <t>99 Agency Market Share</t>
  </si>
  <si>
    <t>Var% Y-o-Y</t>
  </si>
  <si>
    <t>Feedback</t>
  </si>
  <si>
    <t>Revenue Forecast</t>
  </si>
  <si>
    <t>Bottom-Up Forecast</t>
  </si>
  <si>
    <t>99 Agency Revenue (in million $)</t>
  </si>
  <si>
    <t>Top-Down Forecast</t>
  </si>
  <si>
    <t>Average Revenue Forecast</t>
  </si>
  <si>
    <t>Previous Year</t>
  </si>
  <si>
    <t>Y-o-Y Growth %</t>
  </si>
  <si>
    <t>Revenue ad campaigns</t>
  </si>
  <si>
    <t>Revenue SEO campaigns</t>
  </si>
  <si>
    <t>Last Year</t>
  </si>
  <si>
    <t>Cost of Sales - Ad Campaigns</t>
  </si>
  <si>
    <t>Cost of Sales - SEO Campaigns</t>
  </si>
  <si>
    <t>Average salary ($ in 000s)</t>
  </si>
  <si>
    <t>Cost of Ad Personnel</t>
  </si>
  <si>
    <t>in '000</t>
  </si>
  <si>
    <t>FY16</t>
  </si>
  <si>
    <t>FY17</t>
  </si>
  <si>
    <t>Average Cost per ad campaign</t>
  </si>
  <si>
    <t>Cost of Ad Campaigns</t>
  </si>
  <si>
    <t>Number of Ad Campaigns</t>
  </si>
  <si>
    <t>Number of Ad Personnel</t>
  </si>
  <si>
    <t>Cost of SEO Personnel</t>
  </si>
  <si>
    <t>Number of SEO Personnel</t>
  </si>
  <si>
    <t>Average Cost per SEO campaign</t>
  </si>
  <si>
    <t>Number of SEO Campaigns</t>
  </si>
  <si>
    <t>Office Rent</t>
  </si>
  <si>
    <t>Legal Fees</t>
  </si>
  <si>
    <t>External Services</t>
  </si>
  <si>
    <t>Administration</t>
  </si>
  <si>
    <t>Staff Training</t>
  </si>
  <si>
    <t>Last Year Actuals</t>
  </si>
  <si>
    <t>fixed fee</t>
  </si>
  <si>
    <t>as a % of Revenues</t>
  </si>
  <si>
    <t>Selling Commissions</t>
  </si>
  <si>
    <t>FY 16</t>
  </si>
  <si>
    <t>FY 17</t>
  </si>
  <si>
    <t>Accounting Services</t>
  </si>
  <si>
    <t>Management Salaries</t>
  </si>
  <si>
    <t>31Mar
2017</t>
  </si>
  <si>
    <t>30Jun
2017</t>
  </si>
  <si>
    <t>30Sep
2017</t>
  </si>
  <si>
    <t>31Dec
2017</t>
  </si>
  <si>
    <t>Total Revenues</t>
  </si>
  <si>
    <t>Capex as a % of Revenues</t>
  </si>
  <si>
    <t>D&amp;A as a % of Beginning value of Fixed Assets</t>
  </si>
  <si>
    <t>Working Capital</t>
  </si>
  <si>
    <t>Cost of Sales</t>
  </si>
  <si>
    <t>DIO</t>
  </si>
  <si>
    <t>Income Statement</t>
  </si>
  <si>
    <t>Interest expenses</t>
  </si>
  <si>
    <t>Interest rate %</t>
  </si>
  <si>
    <t>hh</t>
  </si>
  <si>
    <t>Check</t>
  </si>
  <si>
    <t>Changes in Equity (Dividend Payments, Increase of Equity)</t>
  </si>
  <si>
    <t>Historical ---&gt;</t>
  </si>
  <si>
    <t>Master Budget ---&gt;</t>
  </si>
</sst>
</file>

<file path=xl/styles.xml><?xml version="1.0" encoding="utf-8"?>
<styleSheet xmlns="http://schemas.openxmlformats.org/spreadsheetml/2006/main">
  <numFmts count="7">
    <numFmt numFmtId="164" formatCode="_-* #,##0.00\ _л_в_._-;\-* #,##0.00\ _л_в_._-;_-* &quot;-&quot;??\ _л_в_._-;_-@_-"/>
    <numFmt numFmtId="165" formatCode="_-* #,##0\ _л_в_._-;\-* #,##0\ _л_в_._-;_-* &quot;-&quot;??\ _л_в_._-;_-@_-"/>
    <numFmt numFmtId="166" formatCode="0.0"/>
    <numFmt numFmtId="167" formatCode="_-* #,##0.0\ _л_в_._-;\-* #,##0.0\ _л_в_._-;_-* &quot;-&quot;??\ _л_в_._-;_-@_-"/>
    <numFmt numFmtId="168" formatCode="0.0%"/>
    <numFmt numFmtId="169" formatCode="_(* #,##0_);_(* \(#,##0\);_(* &quot;-&quot;?_);@_l"/>
    <numFmt numFmtId="170" formatCode="_(* #,##0.0_);_(* \(#,##0.0\);_(* &quot;-&quot;?_);@_l"/>
  </numFmts>
  <fonts count="1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9"/>
      <color rgb="FF002060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rgb="FF002060"/>
      <name val="Arial"/>
      <family val="2"/>
      <charset val="204"/>
    </font>
    <font>
      <b/>
      <i/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i/>
      <sz val="9"/>
      <color theme="1"/>
      <name val="Arial"/>
      <family val="2"/>
      <charset val="204"/>
    </font>
    <font>
      <sz val="9"/>
      <color theme="1"/>
      <name val="Arial"/>
      <family val="2"/>
    </font>
    <font>
      <i/>
      <sz val="8"/>
      <color theme="1"/>
      <name val="Arial"/>
      <family val="2"/>
      <charset val="204"/>
    </font>
    <font>
      <i/>
      <sz val="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4" fillId="2" borderId="2" xfId="0" applyFont="1" applyFill="1" applyBorder="1"/>
    <xf numFmtId="165" fontId="2" fillId="2" borderId="0" xfId="1" applyNumberFormat="1" applyFont="1" applyFill="1"/>
    <xf numFmtId="0" fontId="2" fillId="2" borderId="0" xfId="0" applyFont="1" applyFill="1" applyBorder="1"/>
    <xf numFmtId="0" fontId="2" fillId="2" borderId="0" xfId="0" applyFont="1" applyFill="1" applyAlignment="1">
      <alignment horizontal="center"/>
    </xf>
    <xf numFmtId="0" fontId="9" fillId="2" borderId="0" xfId="0" applyFont="1" applyFill="1"/>
    <xf numFmtId="0" fontId="10" fillId="2" borderId="0" xfId="0" applyFont="1" applyFill="1" applyBorder="1"/>
    <xf numFmtId="166" fontId="2" fillId="2" borderId="0" xfId="0" applyNumberFormat="1" applyFont="1" applyFill="1"/>
    <xf numFmtId="0" fontId="2" fillId="3" borderId="0" xfId="0" applyFont="1" applyFill="1"/>
    <xf numFmtId="1" fontId="2" fillId="3" borderId="0" xfId="0" applyNumberFormat="1" applyFont="1" applyFill="1"/>
    <xf numFmtId="0" fontId="8" fillId="2" borderId="0" xfId="0" applyFont="1" applyFill="1"/>
    <xf numFmtId="0" fontId="8" fillId="2" borderId="0" xfId="0" applyFont="1" applyFill="1" applyBorder="1"/>
    <xf numFmtId="3" fontId="2" fillId="2" borderId="0" xfId="0" applyNumberFormat="1" applyFont="1" applyFill="1"/>
    <xf numFmtId="166" fontId="4" fillId="2" borderId="2" xfId="0" applyNumberFormat="1" applyFont="1" applyFill="1" applyBorder="1" applyAlignment="1">
      <alignment horizontal="center"/>
    </xf>
    <xf numFmtId="0" fontId="2" fillId="5" borderId="0" xfId="0" applyFont="1" applyFill="1"/>
    <xf numFmtId="0" fontId="2" fillId="5" borderId="0" xfId="0" applyFont="1" applyFill="1" applyBorder="1"/>
    <xf numFmtId="0" fontId="7" fillId="2" borderId="0" xfId="0" applyFont="1" applyFill="1" applyBorder="1"/>
    <xf numFmtId="0" fontId="2" fillId="2" borderId="0" xfId="0" applyFont="1" applyFill="1" applyBorder="1" applyAlignment="1"/>
    <xf numFmtId="0" fontId="2" fillId="5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9" fontId="2" fillId="2" borderId="0" xfId="3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165" fontId="4" fillId="2" borderId="1" xfId="1" applyNumberFormat="1" applyFont="1" applyFill="1" applyBorder="1" applyAlignment="1">
      <alignment horizontal="center"/>
    </xf>
    <xf numFmtId="0" fontId="13" fillId="2" borderId="0" xfId="0" applyFont="1" applyFill="1"/>
    <xf numFmtId="0" fontId="6" fillId="2" borderId="0" xfId="0" applyFont="1" applyFill="1" applyBorder="1" applyAlignment="1">
      <alignment horizontal="center"/>
    </xf>
    <xf numFmtId="165" fontId="4" fillId="2" borderId="0" xfId="0" applyNumberFormat="1" applyFont="1" applyFill="1" applyBorder="1" applyAlignment="1">
      <alignment horizontal="center"/>
    </xf>
    <xf numFmtId="167" fontId="4" fillId="2" borderId="0" xfId="0" applyNumberFormat="1" applyFont="1" applyFill="1" applyBorder="1" applyAlignment="1">
      <alignment horizontal="center"/>
    </xf>
    <xf numFmtId="168" fontId="2" fillId="2" borderId="0" xfId="3" applyNumberFormat="1" applyFont="1" applyFill="1" applyAlignment="1">
      <alignment horizontal="center"/>
    </xf>
    <xf numFmtId="168" fontId="4" fillId="2" borderId="0" xfId="3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166" fontId="4" fillId="2" borderId="1" xfId="0" applyNumberFormat="1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0" fontId="11" fillId="3" borderId="0" xfId="0" applyFont="1" applyFill="1"/>
    <xf numFmtId="168" fontId="11" fillId="3" borderId="0" xfId="3" applyNumberFormat="1" applyFont="1" applyFill="1" applyAlignment="1">
      <alignment horizontal="center"/>
    </xf>
    <xf numFmtId="0" fontId="4" fillId="3" borderId="1" xfId="0" applyFont="1" applyFill="1" applyBorder="1"/>
    <xf numFmtId="165" fontId="4" fillId="3" borderId="1" xfId="0" applyNumberFormat="1" applyFont="1" applyFill="1" applyBorder="1"/>
    <xf numFmtId="9" fontId="2" fillId="2" borderId="0" xfId="0" applyNumberFormat="1" applyFont="1" applyFill="1"/>
    <xf numFmtId="168" fontId="4" fillId="2" borderId="1" xfId="0" applyNumberFormat="1" applyFont="1" applyFill="1" applyBorder="1"/>
    <xf numFmtId="0" fontId="4" fillId="2" borderId="0" xfId="0" applyFont="1" applyFill="1" applyBorder="1"/>
    <xf numFmtId="168" fontId="4" fillId="2" borderId="0" xfId="0" applyNumberFormat="1" applyFont="1" applyFill="1" applyBorder="1"/>
    <xf numFmtId="9" fontId="2" fillId="2" borderId="0" xfId="0" applyNumberFormat="1" applyFont="1" applyFill="1" applyBorder="1"/>
    <xf numFmtId="0" fontId="6" fillId="2" borderId="4" xfId="0" applyFont="1" applyFill="1" applyBorder="1"/>
    <xf numFmtId="0" fontId="7" fillId="2" borderId="1" xfId="0" applyFont="1" applyFill="1" applyBorder="1"/>
    <xf numFmtId="169" fontId="14" fillId="2" borderId="0" xfId="0" applyNumberFormat="1" applyFont="1" applyFill="1"/>
    <xf numFmtId="170" fontId="14" fillId="2" borderId="0" xfId="0" applyNumberFormat="1" applyFont="1" applyFill="1"/>
    <xf numFmtId="169" fontId="4" fillId="2" borderId="1" xfId="0" applyNumberFormat="1" applyFont="1" applyFill="1" applyBorder="1"/>
    <xf numFmtId="0" fontId="2" fillId="2" borderId="0" xfId="0" applyFont="1" applyFill="1" applyBorder="1" applyAlignment="1">
      <alignment horizontal="center"/>
    </xf>
    <xf numFmtId="169" fontId="14" fillId="2" borderId="0" xfId="0" applyNumberFormat="1" applyFont="1" applyFill="1" applyBorder="1"/>
    <xf numFmtId="170" fontId="14" fillId="2" borderId="0" xfId="0" applyNumberFormat="1" applyFont="1" applyFill="1" applyBorder="1"/>
    <xf numFmtId="169" fontId="4" fillId="2" borderId="0" xfId="0" applyNumberFormat="1" applyFont="1" applyFill="1" applyBorder="1" applyAlignment="1">
      <alignment horizontal="center"/>
    </xf>
    <xf numFmtId="169" fontId="6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wrapText="1"/>
    </xf>
    <xf numFmtId="0" fontId="6" fillId="2" borderId="4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 wrapText="1"/>
    </xf>
    <xf numFmtId="0" fontId="15" fillId="2" borderId="0" xfId="0" applyFont="1" applyFill="1"/>
    <xf numFmtId="0" fontId="6" fillId="2" borderId="0" xfId="0" applyFont="1" applyFill="1" applyBorder="1"/>
    <xf numFmtId="169" fontId="2" fillId="2" borderId="0" xfId="0" applyNumberFormat="1" applyFont="1" applyFill="1"/>
    <xf numFmtId="168" fontId="2" fillId="2" borderId="0" xfId="3" applyNumberFormat="1" applyFont="1" applyFill="1"/>
    <xf numFmtId="168" fontId="2" fillId="2" borderId="0" xfId="0" applyNumberFormat="1" applyFont="1" applyFill="1"/>
    <xf numFmtId="1" fontId="2" fillId="2" borderId="0" xfId="0" applyNumberFormat="1" applyFont="1" applyFill="1"/>
    <xf numFmtId="168" fontId="15" fillId="2" borderId="0" xfId="3" applyNumberFormat="1" applyFont="1" applyFill="1"/>
    <xf numFmtId="0" fontId="6" fillId="2" borderId="4" xfId="0" applyFont="1" applyFill="1" applyBorder="1" applyAlignment="1">
      <alignment horizontal="left"/>
    </xf>
    <xf numFmtId="0" fontId="12" fillId="2" borderId="0" xfId="0" applyFont="1" applyFill="1" applyAlignment="1"/>
    <xf numFmtId="166" fontId="13" fillId="2" borderId="0" xfId="0" applyNumberFormat="1" applyFont="1" applyFill="1"/>
    <xf numFmtId="3" fontId="13" fillId="2" borderId="0" xfId="0" applyNumberFormat="1" applyFont="1" applyFill="1"/>
    <xf numFmtId="3" fontId="2" fillId="3" borderId="0" xfId="0" applyNumberFormat="1" applyFont="1" applyFill="1"/>
    <xf numFmtId="169" fontId="4" fillId="3" borderId="1" xfId="0" applyNumberFormat="1" applyFont="1" applyFill="1" applyBorder="1"/>
    <xf numFmtId="169" fontId="2" fillId="3" borderId="0" xfId="0" applyNumberFormat="1" applyFont="1" applyFill="1"/>
    <xf numFmtId="3" fontId="8" fillId="2" borderId="0" xfId="2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169" fontId="14" fillId="2" borderId="0" xfId="0" applyNumberFormat="1" applyFont="1" applyFill="1" applyAlignment="1">
      <alignment horizontal="right"/>
    </xf>
    <xf numFmtId="169" fontId="14" fillId="3" borderId="0" xfId="0" applyNumberFormat="1" applyFont="1" applyFill="1" applyAlignment="1">
      <alignment horizontal="right"/>
    </xf>
    <xf numFmtId="3" fontId="8" fillId="3" borderId="0" xfId="2" applyNumberFormat="1" applyFont="1" applyFill="1" applyBorder="1" applyAlignment="1">
      <alignment horizontal="right"/>
    </xf>
    <xf numFmtId="3" fontId="10" fillId="2" borderId="0" xfId="2" applyNumberFormat="1" applyFont="1" applyFill="1" applyBorder="1" applyAlignment="1">
      <alignment horizontal="right"/>
    </xf>
    <xf numFmtId="3" fontId="10" fillId="3" borderId="0" xfId="2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 wrapText="1"/>
    </xf>
    <xf numFmtId="169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0" fillId="2" borderId="0" xfId="0" applyFill="1" applyBorder="1"/>
    <xf numFmtId="0" fontId="12" fillId="2" borderId="0" xfId="0" applyFont="1" applyFill="1" applyBorder="1" applyAlignment="1">
      <alignment horizontal="center"/>
    </xf>
    <xf numFmtId="0" fontId="16" fillId="6" borderId="0" xfId="0" applyFont="1" applyFill="1"/>
    <xf numFmtId="169" fontId="0" fillId="6" borderId="0" xfId="0" applyNumberFormat="1" applyFill="1"/>
    <xf numFmtId="0" fontId="0" fillId="6" borderId="0" xfId="0" applyFill="1" applyBorder="1"/>
    <xf numFmtId="0" fontId="6" fillId="2" borderId="0" xfId="0" applyFont="1" applyFill="1" applyBorder="1" applyAlignment="1">
      <alignment horizontal="right"/>
    </xf>
    <xf numFmtId="169" fontId="14" fillId="3" borderId="0" xfId="0" applyNumberFormat="1" applyFont="1" applyFill="1"/>
    <xf numFmtId="170" fontId="14" fillId="3" borderId="0" xfId="0" applyNumberFormat="1" applyFont="1" applyFill="1"/>
    <xf numFmtId="168" fontId="6" fillId="2" borderId="4" xfId="3" applyNumberFormat="1" applyFont="1" applyFill="1" applyBorder="1" applyAlignment="1">
      <alignment horizontal="right"/>
    </xf>
    <xf numFmtId="168" fontId="14" fillId="2" borderId="0" xfId="3" applyNumberFormat="1" applyFont="1" applyFill="1"/>
    <xf numFmtId="168" fontId="4" fillId="2" borderId="2" xfId="3" applyNumberFormat="1" applyFont="1" applyFill="1" applyBorder="1"/>
    <xf numFmtId="0" fontId="6" fillId="3" borderId="4" xfId="0" applyFont="1" applyFill="1" applyBorder="1" applyAlignment="1">
      <alignment horizontal="right"/>
    </xf>
    <xf numFmtId="0" fontId="6" fillId="2" borderId="5" xfId="0" applyFont="1" applyFill="1" applyBorder="1"/>
    <xf numFmtId="169" fontId="6" fillId="2" borderId="5" xfId="0" applyNumberFormat="1" applyFont="1" applyFill="1" applyBorder="1" applyAlignment="1">
      <alignment horizontal="right"/>
    </xf>
    <xf numFmtId="169" fontId="6" fillId="3" borderId="5" xfId="0" applyNumberFormat="1" applyFont="1" applyFill="1" applyBorder="1" applyAlignment="1">
      <alignment horizontal="right"/>
    </xf>
    <xf numFmtId="170" fontId="6" fillId="2" borderId="5" xfId="0" applyNumberFormat="1" applyFont="1" applyFill="1" applyBorder="1" applyAlignment="1">
      <alignment horizontal="right"/>
    </xf>
    <xf numFmtId="170" fontId="6" fillId="3" borderId="5" xfId="0" applyNumberFormat="1" applyFont="1" applyFill="1" applyBorder="1" applyAlignment="1">
      <alignment horizontal="right"/>
    </xf>
    <xf numFmtId="169" fontId="6" fillId="2" borderId="0" xfId="0" applyNumberFormat="1" applyFont="1" applyFill="1" applyBorder="1" applyAlignment="1">
      <alignment horizontal="right"/>
    </xf>
    <xf numFmtId="164" fontId="14" fillId="2" borderId="0" xfId="0" applyNumberFormat="1" applyFont="1" applyFill="1"/>
    <xf numFmtId="0" fontId="12" fillId="4" borderId="0" xfId="0" applyFont="1" applyFill="1" applyAlignment="1">
      <alignment horizontal="center"/>
    </xf>
  </cellXfs>
  <cellStyles count="4">
    <cellStyle name="Comma" xfId="1" builtinId="3"/>
    <cellStyle name="Normal" xfId="0" builtinId="0"/>
    <cellStyle name="Normal 2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7"/>
  <sheetViews>
    <sheetView workbookViewId="0">
      <selection activeCell="D47" sqref="D47"/>
    </sheetView>
  </sheetViews>
  <sheetFormatPr defaultColWidth="9.140625" defaultRowHeight="12"/>
  <cols>
    <col min="1" max="1" width="2" style="2" customWidth="1"/>
    <col min="2" max="16384" width="9.140625" style="2"/>
  </cols>
  <sheetData>
    <row r="17" spans="2:2" ht="50.25">
      <c r="B17" s="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2060"/>
  </sheetPr>
  <dimension ref="B17"/>
  <sheetViews>
    <sheetView workbookViewId="0">
      <selection activeCell="B17" sqref="B17"/>
    </sheetView>
  </sheetViews>
  <sheetFormatPr defaultColWidth="9.140625" defaultRowHeight="15"/>
  <cols>
    <col min="1" max="1" width="2.42578125" style="1" customWidth="1"/>
    <col min="2" max="16384" width="9.140625" style="1"/>
  </cols>
  <sheetData>
    <row r="17" spans="2:2" ht="50.25">
      <c r="B17" s="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9"/>
  <sheetViews>
    <sheetView workbookViewId="0"/>
  </sheetViews>
  <sheetFormatPr defaultColWidth="9.140625" defaultRowHeight="12"/>
  <cols>
    <col min="1" max="1" width="2" style="2" customWidth="1"/>
    <col min="2" max="2" width="22.140625" style="2" bestFit="1" customWidth="1"/>
    <col min="3" max="6" width="11.140625" style="2" customWidth="1"/>
    <col min="7" max="7" width="10.5703125" style="2" customWidth="1"/>
    <col min="8" max="12" width="11.140625" style="2" customWidth="1"/>
    <col min="13" max="16384" width="9.140625" style="2"/>
  </cols>
  <sheetData>
    <row r="1" spans="2:13" ht="15.75">
      <c r="B1" s="3" t="s">
        <v>21</v>
      </c>
      <c r="C1" s="3"/>
      <c r="D1" s="3"/>
      <c r="E1" s="3"/>
      <c r="F1" s="3"/>
    </row>
    <row r="4" spans="2:13" ht="12.75" thickBot="1">
      <c r="B4" s="46" t="s">
        <v>20</v>
      </c>
      <c r="C4" s="57" t="s">
        <v>14</v>
      </c>
      <c r="D4" s="57" t="s">
        <v>15</v>
      </c>
      <c r="E4" s="57" t="s">
        <v>16</v>
      </c>
      <c r="F4" s="57" t="s">
        <v>17</v>
      </c>
      <c r="G4" s="94" t="s">
        <v>18</v>
      </c>
      <c r="H4" s="57" t="s">
        <v>14</v>
      </c>
      <c r="I4" s="57" t="s">
        <v>15</v>
      </c>
      <c r="J4" s="57" t="s">
        <v>16</v>
      </c>
      <c r="K4" s="57" t="s">
        <v>17</v>
      </c>
      <c r="L4" s="94" t="s">
        <v>19</v>
      </c>
      <c r="M4" s="88"/>
    </row>
    <row r="5" spans="2:13">
      <c r="B5" s="2" t="s">
        <v>2</v>
      </c>
      <c r="C5" s="48">
        <v>13794</v>
      </c>
      <c r="D5" s="48">
        <v>16528</v>
      </c>
      <c r="E5" s="48">
        <v>13674</v>
      </c>
      <c r="F5" s="48">
        <v>19418</v>
      </c>
      <c r="G5" s="89">
        <f>SUM(C5:F5)</f>
        <v>63414</v>
      </c>
      <c r="H5" s="2">
        <v>16413</v>
      </c>
      <c r="I5" s="48">
        <v>18926</v>
      </c>
      <c r="J5" s="48">
        <v>16498</v>
      </c>
      <c r="K5" s="48">
        <v>21432</v>
      </c>
      <c r="L5" s="89">
        <f>SUM(H5:K5)</f>
        <v>73269</v>
      </c>
      <c r="M5" s="52"/>
    </row>
    <row r="6" spans="2:13">
      <c r="B6" s="2" t="s">
        <v>0</v>
      </c>
      <c r="C6" s="16">
        <v>6682</v>
      </c>
      <c r="D6" s="16">
        <v>8140</v>
      </c>
      <c r="E6" s="16">
        <v>5231</v>
      </c>
      <c r="F6" s="16">
        <v>8091</v>
      </c>
      <c r="G6" s="70">
        <f>SUM(C6:F6)</f>
        <v>28144</v>
      </c>
      <c r="H6" s="16">
        <v>6177</v>
      </c>
      <c r="I6" s="16">
        <v>7460</v>
      </c>
      <c r="J6" s="16">
        <v>5803</v>
      </c>
      <c r="K6" s="16">
        <v>9023</v>
      </c>
      <c r="L6" s="70">
        <f>SUM(H6:K6)</f>
        <v>28463</v>
      </c>
    </row>
    <row r="7" spans="2:13">
      <c r="B7" s="47" t="s">
        <v>1</v>
      </c>
      <c r="C7" s="50">
        <f>SUM(C5:C6)</f>
        <v>20476</v>
      </c>
      <c r="D7" s="50">
        <f t="shared" ref="D7:F7" si="0">SUM(D5:D6)</f>
        <v>24668</v>
      </c>
      <c r="E7" s="50">
        <f t="shared" si="0"/>
        <v>18905</v>
      </c>
      <c r="F7" s="50">
        <f t="shared" si="0"/>
        <v>27509</v>
      </c>
      <c r="G7" s="71">
        <f>SUM(G5:G6)</f>
        <v>91558</v>
      </c>
      <c r="H7" s="50">
        <f>SUM(H5:H6)</f>
        <v>22590</v>
      </c>
      <c r="I7" s="50">
        <f t="shared" ref="I7" si="1">SUM(I5:I6)</f>
        <v>26386</v>
      </c>
      <c r="J7" s="50">
        <f t="shared" ref="J7" si="2">SUM(J5:J6)</f>
        <v>22301</v>
      </c>
      <c r="K7" s="50">
        <f t="shared" ref="K7" si="3">SUM(K5:K6)</f>
        <v>30455</v>
      </c>
      <c r="L7" s="71">
        <f>SUM(L5:L6)</f>
        <v>101732</v>
      </c>
    </row>
    <row r="8" spans="2:13">
      <c r="B8" s="2" t="s">
        <v>3</v>
      </c>
      <c r="C8" s="48">
        <v>-7306</v>
      </c>
      <c r="D8" s="48">
        <v>-8278</v>
      </c>
      <c r="E8" s="48">
        <v>-7199</v>
      </c>
      <c r="F8" s="48">
        <v>-10851</v>
      </c>
      <c r="G8" s="72">
        <f t="shared" ref="G8:G9" si="4">SUM(C8:F8)</f>
        <v>-33634</v>
      </c>
      <c r="H8" s="48">
        <v>-8816</v>
      </c>
      <c r="I8" s="48">
        <v>-10273</v>
      </c>
      <c r="J8" s="48">
        <v>-9390</v>
      </c>
      <c r="K8" s="48">
        <v>-12034</v>
      </c>
      <c r="L8" s="72">
        <f t="shared" ref="L8:L9" si="5">SUM(H8:K8)</f>
        <v>-40513</v>
      </c>
    </row>
    <row r="9" spans="2:13">
      <c r="B9" s="2" t="s">
        <v>4</v>
      </c>
      <c r="C9" s="48">
        <v>-4545</v>
      </c>
      <c r="D9" s="48">
        <v>-5507</v>
      </c>
      <c r="E9" s="48">
        <v>-3819</v>
      </c>
      <c r="F9" s="48">
        <f>-4934</f>
        <v>-4934</v>
      </c>
      <c r="G9" s="72">
        <f t="shared" si="4"/>
        <v>-18805</v>
      </c>
      <c r="H9" s="48">
        <v>-3777</v>
      </c>
      <c r="I9" s="48">
        <v>-4544</v>
      </c>
      <c r="J9" s="48">
        <v>-4263</v>
      </c>
      <c r="K9" s="48">
        <v>-6034</v>
      </c>
      <c r="L9" s="72">
        <f t="shared" si="5"/>
        <v>-18618</v>
      </c>
    </row>
    <row r="10" spans="2:13">
      <c r="B10" s="47" t="s">
        <v>5</v>
      </c>
      <c r="C10" s="50">
        <f>SUM(C7:C9)</f>
        <v>8625</v>
      </c>
      <c r="D10" s="50">
        <f t="shared" ref="D10:F10" si="6">SUM(D7:D9)</f>
        <v>10883</v>
      </c>
      <c r="E10" s="50">
        <f t="shared" si="6"/>
        <v>7887</v>
      </c>
      <c r="F10" s="50">
        <f t="shared" si="6"/>
        <v>11724</v>
      </c>
      <c r="G10" s="71">
        <f>SUM(G7:G9)</f>
        <v>39119</v>
      </c>
      <c r="H10" s="50">
        <f>SUM(H7:H9)</f>
        <v>9997</v>
      </c>
      <c r="I10" s="50">
        <f t="shared" ref="I10" si="7">SUM(I7:I9)</f>
        <v>11569</v>
      </c>
      <c r="J10" s="50">
        <f t="shared" ref="J10" si="8">SUM(J7:J9)</f>
        <v>8648</v>
      </c>
      <c r="K10" s="50">
        <f t="shared" ref="K10" si="9">SUM(K7:K9)</f>
        <v>12387</v>
      </c>
      <c r="L10" s="71">
        <f>SUM(L7:L9)</f>
        <v>42601</v>
      </c>
    </row>
    <row r="11" spans="2:13">
      <c r="B11" s="2" t="s">
        <v>6</v>
      </c>
      <c r="C11" s="48">
        <v>-5171</v>
      </c>
      <c r="D11" s="48">
        <v>-5507</v>
      </c>
      <c r="E11" s="48">
        <v>-5390</v>
      </c>
      <c r="F11" s="48">
        <v>-6579</v>
      </c>
      <c r="G11" s="72">
        <f>SUM(C11:F11)</f>
        <v>-22647</v>
      </c>
      <c r="H11" s="48">
        <v>-5696</v>
      </c>
      <c r="I11" s="48">
        <v>-5498</v>
      </c>
      <c r="J11" s="48">
        <v>-5640</v>
      </c>
      <c r="K11" s="48">
        <v>-6231</v>
      </c>
      <c r="L11" s="72">
        <f>SUM(H11:K11)</f>
        <v>-23065</v>
      </c>
    </row>
    <row r="12" spans="2:13">
      <c r="B12" s="47" t="s">
        <v>7</v>
      </c>
      <c r="C12" s="50">
        <f>SUM(C10:C11)</f>
        <v>3454</v>
      </c>
      <c r="D12" s="50">
        <f t="shared" ref="D12:F12" si="10">SUM(D10:D11)</f>
        <v>5376</v>
      </c>
      <c r="E12" s="50">
        <f t="shared" si="10"/>
        <v>2497</v>
      </c>
      <c r="F12" s="50">
        <f t="shared" si="10"/>
        <v>5145</v>
      </c>
      <c r="G12" s="71">
        <f>SUM(G10:G11)</f>
        <v>16472</v>
      </c>
      <c r="H12" s="50">
        <f>SUM(H10:H11)</f>
        <v>4301</v>
      </c>
      <c r="I12" s="50">
        <f t="shared" ref="I12" si="11">SUM(I10:I11)</f>
        <v>6071</v>
      </c>
      <c r="J12" s="50">
        <f t="shared" ref="J12" si="12">SUM(J10:J11)</f>
        <v>3008</v>
      </c>
      <c r="K12" s="50">
        <f t="shared" ref="K12" si="13">SUM(K10:K11)</f>
        <v>6156</v>
      </c>
      <c r="L12" s="71">
        <f>SUM(L10:L11)</f>
        <v>19536</v>
      </c>
    </row>
    <row r="13" spans="2:13">
      <c r="B13" s="2" t="s">
        <v>8</v>
      </c>
      <c r="C13" s="48">
        <v>-82</v>
      </c>
      <c r="D13" s="48">
        <v>-81</v>
      </c>
      <c r="E13" s="48">
        <v>-83</v>
      </c>
      <c r="F13" s="48">
        <v>-89</v>
      </c>
      <c r="G13" s="72">
        <f>SUM(C13:F13)</f>
        <v>-335</v>
      </c>
      <c r="H13" s="48">
        <v>-85</v>
      </c>
      <c r="I13" s="48">
        <v>-85</v>
      </c>
      <c r="J13" s="48">
        <v>-85</v>
      </c>
      <c r="K13" s="48">
        <v>-85</v>
      </c>
      <c r="L13" s="72">
        <f>SUM(H13:K13)</f>
        <v>-340</v>
      </c>
    </row>
    <row r="14" spans="2:13">
      <c r="B14" s="47" t="s">
        <v>9</v>
      </c>
      <c r="C14" s="50">
        <f>SUM(C12:C13)</f>
        <v>3372</v>
      </c>
      <c r="D14" s="50">
        <f t="shared" ref="D14:F14" si="14">SUM(D12:D13)</f>
        <v>5295</v>
      </c>
      <c r="E14" s="50">
        <f t="shared" si="14"/>
        <v>2414</v>
      </c>
      <c r="F14" s="50">
        <f t="shared" si="14"/>
        <v>5056</v>
      </c>
      <c r="G14" s="71">
        <f>+SUM(G12:G13)</f>
        <v>16137</v>
      </c>
      <c r="H14" s="50">
        <f>SUM(H12:H13)</f>
        <v>4216</v>
      </c>
      <c r="I14" s="50">
        <f t="shared" ref="I14" si="15">SUM(I12:I13)</f>
        <v>5986</v>
      </c>
      <c r="J14" s="50">
        <f t="shared" ref="J14" si="16">SUM(J12:J13)</f>
        <v>2923</v>
      </c>
      <c r="K14" s="50">
        <f t="shared" ref="K14" si="17">SUM(K12:K13)</f>
        <v>6071</v>
      </c>
      <c r="L14" s="71">
        <f>+SUM(L12:L13)</f>
        <v>19196</v>
      </c>
    </row>
    <row r="15" spans="2:13">
      <c r="B15" s="2" t="s">
        <v>10</v>
      </c>
      <c r="C15" s="48">
        <v>-120</v>
      </c>
      <c r="D15" s="48">
        <v>-120</v>
      </c>
      <c r="E15" s="48">
        <v>-120</v>
      </c>
      <c r="F15" s="48">
        <v>-120</v>
      </c>
      <c r="G15" s="72">
        <f>SUM(C15:F15)</f>
        <v>-480</v>
      </c>
      <c r="H15" s="48">
        <v>-234</v>
      </c>
      <c r="I15" s="48">
        <v>-234</v>
      </c>
      <c r="J15" s="48">
        <v>-234</v>
      </c>
      <c r="K15" s="48">
        <v>-234</v>
      </c>
      <c r="L15" s="72">
        <f>SUM(H15:K15)</f>
        <v>-936</v>
      </c>
    </row>
    <row r="16" spans="2:13">
      <c r="B16" s="47" t="s">
        <v>11</v>
      </c>
      <c r="C16" s="50">
        <f>SUM(C14:C15)</f>
        <v>3252</v>
      </c>
      <c r="D16" s="50">
        <f t="shared" ref="D16:F16" si="18">SUM(D14:D15)</f>
        <v>5175</v>
      </c>
      <c r="E16" s="50">
        <f t="shared" si="18"/>
        <v>2294</v>
      </c>
      <c r="F16" s="50">
        <f t="shared" si="18"/>
        <v>4936</v>
      </c>
      <c r="G16" s="71">
        <f>SUM(G14:G15)</f>
        <v>15657</v>
      </c>
      <c r="H16" s="50">
        <f>SUM(H14:H15)</f>
        <v>3982</v>
      </c>
      <c r="I16" s="50">
        <f t="shared" ref="I16" si="19">SUM(I14:I15)</f>
        <v>5752</v>
      </c>
      <c r="J16" s="50">
        <f t="shared" ref="J16" si="20">SUM(J14:J15)</f>
        <v>2689</v>
      </c>
      <c r="K16" s="50">
        <f t="shared" ref="K16" si="21">SUM(K14:K15)</f>
        <v>5837</v>
      </c>
      <c r="L16" s="71">
        <f>SUM(L14:L15)</f>
        <v>18260</v>
      </c>
    </row>
    <row r="17" spans="2:12">
      <c r="B17" s="2" t="s">
        <v>12</v>
      </c>
      <c r="C17" s="48">
        <f>-C16*0.1</f>
        <v>-325.20000000000005</v>
      </c>
      <c r="D17" s="48">
        <f t="shared" ref="D17:F17" si="22">-D16*0.1</f>
        <v>-517.5</v>
      </c>
      <c r="E17" s="48">
        <f t="shared" si="22"/>
        <v>-229.4</v>
      </c>
      <c r="F17" s="48">
        <f t="shared" si="22"/>
        <v>-493.6</v>
      </c>
      <c r="G17" s="72">
        <f>SUM(C17:F17)</f>
        <v>-1565.7000000000003</v>
      </c>
      <c r="H17" s="48">
        <f>-H16*0.1</f>
        <v>-398.20000000000005</v>
      </c>
      <c r="I17" s="48">
        <f t="shared" ref="I17" si="23">-I16*0.1</f>
        <v>-575.20000000000005</v>
      </c>
      <c r="J17" s="48">
        <f t="shared" ref="J17" si="24">-J16*0.1</f>
        <v>-268.90000000000003</v>
      </c>
      <c r="K17" s="48">
        <f t="shared" ref="K17" si="25">-K16*0.1</f>
        <v>-583.70000000000005</v>
      </c>
      <c r="L17" s="72">
        <f>SUM(H17:K17)</f>
        <v>-1826.0000000000002</v>
      </c>
    </row>
    <row r="18" spans="2:12" ht="12.75" thickBot="1">
      <c r="B18" s="95" t="s">
        <v>13</v>
      </c>
      <c r="C18" s="96">
        <f>SUM(C16:C17)</f>
        <v>2926.8</v>
      </c>
      <c r="D18" s="96">
        <f t="shared" ref="D18:F18" si="26">SUM(D16:D17)</f>
        <v>4657.5</v>
      </c>
      <c r="E18" s="96">
        <f t="shared" si="26"/>
        <v>2064.6</v>
      </c>
      <c r="F18" s="96">
        <f t="shared" si="26"/>
        <v>4442.3999999999996</v>
      </c>
      <c r="G18" s="97">
        <f>SUM(G16:G17)</f>
        <v>14091.3</v>
      </c>
      <c r="H18" s="96">
        <f>SUM(H16:H17)</f>
        <v>3583.8</v>
      </c>
      <c r="I18" s="96">
        <f t="shared" ref="I18" si="27">SUM(I16:I17)</f>
        <v>5176.8</v>
      </c>
      <c r="J18" s="96">
        <f t="shared" ref="J18" si="28">SUM(J16:J17)</f>
        <v>2420.1</v>
      </c>
      <c r="K18" s="96">
        <f t="shared" ref="K18" si="29">SUM(K16:K17)</f>
        <v>5253.3</v>
      </c>
      <c r="L18" s="97">
        <f>SUM(L16:L17)</f>
        <v>16434</v>
      </c>
    </row>
    <row r="19" spans="2:12">
      <c r="G19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J27"/>
  <sheetViews>
    <sheetView workbookViewId="0">
      <selection activeCell="G52" sqref="G52"/>
    </sheetView>
  </sheetViews>
  <sheetFormatPr defaultColWidth="9.140625" defaultRowHeight="12"/>
  <cols>
    <col min="1" max="1" width="2" style="2" customWidth="1"/>
    <col min="2" max="2" width="19.85546875" style="2" bestFit="1" customWidth="1"/>
    <col min="3" max="16384" width="9.140625" style="2"/>
  </cols>
  <sheetData>
    <row r="1" spans="2:10" ht="15.75">
      <c r="B1" s="3" t="s">
        <v>23</v>
      </c>
    </row>
    <row r="5" spans="2:10" ht="24.75" thickBot="1">
      <c r="B5" s="46" t="s">
        <v>20</v>
      </c>
      <c r="C5" s="58" t="s">
        <v>34</v>
      </c>
      <c r="D5" s="58" t="s">
        <v>35</v>
      </c>
      <c r="E5" s="58" t="s">
        <v>36</v>
      </c>
      <c r="F5" s="58" t="s">
        <v>37</v>
      </c>
      <c r="G5" s="58" t="s">
        <v>38</v>
      </c>
      <c r="H5" s="58" t="s">
        <v>39</v>
      </c>
      <c r="I5" s="58" t="s">
        <v>40</v>
      </c>
      <c r="J5" s="58" t="s">
        <v>41</v>
      </c>
    </row>
    <row r="6" spans="2:10">
      <c r="B6" s="2" t="s">
        <v>24</v>
      </c>
      <c r="C6" s="48">
        <v>413.82</v>
      </c>
      <c r="D6" s="48">
        <v>495.84</v>
      </c>
      <c r="E6" s="48">
        <v>410.21999999999997</v>
      </c>
      <c r="F6" s="48">
        <v>582.54</v>
      </c>
      <c r="G6" s="73">
        <v>492.39</v>
      </c>
      <c r="H6" s="73">
        <v>567.78</v>
      </c>
      <c r="I6" s="73">
        <v>494.94</v>
      </c>
      <c r="J6" s="73">
        <v>642.95999999999992</v>
      </c>
    </row>
    <row r="7" spans="2:10">
      <c r="B7" s="2" t="s">
        <v>25</v>
      </c>
      <c r="C7" s="48">
        <v>18044</v>
      </c>
      <c r="D7" s="48">
        <v>18070</v>
      </c>
      <c r="E7" s="48">
        <v>17834</v>
      </c>
      <c r="F7" s="48">
        <v>23838</v>
      </c>
      <c r="G7" s="73">
        <v>25144</v>
      </c>
      <c r="H7" s="73">
        <v>25014</v>
      </c>
      <c r="I7" s="73">
        <v>22868</v>
      </c>
      <c r="J7" s="73">
        <v>24231</v>
      </c>
    </row>
    <row r="8" spans="2:10">
      <c r="B8" s="2" t="s">
        <v>26</v>
      </c>
      <c r="C8" s="48">
        <v>0</v>
      </c>
      <c r="D8" s="48">
        <v>0</v>
      </c>
      <c r="E8" s="48">
        <v>0</v>
      </c>
      <c r="F8" s="48">
        <v>0</v>
      </c>
      <c r="G8" s="73">
        <v>0</v>
      </c>
      <c r="H8" s="73">
        <v>0</v>
      </c>
      <c r="I8" s="73">
        <v>0</v>
      </c>
      <c r="J8" s="73">
        <v>0</v>
      </c>
    </row>
    <row r="9" spans="2:10" ht="3.75" customHeight="1">
      <c r="C9" s="73"/>
      <c r="D9" s="73"/>
      <c r="E9" s="73"/>
      <c r="F9" s="73"/>
      <c r="G9" s="73"/>
      <c r="H9" s="73"/>
      <c r="I9" s="73"/>
      <c r="J9" s="73"/>
    </row>
    <row r="10" spans="2:10">
      <c r="B10" s="2" t="s">
        <v>27</v>
      </c>
      <c r="C10" s="73">
        <v>1286</v>
      </c>
      <c r="D10" s="73">
        <v>1329</v>
      </c>
      <c r="E10" s="73">
        <v>1386</v>
      </c>
      <c r="F10" s="73">
        <v>1381</v>
      </c>
      <c r="G10" s="73">
        <v>1339</v>
      </c>
      <c r="H10" s="73">
        <v>1283</v>
      </c>
      <c r="I10" s="73">
        <v>1288</v>
      </c>
      <c r="J10" s="73">
        <v>1313</v>
      </c>
    </row>
    <row r="11" spans="2:10">
      <c r="B11" s="2" t="s">
        <v>29</v>
      </c>
      <c r="C11" s="73">
        <f>6684-0.279999999998836</f>
        <v>6683.7200000000012</v>
      </c>
      <c r="D11" s="73">
        <f>8541+0.640000000010332</f>
        <v>8541.6400000000103</v>
      </c>
      <c r="E11" s="73">
        <f>11559+0.119999999998981</f>
        <v>11559.119999999999</v>
      </c>
      <c r="F11" s="73">
        <f>8159-0.160000000003492</f>
        <v>8158.8399999999965</v>
      </c>
      <c r="G11" s="73">
        <f>8446-0.559999999997672</f>
        <v>8445.4400000000023</v>
      </c>
      <c r="H11" s="73">
        <f>11170-0.119999999995343</f>
        <v>11169.880000000005</v>
      </c>
      <c r="I11" s="73">
        <f>14713+0.239999999997963</f>
        <v>14713.239999999998</v>
      </c>
      <c r="J11" s="73">
        <f>12545+0.160000000003492</f>
        <v>12545.160000000003</v>
      </c>
    </row>
    <row r="12" spans="2:10" ht="3.75" customHeight="1">
      <c r="C12" s="73"/>
      <c r="D12" s="73"/>
      <c r="E12" s="73"/>
      <c r="F12" s="73"/>
      <c r="G12" s="73"/>
      <c r="H12" s="73"/>
      <c r="I12" s="73"/>
      <c r="J12" s="73"/>
    </row>
    <row r="13" spans="2:10" ht="12.75" thickBot="1">
      <c r="B13" s="95" t="s">
        <v>33</v>
      </c>
      <c r="C13" s="96">
        <f>SUM(C6:C12)</f>
        <v>26427.54</v>
      </c>
      <c r="D13" s="96">
        <f t="shared" ref="D13:J13" si="0">SUM(D6:D12)</f>
        <v>28436.48000000001</v>
      </c>
      <c r="E13" s="96">
        <f t="shared" si="0"/>
        <v>31189.34</v>
      </c>
      <c r="F13" s="96">
        <f t="shared" si="0"/>
        <v>33960.379999999997</v>
      </c>
      <c r="G13" s="96">
        <f t="shared" si="0"/>
        <v>35420.83</v>
      </c>
      <c r="H13" s="96">
        <f t="shared" si="0"/>
        <v>38034.660000000003</v>
      </c>
      <c r="I13" s="96">
        <f t="shared" si="0"/>
        <v>39364.179999999993</v>
      </c>
      <c r="J13" s="96">
        <f t="shared" si="0"/>
        <v>38732.120000000003</v>
      </c>
    </row>
    <row r="14" spans="2:10">
      <c r="C14" s="74"/>
      <c r="D14" s="74"/>
      <c r="E14" s="74"/>
      <c r="F14" s="74"/>
      <c r="G14" s="74"/>
      <c r="H14" s="74"/>
      <c r="I14" s="74"/>
      <c r="J14" s="74"/>
    </row>
    <row r="15" spans="2:10">
      <c r="B15" s="2" t="s">
        <v>28</v>
      </c>
      <c r="C15" s="73">
        <v>15125</v>
      </c>
      <c r="D15" s="73">
        <v>14949</v>
      </c>
      <c r="E15" s="73">
        <v>15021</v>
      </c>
      <c r="F15" s="73">
        <v>20478</v>
      </c>
      <c r="G15" s="73">
        <v>14938</v>
      </c>
      <c r="H15" s="73">
        <v>11806</v>
      </c>
      <c r="I15" s="73">
        <v>14195</v>
      </c>
      <c r="J15" s="73">
        <v>11002</v>
      </c>
    </row>
    <row r="16" spans="2:10">
      <c r="B16" s="2" t="s">
        <v>48</v>
      </c>
      <c r="C16" s="73">
        <v>6056</v>
      </c>
      <c r="D16" s="73">
        <v>8304</v>
      </c>
      <c r="E16" s="73">
        <v>9737</v>
      </c>
      <c r="F16" s="73">
        <v>6896</v>
      </c>
      <c r="G16" s="73">
        <v>10048</v>
      </c>
      <c r="H16" s="73">
        <v>14150</v>
      </c>
      <c r="I16" s="73">
        <v>16066</v>
      </c>
      <c r="J16" s="73">
        <v>15110</v>
      </c>
    </row>
    <row r="17" spans="2:10" ht="3.75" customHeight="1">
      <c r="C17" s="73"/>
      <c r="D17" s="73"/>
      <c r="E17" s="73"/>
      <c r="F17" s="73"/>
      <c r="G17" s="73"/>
      <c r="H17" s="73"/>
      <c r="I17" s="73"/>
      <c r="J17" s="73"/>
    </row>
    <row r="18" spans="2:10">
      <c r="B18" s="2" t="s">
        <v>30</v>
      </c>
      <c r="C18" s="73">
        <v>3000</v>
      </c>
      <c r="D18" s="73">
        <v>3000</v>
      </c>
      <c r="E18" s="73">
        <v>3000</v>
      </c>
      <c r="F18" s="73">
        <v>3000</v>
      </c>
      <c r="G18" s="73">
        <v>4680</v>
      </c>
      <c r="H18" s="73">
        <v>4680</v>
      </c>
      <c r="I18" s="73">
        <v>4680</v>
      </c>
      <c r="J18" s="73">
        <v>4680</v>
      </c>
    </row>
    <row r="19" spans="2:10" ht="3.75" customHeight="1">
      <c r="C19" s="73"/>
      <c r="D19" s="73"/>
      <c r="E19" s="73"/>
      <c r="F19" s="73"/>
      <c r="G19" s="73"/>
      <c r="H19" s="73"/>
      <c r="I19" s="73"/>
      <c r="J19" s="73"/>
    </row>
    <row r="20" spans="2:10">
      <c r="B20" s="2" t="s">
        <v>31</v>
      </c>
      <c r="C20" s="73">
        <v>2246.54</v>
      </c>
      <c r="D20" s="73">
        <v>2183.48000000001</v>
      </c>
      <c r="E20" s="73">
        <v>3431.34</v>
      </c>
      <c r="F20" s="73">
        <v>3586.38</v>
      </c>
      <c r="G20" s="73">
        <v>5754.83</v>
      </c>
      <c r="H20" s="73">
        <v>7398.66</v>
      </c>
      <c r="I20" s="73">
        <v>4423.18</v>
      </c>
      <c r="J20" s="73">
        <v>7940.12</v>
      </c>
    </row>
    <row r="21" spans="2:10" ht="3.75" customHeight="1">
      <c r="C21" s="74"/>
      <c r="D21" s="74"/>
      <c r="E21" s="74"/>
      <c r="F21" s="74"/>
      <c r="G21" s="74"/>
      <c r="H21" s="74"/>
      <c r="I21" s="74"/>
      <c r="J21" s="74"/>
    </row>
    <row r="22" spans="2:10" ht="12.75" thickBot="1">
      <c r="B22" s="95" t="s">
        <v>32</v>
      </c>
      <c r="C22" s="96">
        <f>+SUM(C15:C21)</f>
        <v>26427.54</v>
      </c>
      <c r="D22" s="96">
        <f t="shared" ref="D22:J22" si="1">+SUM(D15:D21)</f>
        <v>28436.48000000001</v>
      </c>
      <c r="E22" s="96">
        <f t="shared" si="1"/>
        <v>31189.34</v>
      </c>
      <c r="F22" s="96">
        <f t="shared" si="1"/>
        <v>33960.379999999997</v>
      </c>
      <c r="G22" s="96">
        <f t="shared" si="1"/>
        <v>35420.83</v>
      </c>
      <c r="H22" s="96">
        <f t="shared" si="1"/>
        <v>38034.660000000003</v>
      </c>
      <c r="I22" s="96">
        <f t="shared" si="1"/>
        <v>39364.18</v>
      </c>
      <c r="J22" s="96">
        <f t="shared" si="1"/>
        <v>38732.120000000003</v>
      </c>
    </row>
    <row r="24" spans="2:10">
      <c r="B24" s="12" t="s">
        <v>42</v>
      </c>
      <c r="C24" s="13">
        <f>C7/'P&amp;L'!C7*90</f>
        <v>79.310412189880836</v>
      </c>
      <c r="D24" s="13">
        <f>D7/'P&amp;L'!D7*90</f>
        <v>65.927517431490188</v>
      </c>
      <c r="E24" s="13">
        <f>E7/'P&amp;L'!E7*90</f>
        <v>84.901348849510711</v>
      </c>
      <c r="F24" s="13">
        <f>F7/'P&amp;L'!F7*90</f>
        <v>77.989748809480531</v>
      </c>
      <c r="G24" s="13">
        <f>G7/'P&amp;L'!H7*90</f>
        <v>100.17529880478087</v>
      </c>
      <c r="H24" s="13">
        <f>H7/'P&amp;L'!I7*90</f>
        <v>85.320245584779812</v>
      </c>
      <c r="I24" s="13">
        <f>I7/'P&amp;L'!J7*90</f>
        <v>92.288238195596605</v>
      </c>
      <c r="J24" s="13">
        <f>J7/'P&amp;L'!K7*90</f>
        <v>71.606961090132984</v>
      </c>
    </row>
    <row r="25" spans="2:10">
      <c r="B25" s="12" t="s">
        <v>43</v>
      </c>
      <c r="C25" s="13">
        <f>-C15/('P&amp;L'!C8+'P&amp;L'!C9)*90</f>
        <v>114.86372458020421</v>
      </c>
      <c r="D25" s="13">
        <f>-D15/('P&amp;L'!D8+'P&amp;L'!D9)*90</f>
        <v>97.599564744287278</v>
      </c>
      <c r="E25" s="13">
        <f>-E15/('P&amp;L'!E8+'P&amp;L'!E9)*90</f>
        <v>122.69831185333092</v>
      </c>
      <c r="F25" s="13">
        <f>-F15/('P&amp;L'!F8+'P&amp;L'!F9)*90</f>
        <v>116.7576813430472</v>
      </c>
      <c r="G25" s="13">
        <f>-G15/('P&amp;L'!H8+'P&amp;L'!H9)*90</f>
        <v>106.75931072818233</v>
      </c>
      <c r="H25" s="13">
        <f>-H15/('P&amp;L'!I8+'P&amp;L'!I9)*90</f>
        <v>71.71087264628467</v>
      </c>
      <c r="I25" s="13">
        <f>-I15/('P&amp;L'!J8+'P&amp;L'!J9)*90</f>
        <v>93.572841133816738</v>
      </c>
      <c r="J25" s="13">
        <f>-J15/('P&amp;L'!K8+'P&amp;L'!K9)*90</f>
        <v>54.802966570732785</v>
      </c>
    </row>
    <row r="27" spans="2:10">
      <c r="C2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9"/>
  <sheetViews>
    <sheetView workbookViewId="0"/>
  </sheetViews>
  <sheetFormatPr defaultColWidth="9.140625" defaultRowHeight="12"/>
  <cols>
    <col min="1" max="1" width="2" style="2" customWidth="1"/>
    <col min="2" max="2" width="26.42578125" style="2" bestFit="1" customWidth="1"/>
    <col min="3" max="16384" width="9.140625" style="2"/>
  </cols>
  <sheetData>
    <row r="1" spans="2:8" ht="15.75">
      <c r="B1" s="3" t="s">
        <v>53</v>
      </c>
    </row>
    <row r="4" spans="2:8" ht="12.75" thickBot="1">
      <c r="B4" s="46" t="s">
        <v>20</v>
      </c>
      <c r="C4" s="57" t="s">
        <v>14</v>
      </c>
      <c r="D4" s="57" t="s">
        <v>15</v>
      </c>
      <c r="E4" s="57" t="s">
        <v>16</v>
      </c>
      <c r="F4" s="57" t="s">
        <v>17</v>
      </c>
      <c r="G4" s="57" t="s">
        <v>19</v>
      </c>
    </row>
    <row r="5" spans="2:8">
      <c r="B5" s="2" t="s">
        <v>7</v>
      </c>
      <c r="C5" s="48">
        <f>'P&amp;L'!H12</f>
        <v>4301</v>
      </c>
      <c r="D5" s="48">
        <f>'P&amp;L'!I12</f>
        <v>6071</v>
      </c>
      <c r="E5" s="48">
        <f>'P&amp;L'!J12</f>
        <v>3008</v>
      </c>
      <c r="F5" s="48">
        <f>'P&amp;L'!K12</f>
        <v>6156</v>
      </c>
      <c r="G5" s="89">
        <f>'P&amp;L'!L12</f>
        <v>19536</v>
      </c>
    </row>
    <row r="6" spans="2:8">
      <c r="B6" s="2" t="s">
        <v>10</v>
      </c>
      <c r="C6" s="48">
        <f>'P&amp;L'!H15</f>
        <v>-234</v>
      </c>
      <c r="D6" s="48">
        <f>'P&amp;L'!I15</f>
        <v>-234</v>
      </c>
      <c r="E6" s="48">
        <f>'P&amp;L'!J15</f>
        <v>-234</v>
      </c>
      <c r="F6" s="48">
        <f>'P&amp;L'!K15</f>
        <v>-234</v>
      </c>
      <c r="G6" s="89">
        <f>'P&amp;L'!L15</f>
        <v>-936</v>
      </c>
    </row>
    <row r="7" spans="2:8">
      <c r="B7" s="2" t="s">
        <v>12</v>
      </c>
      <c r="C7" s="48">
        <f>'P&amp;L'!H17</f>
        <v>-398.20000000000005</v>
      </c>
      <c r="D7" s="48">
        <f>'P&amp;L'!I17</f>
        <v>-575.20000000000005</v>
      </c>
      <c r="E7" s="48">
        <f>'P&amp;L'!J17</f>
        <v>-268.90000000000003</v>
      </c>
      <c r="F7" s="48">
        <f>'P&amp;L'!K17</f>
        <v>-583.70000000000005</v>
      </c>
      <c r="G7" s="89">
        <f>'P&amp;L'!L17</f>
        <v>-1826.0000000000002</v>
      </c>
      <c r="H7" s="14"/>
    </row>
    <row r="8" spans="2:8" ht="3.75" customHeight="1">
      <c r="C8" s="48"/>
      <c r="D8" s="48"/>
      <c r="E8" s="48"/>
      <c r="F8" s="48"/>
      <c r="G8" s="89"/>
      <c r="H8" s="14"/>
    </row>
    <row r="9" spans="2:8">
      <c r="B9" s="15" t="s">
        <v>44</v>
      </c>
      <c r="C9" s="75">
        <f>-('Balance Sheet'!G7-'Balance Sheet'!F7)</f>
        <v>-1306</v>
      </c>
      <c r="D9" s="75">
        <f>-('Balance Sheet'!H7-'Balance Sheet'!G7)</f>
        <v>130</v>
      </c>
      <c r="E9" s="75">
        <f>-('Balance Sheet'!I7-'Balance Sheet'!H7)</f>
        <v>2146</v>
      </c>
      <c r="F9" s="75">
        <f>-('Balance Sheet'!J7-'Balance Sheet'!I7)</f>
        <v>-1363</v>
      </c>
      <c r="G9" s="76">
        <f>SUM(C9:F9)</f>
        <v>-393</v>
      </c>
      <c r="H9" s="14"/>
    </row>
    <row r="10" spans="2:8">
      <c r="B10" s="15" t="s">
        <v>45</v>
      </c>
      <c r="C10" s="75">
        <f>-('Balance Sheet'!G11-'Balance Sheet'!F11)</f>
        <v>-286.60000000000582</v>
      </c>
      <c r="D10" s="75">
        <f>-('Balance Sheet'!H11-'Balance Sheet'!G11)</f>
        <v>-2724.4400000000023</v>
      </c>
      <c r="E10" s="75">
        <f>-('Balance Sheet'!I11-'Balance Sheet'!H11)</f>
        <v>-3543.3599999999933</v>
      </c>
      <c r="F10" s="75">
        <f>-('Balance Sheet'!J11-'Balance Sheet'!I11)</f>
        <v>2168.0799999999945</v>
      </c>
      <c r="G10" s="76">
        <f>SUM(C10:F10)</f>
        <v>-4386.320000000007</v>
      </c>
      <c r="H10" s="14"/>
    </row>
    <row r="11" spans="2:8">
      <c r="B11" s="15" t="s">
        <v>47</v>
      </c>
      <c r="C11" s="75">
        <f>-'Fixed Assets'!C8</f>
        <v>-43</v>
      </c>
      <c r="D11" s="75">
        <f>-'Fixed Assets'!D8</f>
        <v>-29</v>
      </c>
      <c r="E11" s="75">
        <f>-'Fixed Assets'!E8</f>
        <v>-90</v>
      </c>
      <c r="F11" s="75">
        <f>-'Fixed Assets'!F8</f>
        <v>-110</v>
      </c>
      <c r="G11" s="76">
        <f>SUM(C11:F11)</f>
        <v>-272</v>
      </c>
      <c r="H11" s="14"/>
    </row>
    <row r="12" spans="2:8" ht="3.75" customHeight="1">
      <c r="B12" s="15"/>
      <c r="C12" s="73"/>
      <c r="D12" s="73"/>
      <c r="E12" s="73"/>
      <c r="F12" s="73"/>
      <c r="G12" s="77"/>
      <c r="H12" s="14"/>
    </row>
    <row r="13" spans="2:8">
      <c r="B13" s="15" t="s">
        <v>46</v>
      </c>
      <c r="C13" s="75">
        <f>'Balance Sheet'!G15-'Balance Sheet'!F15</f>
        <v>-5540</v>
      </c>
      <c r="D13" s="75">
        <f>'Balance Sheet'!H15-'Balance Sheet'!G15</f>
        <v>-3132</v>
      </c>
      <c r="E13" s="75">
        <f>'Balance Sheet'!I15-'Balance Sheet'!H15</f>
        <v>2389</v>
      </c>
      <c r="F13" s="75">
        <f>'Balance Sheet'!J15-'Balance Sheet'!I15</f>
        <v>-3193</v>
      </c>
      <c r="G13" s="76">
        <f>SUM(C13:F13)</f>
        <v>-9476</v>
      </c>
      <c r="H13" s="14"/>
    </row>
    <row r="14" spans="2:8">
      <c r="B14" s="15" t="s">
        <v>49</v>
      </c>
      <c r="C14" s="75">
        <f>'Balance Sheet'!G16-'Balance Sheet'!F16</f>
        <v>3152</v>
      </c>
      <c r="D14" s="75">
        <f>'Balance Sheet'!H16-'Balance Sheet'!G16</f>
        <v>4102</v>
      </c>
      <c r="E14" s="75">
        <f>'Balance Sheet'!I16-'Balance Sheet'!H16</f>
        <v>1916</v>
      </c>
      <c r="F14" s="75">
        <f>'Balance Sheet'!J16-'Balance Sheet'!I16</f>
        <v>-956</v>
      </c>
      <c r="G14" s="76">
        <f>SUM(C14:F14)</f>
        <v>8214</v>
      </c>
      <c r="H14" s="14"/>
    </row>
    <row r="15" spans="2:8">
      <c r="B15" s="15" t="s">
        <v>50</v>
      </c>
      <c r="C15" s="75">
        <f>'Balance Sheet'!G18-'Balance Sheet'!F18</f>
        <v>1680</v>
      </c>
      <c r="D15" s="75">
        <f>'Balance Sheet'!H18-'Balance Sheet'!G18</f>
        <v>0</v>
      </c>
      <c r="E15" s="75">
        <f>'Balance Sheet'!I18-'Balance Sheet'!H18</f>
        <v>0</v>
      </c>
      <c r="F15" s="75">
        <f>'Balance Sheet'!J18-'Balance Sheet'!I18</f>
        <v>0</v>
      </c>
      <c r="G15" s="76">
        <f>SUM(C15:F15)</f>
        <v>1680</v>
      </c>
      <c r="H15" s="14"/>
    </row>
    <row r="16" spans="2:8" ht="3.75" customHeight="1">
      <c r="B16" s="15"/>
      <c r="C16" s="73"/>
      <c r="D16" s="73"/>
      <c r="E16" s="73"/>
      <c r="F16" s="73"/>
      <c r="G16" s="77"/>
      <c r="H16" s="14"/>
    </row>
    <row r="17" spans="2:8">
      <c r="B17" s="15" t="s">
        <v>51</v>
      </c>
      <c r="C17" s="75">
        <f>'Balance Sheet'!G20-'Balance Sheet'!F20-'P&amp;L'!H18</f>
        <v>-1415.3500000000004</v>
      </c>
      <c r="D17" s="75">
        <f>'Balance Sheet'!H20-'Balance Sheet'!G20-'P&amp;L'!I18</f>
        <v>-3532.9700000000003</v>
      </c>
      <c r="E17" s="75">
        <f>'Balance Sheet'!I20-'Balance Sheet'!H20-'P&amp;L'!J18</f>
        <v>-5395.58</v>
      </c>
      <c r="F17" s="75">
        <f>'Balance Sheet'!J20-'Balance Sheet'!I20-'P&amp;L'!K18</f>
        <v>-1736.3600000000006</v>
      </c>
      <c r="G17" s="76">
        <f>SUM(C17:F17)</f>
        <v>-12080.260000000002</v>
      </c>
      <c r="H17" s="14"/>
    </row>
    <row r="18" spans="2:8" ht="3.75" customHeight="1">
      <c r="B18" s="10"/>
      <c r="C18" s="78"/>
      <c r="D18" s="78"/>
      <c r="E18" s="78"/>
      <c r="F18" s="78"/>
      <c r="G18" s="79"/>
    </row>
    <row r="19" spans="2:8" ht="12.75" thickBot="1">
      <c r="B19" s="95" t="s">
        <v>52</v>
      </c>
      <c r="C19" s="96">
        <f>SUM(C5:C17)</f>
        <v>-90.150000000006003</v>
      </c>
      <c r="D19" s="96">
        <f>SUM(D5:D17)</f>
        <v>75.389999999997599</v>
      </c>
      <c r="E19" s="96">
        <f>SUM(E5:E17)</f>
        <v>-72.83999999999287</v>
      </c>
      <c r="F19" s="96">
        <f>SUM(F5:F17)</f>
        <v>148.01999999999407</v>
      </c>
      <c r="G19" s="97">
        <f>SUM(C19:F19)</f>
        <v>60.419999999992797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V84"/>
  <sheetViews>
    <sheetView tabSelected="1" workbookViewId="0"/>
  </sheetViews>
  <sheetFormatPr defaultColWidth="9.140625" defaultRowHeight="12" outlineLevelCol="1"/>
  <cols>
    <col min="1" max="1" width="2" style="2" customWidth="1"/>
    <col min="2" max="2" width="30" style="2" customWidth="1"/>
    <col min="3" max="3" width="10.42578125" style="2" customWidth="1" outlineLevel="1"/>
    <col min="4" max="4" width="10.5703125" style="2" customWidth="1" outlineLevel="1"/>
    <col min="5" max="5" width="10.85546875" style="2" customWidth="1" outlineLevel="1"/>
    <col min="6" max="6" width="10.42578125" style="2" customWidth="1" outlineLevel="1"/>
    <col min="7" max="7" width="10.5703125" style="2" customWidth="1" outlineLevel="1"/>
    <col min="8" max="8" width="11" style="2" customWidth="1" outlineLevel="1"/>
    <col min="9" max="10" width="10.5703125" style="2" customWidth="1" outlineLevel="1"/>
    <col min="11" max="11" width="10.42578125" style="2" customWidth="1" outlineLevel="1"/>
    <col min="12" max="12" width="10.42578125" style="2" customWidth="1"/>
    <col min="13" max="13" width="1.42578125" style="2" customWidth="1"/>
    <col min="14" max="14" width="10.42578125" style="2" customWidth="1"/>
    <col min="15" max="15" width="1.42578125" style="2" customWidth="1"/>
    <col min="16" max="16" width="10.42578125" style="2" customWidth="1"/>
    <col min="17" max="17" width="1.42578125" style="2" customWidth="1"/>
    <col min="18" max="18" width="10.42578125" style="2" bestFit="1" customWidth="1"/>
    <col min="19" max="20" width="10.42578125" style="2" customWidth="1"/>
    <col min="21" max="21" width="10.85546875" style="2" customWidth="1"/>
    <col min="22" max="22" width="10.42578125" style="2" bestFit="1" customWidth="1"/>
    <col min="23" max="16384" width="9.140625" style="2"/>
  </cols>
  <sheetData>
    <row r="1" spans="2:22" ht="15.75">
      <c r="B1" s="3" t="s">
        <v>74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7"/>
    </row>
    <row r="2" spans="2:22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7"/>
    </row>
    <row r="3" spans="2:22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"/>
    </row>
    <row r="4" spans="2:22">
      <c r="B4" s="60" t="s">
        <v>56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7"/>
    </row>
    <row r="5" spans="2:22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102" t="s">
        <v>62</v>
      </c>
      <c r="S5" s="102"/>
      <c r="T5" s="102"/>
      <c r="U5" s="102"/>
      <c r="V5" s="102"/>
    </row>
    <row r="6" spans="2:22" ht="3.75" customHeight="1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"/>
    </row>
    <row r="7" spans="2:22" ht="12.75" thickBot="1">
      <c r="B7" s="46" t="s">
        <v>60</v>
      </c>
      <c r="C7" s="57" t="s">
        <v>14</v>
      </c>
      <c r="D7" s="57" t="s">
        <v>15</v>
      </c>
      <c r="E7" s="57" t="s">
        <v>16</v>
      </c>
      <c r="F7" s="57" t="s">
        <v>17</v>
      </c>
      <c r="G7" s="57" t="s">
        <v>18</v>
      </c>
      <c r="H7" s="57" t="s">
        <v>14</v>
      </c>
      <c r="I7" s="57" t="s">
        <v>15</v>
      </c>
      <c r="J7" s="57" t="s">
        <v>16</v>
      </c>
      <c r="K7" s="57" t="s">
        <v>17</v>
      </c>
      <c r="L7" s="57" t="s">
        <v>19</v>
      </c>
      <c r="M7" s="29"/>
      <c r="N7" s="91" t="s">
        <v>84</v>
      </c>
      <c r="O7" s="29"/>
      <c r="P7" s="34" t="s">
        <v>85</v>
      </c>
      <c r="Q7" s="7"/>
      <c r="R7" s="57" t="s">
        <v>14</v>
      </c>
      <c r="S7" s="57" t="s">
        <v>15</v>
      </c>
      <c r="T7" s="57" t="s">
        <v>16</v>
      </c>
      <c r="U7" s="57" t="s">
        <v>17</v>
      </c>
      <c r="V7" s="57" t="s">
        <v>63</v>
      </c>
    </row>
    <row r="8" spans="2:22">
      <c r="B8" s="2" t="s">
        <v>57</v>
      </c>
      <c r="C8" s="48">
        <v>485.54879999999997</v>
      </c>
      <c r="D8" s="48">
        <v>513.36969696969697</v>
      </c>
      <c r="E8" s="48">
        <v>408.17910447761193</v>
      </c>
      <c r="F8" s="48">
        <v>307.24683544303798</v>
      </c>
      <c r="G8" s="89">
        <f>SUM(C8:F8)</f>
        <v>1714.3444368903467</v>
      </c>
      <c r="H8" s="48">
        <f t="shared" ref="H8:K11" si="0">H48/H28</f>
        <v>374.33157894736843</v>
      </c>
      <c r="I8" s="48">
        <f t="shared" si="0"/>
        <v>461.60975609756099</v>
      </c>
      <c r="J8" s="48">
        <f t="shared" si="0"/>
        <v>418.42753623188401</v>
      </c>
      <c r="K8" s="48">
        <f t="shared" si="0"/>
        <v>402.47887323943667</v>
      </c>
      <c r="L8" s="89">
        <f>SUM(H8:K8)</f>
        <v>1656.8477445162503</v>
      </c>
      <c r="M8" s="23"/>
      <c r="N8" s="92">
        <f>L8/G8-1</f>
        <v>-3.3538588358818844E-2</v>
      </c>
      <c r="O8" s="32"/>
      <c r="P8" s="32">
        <v>0</v>
      </c>
      <c r="Q8" s="7"/>
      <c r="R8" s="101"/>
      <c r="S8" s="48"/>
      <c r="T8" s="48"/>
      <c r="U8" s="48"/>
      <c r="V8" s="89"/>
    </row>
    <row r="9" spans="2:22">
      <c r="B9" s="2" t="s">
        <v>58</v>
      </c>
      <c r="C9" s="48">
        <v>185.04146341463417</v>
      </c>
      <c r="D9" s="48">
        <v>236.1142857142857</v>
      </c>
      <c r="E9" s="48">
        <v>204.70059880239521</v>
      </c>
      <c r="F9" s="48">
        <v>343.24747474747471</v>
      </c>
      <c r="G9" s="89">
        <f t="shared" ref="G9:G12" si="1">SUM(C9:F9)</f>
        <v>969.10382267878981</v>
      </c>
      <c r="H9" s="48">
        <f t="shared" si="0"/>
        <v>223.00271739130437</v>
      </c>
      <c r="I9" s="48">
        <f t="shared" si="0"/>
        <v>205.93056994818653</v>
      </c>
      <c r="J9" s="48">
        <f t="shared" si="0"/>
        <v>214.76686390532547</v>
      </c>
      <c r="K9" s="48">
        <f t="shared" si="0"/>
        <v>362.53134328358209</v>
      </c>
      <c r="L9" s="89">
        <f t="shared" ref="L9:L12" si="2">SUM(H9:K9)</f>
        <v>1006.2314945283986</v>
      </c>
      <c r="M9" s="23"/>
      <c r="N9" s="92">
        <f t="shared" ref="N9:N12" si="3">L9/G9-1</f>
        <v>3.831134598868946E-2</v>
      </c>
      <c r="O9" s="32"/>
      <c r="P9" s="32">
        <v>0.04</v>
      </c>
      <c r="Q9" s="7"/>
      <c r="R9" s="48"/>
      <c r="S9" s="48"/>
      <c r="T9" s="48"/>
      <c r="U9" s="48"/>
      <c r="V9" s="89"/>
    </row>
    <row r="10" spans="2:22">
      <c r="B10" s="2" t="s">
        <v>59</v>
      </c>
      <c r="C10" s="48">
        <v>49.088967971530252</v>
      </c>
      <c r="D10" s="48">
        <v>57.433204633204639</v>
      </c>
      <c r="E10" s="48">
        <v>37.123981900452485</v>
      </c>
      <c r="F10" s="48">
        <v>114.22352941176472</v>
      </c>
      <c r="G10" s="89">
        <f t="shared" si="1"/>
        <v>257.86968391695211</v>
      </c>
      <c r="H10" s="48">
        <f t="shared" si="0"/>
        <v>98.657377049180326</v>
      </c>
      <c r="I10" s="48">
        <f t="shared" si="0"/>
        <v>185.54901960784312</v>
      </c>
      <c r="J10" s="48">
        <f t="shared" si="0"/>
        <v>226.18225806451613</v>
      </c>
      <c r="K10" s="48">
        <f t="shared" si="0"/>
        <v>516.43373493975901</v>
      </c>
      <c r="L10" s="89">
        <f t="shared" si="2"/>
        <v>1026.8223896612985</v>
      </c>
      <c r="M10" s="23"/>
      <c r="N10" s="92">
        <f t="shared" si="3"/>
        <v>2.9819430266645477</v>
      </c>
      <c r="O10" s="32"/>
      <c r="P10" s="32">
        <v>0.3</v>
      </c>
      <c r="Q10" s="7"/>
      <c r="R10" s="48"/>
      <c r="S10" s="48"/>
      <c r="T10" s="48"/>
      <c r="U10" s="48"/>
      <c r="V10" s="89"/>
    </row>
    <row r="11" spans="2:22">
      <c r="B11" s="2" t="s">
        <v>61</v>
      </c>
      <c r="C11" s="48">
        <v>245.22666666666672</v>
      </c>
      <c r="D11" s="48">
        <v>330.56000000000012</v>
      </c>
      <c r="E11" s="48">
        <v>273.47999999999996</v>
      </c>
      <c r="F11" s="48">
        <v>353.05454545454546</v>
      </c>
      <c r="G11" s="89">
        <f t="shared" si="1"/>
        <v>1202.3212121212123</v>
      </c>
      <c r="H11" s="48">
        <f t="shared" si="0"/>
        <v>413.04238410596031</v>
      </c>
      <c r="I11" s="48">
        <f t="shared" si="0"/>
        <v>415.15096774193552</v>
      </c>
      <c r="J11" s="48">
        <f t="shared" si="0"/>
        <v>308.59568345323743</v>
      </c>
      <c r="K11" s="48">
        <f t="shared" si="0"/>
        <v>71.045303867403305</v>
      </c>
      <c r="L11" s="89">
        <f t="shared" si="2"/>
        <v>1207.8343391685366</v>
      </c>
      <c r="M11" s="23"/>
      <c r="N11" s="92">
        <f t="shared" si="3"/>
        <v>4.5854027956453436E-3</v>
      </c>
      <c r="O11" s="32"/>
      <c r="P11" s="32">
        <v>0.01</v>
      </c>
      <c r="Q11" s="7"/>
      <c r="R11" s="48"/>
      <c r="S11" s="48"/>
      <c r="T11" s="48"/>
      <c r="U11" s="48"/>
      <c r="V11" s="89"/>
    </row>
    <row r="12" spans="2:22" ht="12.75" thickBot="1">
      <c r="B12" s="95" t="s">
        <v>64</v>
      </c>
      <c r="C12" s="96">
        <f>SUM(C8:C11)</f>
        <v>964.90589805283105</v>
      </c>
      <c r="D12" s="96">
        <f t="shared" ref="D12:F12" si="4">SUM(D8:D11)</f>
        <v>1137.4771873171876</v>
      </c>
      <c r="E12" s="96">
        <f t="shared" si="4"/>
        <v>923.48368518045959</v>
      </c>
      <c r="F12" s="96">
        <f t="shared" si="4"/>
        <v>1117.7723850568229</v>
      </c>
      <c r="G12" s="97">
        <f t="shared" si="1"/>
        <v>4143.6391556073013</v>
      </c>
      <c r="H12" s="96">
        <f>SUM(H8:H11)</f>
        <v>1109.0340574938136</v>
      </c>
      <c r="I12" s="96">
        <f t="shared" ref="I12" si="5">SUM(I8:I11)</f>
        <v>1268.2403133955261</v>
      </c>
      <c r="J12" s="96">
        <f t="shared" ref="J12" si="6">SUM(J8:J11)</f>
        <v>1167.972341654963</v>
      </c>
      <c r="K12" s="96">
        <f t="shared" ref="K12" si="7">SUM(K8:K11)</f>
        <v>1352.4892553301811</v>
      </c>
      <c r="L12" s="97">
        <f t="shared" si="2"/>
        <v>4897.7359678744833</v>
      </c>
      <c r="M12" s="30"/>
      <c r="N12" s="93">
        <f t="shared" si="3"/>
        <v>0.18198901592256522</v>
      </c>
      <c r="O12" s="33"/>
      <c r="P12" s="33"/>
      <c r="Q12" s="7"/>
      <c r="R12" s="96"/>
      <c r="S12" s="96"/>
      <c r="T12" s="96"/>
      <c r="U12" s="96"/>
      <c r="V12" s="97"/>
    </row>
    <row r="13" spans="2:22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7"/>
    </row>
    <row r="14" spans="2:2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  <c r="R14" s="102" t="s">
        <v>62</v>
      </c>
      <c r="S14" s="102"/>
      <c r="T14" s="102"/>
      <c r="U14" s="102"/>
      <c r="V14" s="102"/>
    </row>
    <row r="15" spans="2:22" ht="3.75" customHeight="1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7"/>
    </row>
    <row r="16" spans="2:22" ht="12.75" thickBot="1">
      <c r="B16" s="46" t="s">
        <v>65</v>
      </c>
      <c r="C16" s="57" t="s">
        <v>14</v>
      </c>
      <c r="D16" s="57" t="s">
        <v>15</v>
      </c>
      <c r="E16" s="57" t="s">
        <v>16</v>
      </c>
      <c r="F16" s="57" t="s">
        <v>17</v>
      </c>
      <c r="G16" s="57" t="s">
        <v>18</v>
      </c>
      <c r="H16" s="57" t="s">
        <v>14</v>
      </c>
      <c r="I16" s="57" t="s">
        <v>15</v>
      </c>
      <c r="J16" s="57" t="s">
        <v>16</v>
      </c>
      <c r="K16" s="57" t="s">
        <v>17</v>
      </c>
      <c r="L16" s="57" t="s">
        <v>19</v>
      </c>
      <c r="M16" s="29"/>
      <c r="N16" s="91" t="s">
        <v>84</v>
      </c>
      <c r="O16" s="29"/>
      <c r="P16" s="34" t="s">
        <v>85</v>
      </c>
      <c r="Q16" s="7"/>
      <c r="R16" s="57" t="s">
        <v>14</v>
      </c>
      <c r="S16" s="57" t="s">
        <v>15</v>
      </c>
      <c r="T16" s="57" t="s">
        <v>16</v>
      </c>
      <c r="U16" s="57" t="s">
        <v>17</v>
      </c>
      <c r="V16" s="57" t="s">
        <v>63</v>
      </c>
    </row>
    <row r="17" spans="2:22">
      <c r="B17" s="2" t="s">
        <v>57</v>
      </c>
      <c r="C17" s="48">
        <f t="shared" ref="C17:F20" si="8">C57/C37</f>
        <v>383.59629629629626</v>
      </c>
      <c r="D17" s="48">
        <f t="shared" si="8"/>
        <v>462.86274509803923</v>
      </c>
      <c r="E17" s="48">
        <f t="shared" si="8"/>
        <v>266.48490566037736</v>
      </c>
      <c r="F17" s="48">
        <f t="shared" si="8"/>
        <v>367.77272727272725</v>
      </c>
      <c r="G17" s="89">
        <f>SUM(C17:F17)</f>
        <v>1480.7166743274402</v>
      </c>
      <c r="H17" s="48">
        <f t="shared" ref="H17:K20" si="9">H57/H37</f>
        <v>352.97142857142859</v>
      </c>
      <c r="I17" s="48">
        <f t="shared" si="9"/>
        <v>450.70833333333326</v>
      </c>
      <c r="J17" s="48">
        <f t="shared" si="9"/>
        <v>350.36981132075476</v>
      </c>
      <c r="K17" s="48">
        <f t="shared" si="9"/>
        <v>541.38</v>
      </c>
      <c r="L17" s="89">
        <f>SUM(H17:K17)</f>
        <v>1695.4295732255164</v>
      </c>
      <c r="M17" s="23"/>
      <c r="N17" s="92">
        <f>L17/G17-1</f>
        <v>0.14500606538762817</v>
      </c>
      <c r="O17" s="32"/>
      <c r="P17" s="32">
        <v>0.2</v>
      </c>
      <c r="Q17" s="7"/>
      <c r="R17" s="48"/>
      <c r="S17" s="48"/>
      <c r="T17" s="48"/>
      <c r="U17" s="48"/>
      <c r="V17" s="89"/>
    </row>
    <row r="18" spans="2:22">
      <c r="B18" s="2" t="s">
        <v>58</v>
      </c>
      <c r="C18" s="48">
        <f t="shared" si="8"/>
        <v>326.67555555555555</v>
      </c>
      <c r="D18" s="48">
        <f t="shared" si="8"/>
        <v>346.7037037037037</v>
      </c>
      <c r="E18" s="48">
        <f t="shared" si="8"/>
        <v>229.42982456140351</v>
      </c>
      <c r="F18" s="48">
        <f t="shared" si="8"/>
        <v>318.33442622950821</v>
      </c>
      <c r="G18" s="89">
        <f t="shared" ref="G18:G21" si="10">SUM(C18:F18)</f>
        <v>1221.143510050171</v>
      </c>
      <c r="H18" s="48">
        <f t="shared" si="9"/>
        <v>343.16666666666669</v>
      </c>
      <c r="I18" s="48">
        <f t="shared" si="9"/>
        <v>341.38983050847457</v>
      </c>
      <c r="J18" s="48">
        <f t="shared" si="9"/>
        <v>284.6754716981132</v>
      </c>
      <c r="K18" s="48">
        <f t="shared" si="9"/>
        <v>367.0372881355932</v>
      </c>
      <c r="L18" s="89">
        <f t="shared" ref="L18:L21" si="11">SUM(H18:K18)</f>
        <v>1336.2692570088475</v>
      </c>
      <c r="M18" s="23"/>
      <c r="N18" s="92">
        <f t="shared" ref="N18:N21" si="12">L18/G18-1</f>
        <v>9.4277000214288087E-2</v>
      </c>
      <c r="O18" s="32"/>
      <c r="P18" s="32">
        <v>0.1</v>
      </c>
      <c r="Q18" s="7"/>
      <c r="R18" s="48"/>
      <c r="S18" s="48"/>
      <c r="T18" s="48"/>
      <c r="U18" s="48"/>
      <c r="V18" s="89"/>
    </row>
    <row r="19" spans="2:22">
      <c r="B19" s="2" t="s">
        <v>59</v>
      </c>
      <c r="C19" s="48">
        <f t="shared" si="8"/>
        <v>280.21290322580649</v>
      </c>
      <c r="D19" s="48">
        <f t="shared" si="8"/>
        <v>279.8125</v>
      </c>
      <c r="E19" s="48">
        <f t="shared" si="8"/>
        <v>261.55</v>
      </c>
      <c r="F19" s="48">
        <f t="shared" si="8"/>
        <v>418.49999999999994</v>
      </c>
      <c r="G19" s="89">
        <f t="shared" si="10"/>
        <v>1240.0754032258064</v>
      </c>
      <c r="H19" s="48">
        <f t="shared" si="9"/>
        <v>411.79999999999995</v>
      </c>
      <c r="I19" s="48">
        <f t="shared" si="9"/>
        <v>596.79999999999995</v>
      </c>
      <c r="J19" s="48">
        <f t="shared" si="9"/>
        <v>555.06956521739141</v>
      </c>
      <c r="K19" s="48">
        <f t="shared" si="9"/>
        <v>1074.1666666666665</v>
      </c>
      <c r="L19" s="89">
        <f t="shared" si="11"/>
        <v>2637.8362318840577</v>
      </c>
      <c r="M19" s="23"/>
      <c r="N19" s="92">
        <f t="shared" si="12"/>
        <v>1.127157933317811</v>
      </c>
      <c r="O19" s="32"/>
      <c r="P19" s="32">
        <v>0.3</v>
      </c>
      <c r="Q19" s="7"/>
      <c r="R19" s="48"/>
      <c r="S19" s="48"/>
      <c r="T19" s="48"/>
      <c r="U19" s="48"/>
      <c r="V19" s="89"/>
    </row>
    <row r="20" spans="2:22">
      <c r="B20" s="2" t="s">
        <v>61</v>
      </c>
      <c r="C20" s="48">
        <f t="shared" si="8"/>
        <v>372.43934426229509</v>
      </c>
      <c r="D20" s="48">
        <f t="shared" si="8"/>
        <v>470.59375000000006</v>
      </c>
      <c r="E20" s="48">
        <f t="shared" si="8"/>
        <v>273.62153846153842</v>
      </c>
      <c r="F20" s="48">
        <f t="shared" si="8"/>
        <v>502.2</v>
      </c>
      <c r="G20" s="89">
        <f t="shared" si="10"/>
        <v>1618.8546327238337</v>
      </c>
      <c r="H20" s="48">
        <f t="shared" si="9"/>
        <v>252.30000000000004</v>
      </c>
      <c r="I20" s="48">
        <f t="shared" si="9"/>
        <v>248.66666666666671</v>
      </c>
      <c r="J20" s="48">
        <f t="shared" si="9"/>
        <v>156.83783783783784</v>
      </c>
      <c r="K20" s="48">
        <f t="shared" si="9"/>
        <v>200.51111111111109</v>
      </c>
      <c r="L20" s="89">
        <f t="shared" si="11"/>
        <v>858.31561561561568</v>
      </c>
      <c r="M20" s="23"/>
      <c r="N20" s="92">
        <f t="shared" si="12"/>
        <v>-0.46980068607430125</v>
      </c>
      <c r="O20" s="32"/>
      <c r="P20" s="32">
        <v>-0.3</v>
      </c>
      <c r="Q20" s="7"/>
      <c r="R20" s="48"/>
      <c r="S20" s="48"/>
      <c r="T20" s="48"/>
      <c r="U20" s="48"/>
      <c r="V20" s="89"/>
    </row>
    <row r="21" spans="2:22" ht="12.75" thickBot="1">
      <c r="B21" s="95" t="s">
        <v>66</v>
      </c>
      <c r="C21" s="96">
        <f>SUM(C17:C20)</f>
        <v>1362.9240993399535</v>
      </c>
      <c r="D21" s="96">
        <f t="shared" ref="D21" si="13">SUM(D17:D20)</f>
        <v>1559.9726988017428</v>
      </c>
      <c r="E21" s="96">
        <f t="shared" ref="E21" si="14">SUM(E17:E20)</f>
        <v>1031.0862686833193</v>
      </c>
      <c r="F21" s="96">
        <f t="shared" ref="F21" si="15">SUM(F17:F20)</f>
        <v>1606.8071535022355</v>
      </c>
      <c r="G21" s="97">
        <f t="shared" si="10"/>
        <v>5560.7902203272515</v>
      </c>
      <c r="H21" s="96">
        <f>SUM(H17:H20)</f>
        <v>1360.2380952380952</v>
      </c>
      <c r="I21" s="96">
        <f t="shared" ref="I21" si="16">SUM(I17:I20)</f>
        <v>1637.5648305084744</v>
      </c>
      <c r="J21" s="96">
        <f t="shared" ref="J21" si="17">SUM(J17:J20)</f>
        <v>1346.9526860740973</v>
      </c>
      <c r="K21" s="96">
        <f t="shared" ref="K21" si="18">SUM(K17:K20)</f>
        <v>2183.0950659133709</v>
      </c>
      <c r="L21" s="97">
        <f t="shared" si="11"/>
        <v>6527.8506777340372</v>
      </c>
      <c r="M21" s="30"/>
      <c r="N21" s="93">
        <f t="shared" si="12"/>
        <v>0.17390702024178761</v>
      </c>
      <c r="O21" s="33"/>
      <c r="P21" s="33"/>
      <c r="Q21" s="7"/>
      <c r="R21" s="96"/>
      <c r="S21" s="96"/>
      <c r="T21" s="96"/>
      <c r="U21" s="96"/>
      <c r="V21" s="97"/>
    </row>
    <row r="22" spans="2:22">
      <c r="Q22" s="7"/>
    </row>
    <row r="23" spans="2:22" ht="4.5" customHeight="1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9"/>
      <c r="R23" s="18"/>
      <c r="S23" s="18"/>
      <c r="T23" s="18"/>
      <c r="U23" s="18"/>
      <c r="V23" s="18"/>
    </row>
    <row r="24" spans="2:22">
      <c r="Q24" s="7"/>
    </row>
    <row r="25" spans="2:22">
      <c r="Q25" s="7"/>
      <c r="R25" s="102" t="s">
        <v>62</v>
      </c>
      <c r="S25" s="102"/>
      <c r="T25" s="102"/>
      <c r="U25" s="102"/>
      <c r="V25" s="102"/>
    </row>
    <row r="26" spans="2:22" ht="3.75" customHeight="1">
      <c r="Q26" s="7"/>
    </row>
    <row r="27" spans="2:22" ht="12.75" thickBot="1">
      <c r="B27" s="46" t="s">
        <v>67</v>
      </c>
      <c r="C27" s="57" t="s">
        <v>14</v>
      </c>
      <c r="D27" s="57" t="s">
        <v>15</v>
      </c>
      <c r="E27" s="57" t="s">
        <v>16</v>
      </c>
      <c r="F27" s="57" t="s">
        <v>17</v>
      </c>
      <c r="G27" s="57" t="s">
        <v>18</v>
      </c>
      <c r="H27" s="57" t="s">
        <v>14</v>
      </c>
      <c r="I27" s="57" t="s">
        <v>15</v>
      </c>
      <c r="J27" s="57" t="s">
        <v>16</v>
      </c>
      <c r="K27" s="57" t="s">
        <v>17</v>
      </c>
      <c r="L27" s="57" t="s">
        <v>19</v>
      </c>
      <c r="M27" s="29"/>
      <c r="N27" s="91" t="s">
        <v>84</v>
      </c>
      <c r="O27" s="29"/>
      <c r="P27" s="34" t="s">
        <v>85</v>
      </c>
      <c r="Q27" s="7"/>
      <c r="R27" s="57" t="s">
        <v>14</v>
      </c>
      <c r="S27" s="57" t="s">
        <v>15</v>
      </c>
      <c r="T27" s="57" t="s">
        <v>16</v>
      </c>
      <c r="U27" s="57" t="s">
        <v>17</v>
      </c>
      <c r="V27" s="57" t="s">
        <v>63</v>
      </c>
    </row>
    <row r="28" spans="2:22">
      <c r="B28" s="2" t="s">
        <v>57</v>
      </c>
      <c r="C28" s="49">
        <v>12.5</v>
      </c>
      <c r="D28" s="49">
        <v>13.2</v>
      </c>
      <c r="E28" s="49">
        <v>13.4</v>
      </c>
      <c r="F28" s="49">
        <v>15.8</v>
      </c>
      <c r="G28" s="90">
        <f>G48/G8</f>
        <v>13.515335367511099</v>
      </c>
      <c r="H28" s="49">
        <v>11.4</v>
      </c>
      <c r="I28" s="49">
        <v>12.3</v>
      </c>
      <c r="J28" s="49">
        <v>13.8</v>
      </c>
      <c r="K28" s="49">
        <v>21.3</v>
      </c>
      <c r="L28" s="90">
        <f>L48/L8</f>
        <v>14.661745522726118</v>
      </c>
      <c r="M28" s="26"/>
      <c r="N28" s="92">
        <f>L28/G28-1</f>
        <v>8.482291589824853E-2</v>
      </c>
      <c r="O28" s="32"/>
      <c r="P28" s="32">
        <v>0.1</v>
      </c>
      <c r="Q28" s="21"/>
      <c r="R28" s="49"/>
      <c r="S28" s="49"/>
      <c r="T28" s="49"/>
      <c r="U28" s="49"/>
      <c r="V28" s="90"/>
    </row>
    <row r="29" spans="2:22">
      <c r="B29" s="2" t="s">
        <v>58</v>
      </c>
      <c r="C29" s="49">
        <v>16.399999999999999</v>
      </c>
      <c r="D29" s="49">
        <v>16.100000000000001</v>
      </c>
      <c r="E29" s="49">
        <v>16.7</v>
      </c>
      <c r="F29" s="49">
        <v>19.8</v>
      </c>
      <c r="G29" s="90">
        <f t="shared" ref="G29:G32" si="19">G49/G9</f>
        <v>17.594523518510091</v>
      </c>
      <c r="H29" s="49">
        <v>18.399999999999999</v>
      </c>
      <c r="I29" s="49">
        <v>19.3</v>
      </c>
      <c r="J29" s="49">
        <v>16.899999999999999</v>
      </c>
      <c r="K29" s="49">
        <v>20.100000000000001</v>
      </c>
      <c r="L29" s="90">
        <f t="shared" ref="L29:L32" si="20">L49/L9</f>
        <v>18.876521062285171</v>
      </c>
      <c r="M29" s="26"/>
      <c r="N29" s="92">
        <f t="shared" ref="N29:N32" si="21">L29/G29-1</f>
        <v>7.286344199241146E-2</v>
      </c>
      <c r="O29" s="32"/>
      <c r="P29" s="32">
        <v>0.06</v>
      </c>
      <c r="Q29" s="21"/>
      <c r="R29" s="49"/>
      <c r="S29" s="49"/>
      <c r="T29" s="49"/>
      <c r="U29" s="49"/>
      <c r="V29" s="90"/>
    </row>
    <row r="30" spans="2:22">
      <c r="B30" s="2" t="s">
        <v>59</v>
      </c>
      <c r="C30" s="49">
        <v>28.1</v>
      </c>
      <c r="D30" s="49">
        <v>25.9</v>
      </c>
      <c r="E30" s="49">
        <v>22.1</v>
      </c>
      <c r="F30" s="49">
        <v>13.6</v>
      </c>
      <c r="G30" s="90">
        <f t="shared" si="19"/>
        <v>20.323443688277134</v>
      </c>
      <c r="H30" s="49">
        <v>18.3</v>
      </c>
      <c r="I30" s="49">
        <v>15.3</v>
      </c>
      <c r="J30" s="49">
        <v>12.4</v>
      </c>
      <c r="K30" s="49">
        <v>8.3000000000000007</v>
      </c>
      <c r="L30" s="90">
        <f t="shared" si="20"/>
        <v>11.428841168793529</v>
      </c>
      <c r="M30" s="26"/>
      <c r="N30" s="92">
        <f t="shared" si="21"/>
        <v>-0.43765233175586993</v>
      </c>
      <c r="O30" s="32"/>
      <c r="P30" s="32">
        <v>-0.3</v>
      </c>
      <c r="Q30" s="21"/>
      <c r="R30" s="49"/>
      <c r="S30" s="49"/>
      <c r="T30" s="49"/>
      <c r="U30" s="49"/>
      <c r="V30" s="90"/>
    </row>
    <row r="31" spans="2:22">
      <c r="B31" s="2" t="s">
        <v>61</v>
      </c>
      <c r="C31" s="49">
        <v>13.5</v>
      </c>
      <c r="D31" s="49">
        <v>13.5</v>
      </c>
      <c r="E31" s="49">
        <v>14.5</v>
      </c>
      <c r="F31" s="49">
        <v>17.600000000000001</v>
      </c>
      <c r="G31" s="90">
        <f t="shared" si="19"/>
        <v>14.931400876083133</v>
      </c>
      <c r="H31" s="49">
        <v>15.1</v>
      </c>
      <c r="I31" s="49">
        <v>15.5</v>
      </c>
      <c r="J31" s="49">
        <v>13.9</v>
      </c>
      <c r="K31" s="49">
        <v>18.100000000000001</v>
      </c>
      <c r="L31" s="90">
        <f t="shared" si="20"/>
        <v>15.107353225742209</v>
      </c>
      <c r="M31" s="26"/>
      <c r="N31" s="92">
        <f t="shared" si="21"/>
        <v>1.1784048336744624E-2</v>
      </c>
      <c r="O31" s="32"/>
      <c r="P31" s="32">
        <v>0.02</v>
      </c>
      <c r="Q31" s="21"/>
      <c r="R31" s="49"/>
      <c r="S31" s="49"/>
      <c r="T31" s="49"/>
      <c r="U31" s="49"/>
      <c r="V31" s="90"/>
    </row>
    <row r="32" spans="2:22" ht="12.75" thickBot="1">
      <c r="B32" s="95" t="s">
        <v>70</v>
      </c>
      <c r="C32" s="98">
        <v>14.295694562377671</v>
      </c>
      <c r="D32" s="98">
        <v>14.530401298844806</v>
      </c>
      <c r="E32" s="98">
        <v>14.806975173933841</v>
      </c>
      <c r="F32" s="98">
        <v>17.372052002351865</v>
      </c>
      <c r="G32" s="99">
        <f t="shared" si="19"/>
        <v>15.303938788730242</v>
      </c>
      <c r="H32" s="98">
        <v>14.7993651674593</v>
      </c>
      <c r="I32" s="98">
        <v>14.923039269528052</v>
      </c>
      <c r="J32" s="98">
        <v>14.125334489190982</v>
      </c>
      <c r="K32" s="98">
        <v>15.84633660898684</v>
      </c>
      <c r="L32" s="99">
        <f t="shared" si="20"/>
        <v>14.959769264940029</v>
      </c>
      <c r="M32" s="31"/>
      <c r="N32" s="93">
        <f t="shared" si="21"/>
        <v>-2.248895062515921E-2</v>
      </c>
      <c r="O32" s="33"/>
      <c r="P32" s="33"/>
      <c r="Q32" s="21"/>
      <c r="R32" s="98"/>
      <c r="S32" s="98"/>
      <c r="T32" s="98"/>
      <c r="U32" s="98"/>
      <c r="V32" s="99"/>
    </row>
    <row r="33" spans="2:22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7"/>
    </row>
    <row r="34" spans="2:22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7"/>
      <c r="R34" s="102" t="s">
        <v>62</v>
      </c>
      <c r="S34" s="102"/>
      <c r="T34" s="102"/>
      <c r="U34" s="102"/>
      <c r="V34" s="102"/>
    </row>
    <row r="35" spans="2:22" ht="3.75" customHeight="1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7"/>
    </row>
    <row r="36" spans="2:22" ht="12.75" thickBot="1">
      <c r="B36" s="46" t="s">
        <v>68</v>
      </c>
      <c r="C36" s="57" t="s">
        <v>14</v>
      </c>
      <c r="D36" s="57" t="s">
        <v>15</v>
      </c>
      <c r="E36" s="57" t="s">
        <v>16</v>
      </c>
      <c r="F36" s="57" t="s">
        <v>17</v>
      </c>
      <c r="G36" s="57" t="s">
        <v>18</v>
      </c>
      <c r="H36" s="57" t="s">
        <v>14</v>
      </c>
      <c r="I36" s="57" t="s">
        <v>15</v>
      </c>
      <c r="J36" s="57" t="s">
        <v>16</v>
      </c>
      <c r="K36" s="57" t="s">
        <v>17</v>
      </c>
      <c r="L36" s="57" t="s">
        <v>19</v>
      </c>
      <c r="M36" s="29"/>
      <c r="N36" s="91" t="s">
        <v>84</v>
      </c>
      <c r="O36" s="29"/>
      <c r="P36" s="34" t="s">
        <v>85</v>
      </c>
      <c r="Q36" s="7"/>
      <c r="R36" s="57" t="s">
        <v>14</v>
      </c>
      <c r="S36" s="57" t="s">
        <v>15</v>
      </c>
      <c r="T36" s="57" t="s">
        <v>16</v>
      </c>
      <c r="U36" s="57" t="s">
        <v>17</v>
      </c>
      <c r="V36" s="57" t="s">
        <v>63</v>
      </c>
    </row>
    <row r="37" spans="2:22">
      <c r="B37" s="2" t="s">
        <v>57</v>
      </c>
      <c r="C37" s="49">
        <v>5.4</v>
      </c>
      <c r="D37" s="49">
        <v>5.0999999999999996</v>
      </c>
      <c r="E37" s="49">
        <v>5.3</v>
      </c>
      <c r="F37" s="49">
        <v>5.5</v>
      </c>
      <c r="G37" s="90">
        <f t="shared" ref="G37:G41" si="22">G57/G17</f>
        <v>5.3130623409595579</v>
      </c>
      <c r="H37" s="49">
        <v>4.9000000000000004</v>
      </c>
      <c r="I37" s="49">
        <v>4.8</v>
      </c>
      <c r="J37" s="49">
        <v>5.3</v>
      </c>
      <c r="K37" s="49">
        <v>5.5</v>
      </c>
      <c r="L37" s="90">
        <f t="shared" ref="L37:L41" si="23">L57/L17</f>
        <v>5.1476688491378084</v>
      </c>
      <c r="M37" s="26"/>
      <c r="N37" s="92">
        <f>L37/G37-1</f>
        <v>-3.1129597435116674E-2</v>
      </c>
      <c r="O37" s="32"/>
      <c r="P37" s="32">
        <v>-0.02</v>
      </c>
      <c r="Q37" s="7"/>
      <c r="R37" s="49"/>
      <c r="S37" s="49"/>
      <c r="T37" s="49"/>
      <c r="U37" s="49"/>
      <c r="V37" s="90"/>
    </row>
    <row r="38" spans="2:22">
      <c r="B38" s="2" t="s">
        <v>58</v>
      </c>
      <c r="C38" s="49">
        <v>4.5</v>
      </c>
      <c r="D38" s="49">
        <v>5.4</v>
      </c>
      <c r="E38" s="49">
        <v>5.7</v>
      </c>
      <c r="F38" s="49">
        <v>6.1</v>
      </c>
      <c r="G38" s="90">
        <f t="shared" si="22"/>
        <v>5.3980797062330312</v>
      </c>
      <c r="H38" s="49">
        <v>4.5</v>
      </c>
      <c r="I38" s="49">
        <v>5.9</v>
      </c>
      <c r="J38" s="49">
        <v>5.3</v>
      </c>
      <c r="K38" s="49">
        <v>5.9</v>
      </c>
      <c r="L38" s="90">
        <f t="shared" si="23"/>
        <v>5.4126441673813881</v>
      </c>
      <c r="M38" s="26"/>
      <c r="N38" s="92">
        <f t="shared" ref="N38:N41" si="24">L38/G38-1</f>
        <v>2.6980818996689138E-3</v>
      </c>
      <c r="O38" s="32"/>
      <c r="P38" s="32">
        <v>0</v>
      </c>
      <c r="Q38" s="7"/>
      <c r="R38" s="49"/>
      <c r="S38" s="49"/>
      <c r="T38" s="49"/>
      <c r="U38" s="49"/>
      <c r="V38" s="90"/>
    </row>
    <row r="39" spans="2:22">
      <c r="B39" s="2" t="s">
        <v>59</v>
      </c>
      <c r="C39" s="49">
        <v>3.1</v>
      </c>
      <c r="D39" s="49">
        <v>3.2</v>
      </c>
      <c r="E39" s="49">
        <v>2.8</v>
      </c>
      <c r="F39" s="49">
        <v>2.9</v>
      </c>
      <c r="G39" s="90">
        <f t="shared" si="22"/>
        <v>2.991793878298894</v>
      </c>
      <c r="H39" s="49">
        <v>2.7</v>
      </c>
      <c r="I39" s="49">
        <v>2.5</v>
      </c>
      <c r="J39" s="49">
        <v>2.2999999999999998</v>
      </c>
      <c r="K39" s="49">
        <v>2.1</v>
      </c>
      <c r="L39" s="90">
        <f t="shared" si="23"/>
        <v>2.3262513137963867</v>
      </c>
      <c r="M39" s="26"/>
      <c r="N39" s="92">
        <f t="shared" si="24"/>
        <v>-0.222456021897113</v>
      </c>
      <c r="O39" s="32"/>
      <c r="P39" s="32">
        <v>-0.15</v>
      </c>
      <c r="Q39" s="7"/>
      <c r="R39" s="49"/>
      <c r="S39" s="49"/>
      <c r="T39" s="49"/>
      <c r="U39" s="49"/>
      <c r="V39" s="90"/>
    </row>
    <row r="40" spans="2:22">
      <c r="B40" s="2" t="s">
        <v>61</v>
      </c>
      <c r="C40" s="49">
        <v>6.1</v>
      </c>
      <c r="D40" s="49">
        <v>6.4</v>
      </c>
      <c r="E40" s="49">
        <v>6.5</v>
      </c>
      <c r="F40" s="49">
        <v>5.8</v>
      </c>
      <c r="G40" s="90">
        <f t="shared" si="22"/>
        <v>6.1617515238019944</v>
      </c>
      <c r="H40" s="49">
        <v>7.1</v>
      </c>
      <c r="I40" s="49">
        <v>7.2</v>
      </c>
      <c r="J40" s="49">
        <v>7.4</v>
      </c>
      <c r="K40" s="49">
        <v>8.1</v>
      </c>
      <c r="L40" s="90">
        <f t="shared" si="23"/>
        <v>7.4173997119156843</v>
      </c>
      <c r="M40" s="26"/>
      <c r="N40" s="92">
        <f t="shared" si="24"/>
        <v>0.20378104882407122</v>
      </c>
      <c r="O40" s="32"/>
      <c r="P40" s="32">
        <v>0.25</v>
      </c>
      <c r="Q40" s="7"/>
      <c r="R40" s="49"/>
      <c r="S40" s="49"/>
      <c r="T40" s="49"/>
      <c r="U40" s="49"/>
      <c r="V40" s="90"/>
    </row>
    <row r="41" spans="2:22" ht="12.75" thickBot="1">
      <c r="B41" s="95" t="s">
        <v>71</v>
      </c>
      <c r="C41" s="98">
        <v>4.9026941435961149</v>
      </c>
      <c r="D41" s="98">
        <v>5.2180400376574241</v>
      </c>
      <c r="E41" s="98">
        <v>5.0732903335817898</v>
      </c>
      <c r="F41" s="98">
        <v>5.0354518165821345</v>
      </c>
      <c r="G41" s="99">
        <f t="shared" si="22"/>
        <v>5.0611511826360047</v>
      </c>
      <c r="H41" s="98">
        <v>4.541116751269036</v>
      </c>
      <c r="I41" s="98">
        <v>4.5555448315799634</v>
      </c>
      <c r="J41" s="98">
        <v>4.3082433852325908</v>
      </c>
      <c r="K41" s="98">
        <v>4.1331228038962777</v>
      </c>
      <c r="L41" s="99">
        <f t="shared" si="23"/>
        <v>4.3602406680479007</v>
      </c>
      <c r="M41" s="31"/>
      <c r="N41" s="93">
        <f t="shared" si="24"/>
        <v>-0.13848835754853861</v>
      </c>
      <c r="O41" s="33"/>
      <c r="P41" s="33"/>
      <c r="Q41" s="7"/>
      <c r="R41" s="98"/>
      <c r="S41" s="98"/>
      <c r="T41" s="98"/>
      <c r="U41" s="98"/>
      <c r="V41" s="98"/>
    </row>
    <row r="42" spans="2:22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7"/>
    </row>
    <row r="43" spans="2:22" ht="3.75" customHeight="1">
      <c r="B43" s="18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19"/>
      <c r="R43" s="18"/>
      <c r="S43" s="18"/>
      <c r="T43" s="18"/>
      <c r="U43" s="18"/>
      <c r="V43" s="18"/>
    </row>
    <row r="44" spans="2:22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7"/>
    </row>
    <row r="45" spans="2:22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7"/>
      <c r="R45" s="102" t="s">
        <v>62</v>
      </c>
      <c r="S45" s="102"/>
      <c r="T45" s="102"/>
      <c r="U45" s="102"/>
      <c r="V45" s="102"/>
    </row>
    <row r="46" spans="2:22" ht="3.75" customHeight="1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7"/>
    </row>
    <row r="47" spans="2:22" ht="12.75" thickBot="1">
      <c r="B47" s="46" t="s">
        <v>69</v>
      </c>
      <c r="C47" s="57" t="s">
        <v>14</v>
      </c>
      <c r="D47" s="57" t="s">
        <v>15</v>
      </c>
      <c r="E47" s="57" t="s">
        <v>16</v>
      </c>
      <c r="F47" s="57" t="s">
        <v>17</v>
      </c>
      <c r="G47" s="57" t="s">
        <v>18</v>
      </c>
      <c r="H47" s="57" t="s">
        <v>14</v>
      </c>
      <c r="I47" s="57" t="s">
        <v>15</v>
      </c>
      <c r="J47" s="57" t="s">
        <v>16</v>
      </c>
      <c r="K47" s="57" t="s">
        <v>17</v>
      </c>
      <c r="L47" s="57" t="s">
        <v>19</v>
      </c>
      <c r="M47" s="29"/>
      <c r="N47" s="91" t="s">
        <v>84</v>
      </c>
      <c r="O47" s="29"/>
      <c r="P47" s="29"/>
      <c r="Q47" s="7"/>
      <c r="R47" s="57" t="s">
        <v>14</v>
      </c>
      <c r="S47" s="57" t="s">
        <v>15</v>
      </c>
      <c r="T47" s="57" t="s">
        <v>16</v>
      </c>
      <c r="U47" s="57" t="s">
        <v>17</v>
      </c>
      <c r="V47" s="57" t="s">
        <v>63</v>
      </c>
    </row>
    <row r="48" spans="2:22">
      <c r="B48" s="2" t="s">
        <v>57</v>
      </c>
      <c r="C48" s="48">
        <v>6069.36</v>
      </c>
      <c r="D48" s="48">
        <v>6776.48</v>
      </c>
      <c r="E48" s="48">
        <v>5469.6</v>
      </c>
      <c r="F48" s="48">
        <v>4854.5</v>
      </c>
      <c r="G48" s="89">
        <f>SUM(C48:F48)</f>
        <v>23169.940000000002</v>
      </c>
      <c r="H48" s="48">
        <v>4267.38</v>
      </c>
      <c r="I48" s="48">
        <v>5677.8</v>
      </c>
      <c r="J48" s="48">
        <v>5774.2999999999993</v>
      </c>
      <c r="K48" s="48">
        <v>8572.8000000000011</v>
      </c>
      <c r="L48" s="89">
        <f>SUM(H48:K48)</f>
        <v>24292.28</v>
      </c>
      <c r="M48" s="23"/>
      <c r="N48" s="92">
        <f>L48/G48-1</f>
        <v>4.8439486679723753E-2</v>
      </c>
      <c r="O48" s="32"/>
      <c r="P48" s="32"/>
      <c r="Q48" s="7"/>
      <c r="R48" s="48"/>
      <c r="S48" s="48"/>
      <c r="T48" s="48"/>
      <c r="U48" s="48"/>
      <c r="V48" s="89"/>
    </row>
    <row r="49" spans="2:22">
      <c r="B49" s="2" t="s">
        <v>58</v>
      </c>
      <c r="C49" s="48">
        <v>3034.68</v>
      </c>
      <c r="D49" s="48">
        <v>3801.44</v>
      </c>
      <c r="E49" s="48">
        <v>3418.5</v>
      </c>
      <c r="F49" s="48">
        <v>6796.2999999999993</v>
      </c>
      <c r="G49" s="89">
        <f t="shared" ref="G49:G51" si="25">SUM(C49:F49)</f>
        <v>17050.919999999998</v>
      </c>
      <c r="H49" s="48">
        <v>4103.25</v>
      </c>
      <c r="I49" s="48">
        <v>3974.46</v>
      </c>
      <c r="J49" s="48">
        <v>3629.56</v>
      </c>
      <c r="K49" s="48">
        <v>7286.88</v>
      </c>
      <c r="L49" s="89">
        <f t="shared" ref="L49:L51" si="26">SUM(H49:K49)</f>
        <v>18994.150000000001</v>
      </c>
      <c r="M49" s="23"/>
      <c r="N49" s="92">
        <f t="shared" ref="N49:N52" si="27">L49/G49-1</f>
        <v>0.11396628451719937</v>
      </c>
      <c r="O49" s="32"/>
      <c r="P49" s="32"/>
      <c r="Q49" s="7"/>
      <c r="R49" s="48"/>
      <c r="S49" s="48"/>
      <c r="T49" s="48"/>
      <c r="U49" s="48"/>
      <c r="V49" s="89"/>
    </row>
    <row r="50" spans="2:22">
      <c r="B50" s="2" t="s">
        <v>59</v>
      </c>
      <c r="C50" s="48">
        <v>1379.4</v>
      </c>
      <c r="D50" s="48">
        <v>1487.52</v>
      </c>
      <c r="E50" s="48">
        <v>820.43999999999994</v>
      </c>
      <c r="F50" s="48">
        <v>1553.44</v>
      </c>
      <c r="G50" s="89">
        <f t="shared" si="25"/>
        <v>5240.8</v>
      </c>
      <c r="H50" s="48">
        <v>1805.43</v>
      </c>
      <c r="I50" s="48">
        <v>2838.9</v>
      </c>
      <c r="J50" s="48">
        <v>2804.6600000000003</v>
      </c>
      <c r="K50" s="48">
        <v>4286.4000000000005</v>
      </c>
      <c r="L50" s="89">
        <f t="shared" si="26"/>
        <v>11735.39</v>
      </c>
      <c r="M50" s="23"/>
      <c r="N50" s="92">
        <f t="shared" si="27"/>
        <v>1.2392363761257821</v>
      </c>
      <c r="O50" s="32"/>
      <c r="P50" s="32"/>
      <c r="Q50" s="7"/>
      <c r="R50" s="48"/>
      <c r="S50" s="48"/>
      <c r="T50" s="48"/>
      <c r="U50" s="48"/>
      <c r="V50" s="89"/>
    </row>
    <row r="51" spans="2:22">
      <c r="B51" s="2" t="s">
        <v>61</v>
      </c>
      <c r="C51" s="48">
        <v>3310.5600000000009</v>
      </c>
      <c r="D51" s="48">
        <v>4462.5600000000013</v>
      </c>
      <c r="E51" s="48">
        <v>3965.4599999999991</v>
      </c>
      <c r="F51" s="48">
        <v>6213.7600000000011</v>
      </c>
      <c r="G51" s="89">
        <f t="shared" si="25"/>
        <v>17952.340000000004</v>
      </c>
      <c r="H51" s="48">
        <v>6236.9400000000005</v>
      </c>
      <c r="I51" s="48">
        <v>6434.84</v>
      </c>
      <c r="J51" s="48">
        <v>4289.4800000000005</v>
      </c>
      <c r="K51" s="48">
        <v>1285.9199999999998</v>
      </c>
      <c r="L51" s="89">
        <f t="shared" si="26"/>
        <v>18247.18</v>
      </c>
      <c r="M51" s="23"/>
      <c r="N51" s="92">
        <f t="shared" si="27"/>
        <v>1.6423485740577393E-2</v>
      </c>
      <c r="O51" s="32"/>
      <c r="P51" s="32"/>
      <c r="Q51" s="7"/>
      <c r="R51" s="48"/>
      <c r="S51" s="48"/>
      <c r="T51" s="48"/>
      <c r="U51" s="48"/>
      <c r="V51" s="89"/>
    </row>
    <row r="52" spans="2:22" ht="12.75" thickBot="1">
      <c r="B52" s="95" t="s">
        <v>73</v>
      </c>
      <c r="C52" s="96">
        <f>SUM(C48:C51)</f>
        <v>13794</v>
      </c>
      <c r="D52" s="96">
        <f t="shared" ref="D52:F52" si="28">SUM(D48:D51)</f>
        <v>16528</v>
      </c>
      <c r="E52" s="96">
        <f t="shared" si="28"/>
        <v>13674</v>
      </c>
      <c r="F52" s="96">
        <f t="shared" si="28"/>
        <v>19418</v>
      </c>
      <c r="G52" s="97">
        <f t="shared" ref="G52" si="29">SUM(G48:G51)</f>
        <v>63414.000000000007</v>
      </c>
      <c r="H52" s="96">
        <f>SUM(H48:H51)</f>
        <v>16413</v>
      </c>
      <c r="I52" s="96">
        <f t="shared" ref="I52" si="30">SUM(I48:I51)</f>
        <v>18926</v>
      </c>
      <c r="J52" s="96">
        <f t="shared" ref="J52" si="31">SUM(J48:J51)</f>
        <v>16498</v>
      </c>
      <c r="K52" s="96">
        <f t="shared" ref="K52" si="32">SUM(K48:K51)</f>
        <v>21432</v>
      </c>
      <c r="L52" s="97">
        <f t="shared" ref="L52" si="33">SUM(L48:L51)</f>
        <v>73269</v>
      </c>
      <c r="M52" s="30"/>
      <c r="N52" s="93">
        <f t="shared" si="27"/>
        <v>0.15540732330400209</v>
      </c>
      <c r="O52" s="33"/>
      <c r="P52" s="33"/>
      <c r="Q52" s="7"/>
      <c r="R52" s="96"/>
      <c r="S52" s="96"/>
      <c r="T52" s="96"/>
      <c r="U52" s="96"/>
      <c r="V52" s="97"/>
    </row>
    <row r="53" spans="2:22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7"/>
    </row>
    <row r="54" spans="2:22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7"/>
      <c r="R54" s="102" t="s">
        <v>62</v>
      </c>
      <c r="S54" s="102"/>
      <c r="T54" s="102"/>
      <c r="U54" s="102"/>
      <c r="V54" s="102"/>
    </row>
    <row r="55" spans="2:22" ht="3.75" customHeight="1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7"/>
    </row>
    <row r="56" spans="2:22" ht="12.75" thickBot="1">
      <c r="B56" s="46" t="s">
        <v>69</v>
      </c>
      <c r="C56" s="57" t="s">
        <v>14</v>
      </c>
      <c r="D56" s="57" t="s">
        <v>15</v>
      </c>
      <c r="E56" s="57" t="s">
        <v>16</v>
      </c>
      <c r="F56" s="57" t="s">
        <v>17</v>
      </c>
      <c r="G56" s="57" t="s">
        <v>18</v>
      </c>
      <c r="H56" s="57" t="s">
        <v>14</v>
      </c>
      <c r="I56" s="57" t="s">
        <v>15</v>
      </c>
      <c r="J56" s="57" t="s">
        <v>16</v>
      </c>
      <c r="K56" s="57" t="s">
        <v>17</v>
      </c>
      <c r="L56" s="57" t="s">
        <v>19</v>
      </c>
      <c r="M56" s="29"/>
      <c r="N56" s="91" t="s">
        <v>84</v>
      </c>
      <c r="O56" s="29"/>
      <c r="P56" s="29"/>
      <c r="Q56" s="7"/>
      <c r="R56" s="57" t="s">
        <v>14</v>
      </c>
      <c r="S56" s="57" t="s">
        <v>15</v>
      </c>
      <c r="T56" s="57" t="s">
        <v>16</v>
      </c>
      <c r="U56" s="57" t="s">
        <v>17</v>
      </c>
      <c r="V56" s="57" t="s">
        <v>63</v>
      </c>
    </row>
    <row r="57" spans="2:22">
      <c r="B57" s="2" t="s">
        <v>57</v>
      </c>
      <c r="C57" s="48">
        <v>2071.42</v>
      </c>
      <c r="D57" s="48">
        <v>2360.6</v>
      </c>
      <c r="E57" s="48">
        <v>1412.3700000000001</v>
      </c>
      <c r="F57" s="48">
        <v>2022.75</v>
      </c>
      <c r="G57" s="89">
        <f>SUM(C57:F57)</f>
        <v>7867.14</v>
      </c>
      <c r="H57" s="48">
        <v>1729.5600000000002</v>
      </c>
      <c r="I57" s="48">
        <v>2163.3999999999996</v>
      </c>
      <c r="J57" s="48">
        <v>1856.96</v>
      </c>
      <c r="K57" s="48">
        <v>2977.59</v>
      </c>
      <c r="L57" s="89">
        <f>SUM(H57:K57)</f>
        <v>8727.51</v>
      </c>
      <c r="M57" s="23"/>
      <c r="N57" s="92">
        <f>L57/G57-1</f>
        <v>0.10936248751134459</v>
      </c>
      <c r="O57" s="32"/>
      <c r="P57" s="32"/>
      <c r="Q57" s="7"/>
      <c r="R57" s="48"/>
      <c r="S57" s="48"/>
      <c r="T57" s="48"/>
      <c r="U57" s="48"/>
      <c r="V57" s="89"/>
    </row>
    <row r="58" spans="2:22">
      <c r="B58" s="2" t="s">
        <v>58</v>
      </c>
      <c r="C58" s="48">
        <v>1470.04</v>
      </c>
      <c r="D58" s="48">
        <v>1872.2</v>
      </c>
      <c r="E58" s="48">
        <v>1307.75</v>
      </c>
      <c r="F58" s="48">
        <v>1941.84</v>
      </c>
      <c r="G58" s="89">
        <f t="shared" ref="G58:G60" si="34">SUM(C58:F58)</f>
        <v>6591.83</v>
      </c>
      <c r="H58" s="48">
        <v>1544.25</v>
      </c>
      <c r="I58" s="48">
        <v>2014.2</v>
      </c>
      <c r="J58" s="48">
        <v>1508.78</v>
      </c>
      <c r="K58" s="48">
        <v>2165.52</v>
      </c>
      <c r="L58" s="89">
        <f t="shared" ref="L58:L60" si="35">SUM(H58:K58)</f>
        <v>7232.75</v>
      </c>
      <c r="M58" s="23"/>
      <c r="N58" s="92">
        <f t="shared" ref="N58:N61" si="36">L58/G58-1</f>
        <v>9.7229449181790217E-2</v>
      </c>
      <c r="O58" s="32"/>
      <c r="P58" s="32"/>
      <c r="Q58" s="7"/>
      <c r="R58" s="48"/>
      <c r="S58" s="48"/>
      <c r="T58" s="48"/>
      <c r="U58" s="48"/>
      <c r="V58" s="89"/>
    </row>
    <row r="59" spans="2:22">
      <c r="B59" s="2" t="s">
        <v>59</v>
      </c>
      <c r="C59" s="48">
        <v>868.66000000000008</v>
      </c>
      <c r="D59" s="48">
        <v>895.4</v>
      </c>
      <c r="E59" s="48">
        <v>732.34</v>
      </c>
      <c r="F59" s="48">
        <v>1213.6499999999999</v>
      </c>
      <c r="G59" s="89">
        <f t="shared" si="34"/>
        <v>3710.05</v>
      </c>
      <c r="H59" s="48">
        <v>1111.8599999999999</v>
      </c>
      <c r="I59" s="48">
        <v>1492</v>
      </c>
      <c r="J59" s="48">
        <v>1276.6600000000001</v>
      </c>
      <c r="K59" s="48">
        <v>2255.75</v>
      </c>
      <c r="L59" s="89">
        <f t="shared" si="35"/>
        <v>6136.2699999999995</v>
      </c>
      <c r="M59" s="23"/>
      <c r="N59" s="92">
        <f t="shared" si="36"/>
        <v>0.65395884152504657</v>
      </c>
      <c r="O59" s="32"/>
      <c r="P59" s="32"/>
      <c r="Q59" s="7"/>
      <c r="R59" s="48"/>
      <c r="S59" s="48"/>
      <c r="T59" s="48"/>
      <c r="U59" s="48"/>
      <c r="V59" s="89"/>
    </row>
    <row r="60" spans="2:22">
      <c r="B60" s="2" t="s">
        <v>61</v>
      </c>
      <c r="C60" s="48">
        <v>2271.88</v>
      </c>
      <c r="D60" s="48">
        <v>3011.8000000000006</v>
      </c>
      <c r="E60" s="48">
        <v>1778.5399999999997</v>
      </c>
      <c r="F60" s="48">
        <v>2912.7599999999998</v>
      </c>
      <c r="G60" s="89">
        <f t="shared" si="34"/>
        <v>9974.98</v>
      </c>
      <c r="H60" s="48">
        <v>1791.3300000000002</v>
      </c>
      <c r="I60" s="48">
        <v>1790.4000000000003</v>
      </c>
      <c r="J60" s="48">
        <v>1160.6000000000001</v>
      </c>
      <c r="K60" s="48">
        <v>1624.1399999999999</v>
      </c>
      <c r="L60" s="89">
        <f t="shared" si="35"/>
        <v>6366.4700000000012</v>
      </c>
      <c r="M60" s="23"/>
      <c r="N60" s="92">
        <f t="shared" si="36"/>
        <v>-0.36175611379671924</v>
      </c>
      <c r="O60" s="32"/>
      <c r="P60" s="32"/>
      <c r="Q60" s="7"/>
      <c r="R60" s="48"/>
      <c r="S60" s="48"/>
      <c r="T60" s="48"/>
      <c r="U60" s="48"/>
      <c r="V60" s="89"/>
    </row>
    <row r="61" spans="2:22" ht="12.75" thickBot="1">
      <c r="B61" s="95" t="s">
        <v>72</v>
      </c>
      <c r="C61" s="96">
        <f>SUM(C57:C60)</f>
        <v>6682</v>
      </c>
      <c r="D61" s="96">
        <f>SUM(D57:D60)</f>
        <v>8140</v>
      </c>
      <c r="E61" s="96">
        <f>SUM(E57:E60)</f>
        <v>5231</v>
      </c>
      <c r="F61" s="96">
        <f>SUM(F57:F60)</f>
        <v>8091</v>
      </c>
      <c r="G61" s="97">
        <f t="shared" ref="G61:L61" si="37">SUM(G57:G60)</f>
        <v>28144</v>
      </c>
      <c r="H61" s="96">
        <f t="shared" si="37"/>
        <v>6177</v>
      </c>
      <c r="I61" s="96">
        <f t="shared" si="37"/>
        <v>7460</v>
      </c>
      <c r="J61" s="96">
        <f t="shared" si="37"/>
        <v>5803</v>
      </c>
      <c r="K61" s="96">
        <f t="shared" si="37"/>
        <v>9023</v>
      </c>
      <c r="L61" s="97">
        <f t="shared" si="37"/>
        <v>28463</v>
      </c>
      <c r="M61" s="30"/>
      <c r="N61" s="93">
        <f t="shared" si="36"/>
        <v>1.1334565093803262E-2</v>
      </c>
      <c r="O61" s="33"/>
      <c r="P61" s="33"/>
      <c r="Q61" s="7"/>
      <c r="R61" s="96"/>
      <c r="S61" s="96"/>
      <c r="T61" s="96"/>
      <c r="U61" s="96"/>
      <c r="V61" s="97"/>
    </row>
    <row r="62" spans="2:22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2:22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2:22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3:16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3:16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3:16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3:16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3:16">
      <c r="C69" s="24"/>
      <c r="D69" s="24"/>
      <c r="E69" s="24"/>
      <c r="F69" s="24"/>
      <c r="G69" s="8"/>
      <c r="H69" s="24"/>
      <c r="I69" s="24"/>
      <c r="J69" s="24"/>
      <c r="K69" s="24"/>
      <c r="L69" s="8"/>
      <c r="M69" s="8"/>
      <c r="N69" s="8"/>
      <c r="O69" s="8"/>
      <c r="P69" s="8"/>
    </row>
    <row r="70" spans="3:16">
      <c r="C70" s="24"/>
      <c r="D70" s="24"/>
      <c r="E70" s="24"/>
      <c r="F70" s="24"/>
      <c r="G70" s="8"/>
      <c r="H70" s="24"/>
      <c r="I70" s="24"/>
      <c r="J70" s="24"/>
      <c r="K70" s="24"/>
      <c r="L70" s="8"/>
      <c r="M70" s="8"/>
      <c r="N70" s="8"/>
      <c r="O70" s="8"/>
      <c r="P70" s="8"/>
    </row>
    <row r="71" spans="3:16">
      <c r="C71" s="24"/>
      <c r="D71" s="24"/>
      <c r="E71" s="24"/>
      <c r="F71" s="24"/>
      <c r="G71" s="8"/>
      <c r="H71" s="24"/>
      <c r="I71" s="24"/>
      <c r="J71" s="24"/>
      <c r="K71" s="24"/>
      <c r="L71" s="8"/>
      <c r="M71" s="8"/>
      <c r="N71" s="8"/>
      <c r="O71" s="8"/>
      <c r="P71" s="8"/>
    </row>
    <row r="72" spans="3:16">
      <c r="C72" s="25"/>
      <c r="D72" s="25"/>
      <c r="E72" s="25"/>
      <c r="F72" s="25"/>
      <c r="G72" s="8"/>
      <c r="H72" s="25"/>
      <c r="I72" s="25"/>
      <c r="J72" s="25"/>
      <c r="K72" s="25"/>
      <c r="L72" s="8"/>
      <c r="M72" s="8"/>
      <c r="N72" s="8"/>
      <c r="O72" s="8"/>
      <c r="P72" s="8"/>
    </row>
    <row r="73" spans="3:16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3:16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3:16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3:16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3:16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3:16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3:16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3:16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3:16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3:16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3:16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3:16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</sheetData>
  <mergeCells count="6">
    <mergeCell ref="R54:V54"/>
    <mergeCell ref="R5:V5"/>
    <mergeCell ref="R14:V14"/>
    <mergeCell ref="R25:V25"/>
    <mergeCell ref="R34:V34"/>
    <mergeCell ref="R45:V4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3"/>
  <sheetViews>
    <sheetView workbookViewId="0"/>
  </sheetViews>
  <sheetFormatPr defaultColWidth="9.140625" defaultRowHeight="12"/>
  <cols>
    <col min="1" max="1" width="2" style="2" customWidth="1"/>
    <col min="2" max="2" width="37.140625" style="2" bestFit="1" customWidth="1"/>
    <col min="3" max="3" width="12" style="2" bestFit="1" customWidth="1"/>
    <col min="4" max="16384" width="9.140625" style="2"/>
  </cols>
  <sheetData>
    <row r="1" spans="2:3" ht="15.75">
      <c r="B1" s="3" t="s">
        <v>75</v>
      </c>
    </row>
    <row r="5" spans="2:3">
      <c r="B5" s="2" t="s">
        <v>77</v>
      </c>
      <c r="C5" s="8"/>
    </row>
    <row r="6" spans="2:3">
      <c r="B6" s="2" t="s">
        <v>76</v>
      </c>
      <c r="C6" s="24"/>
    </row>
    <row r="7" spans="2:3">
      <c r="B7" s="4" t="s">
        <v>79</v>
      </c>
      <c r="C7" s="35"/>
    </row>
    <row r="8" spans="2:3">
      <c r="B8" s="2" t="s">
        <v>78</v>
      </c>
      <c r="C8" s="8"/>
    </row>
    <row r="9" spans="2:3">
      <c r="B9" s="4" t="s">
        <v>80</v>
      </c>
      <c r="C9" s="27"/>
    </row>
    <row r="10" spans="2:3">
      <c r="B10" s="28" t="s">
        <v>81</v>
      </c>
      <c r="C10" s="24"/>
    </row>
    <row r="11" spans="2:3">
      <c r="B11" s="4" t="s">
        <v>82</v>
      </c>
      <c r="C11" s="35"/>
    </row>
    <row r="12" spans="2:3">
      <c r="B12" s="2" t="s">
        <v>83</v>
      </c>
      <c r="C12" s="24"/>
    </row>
    <row r="13" spans="2:3" ht="12.75" thickBot="1">
      <c r="B13" s="5" t="s">
        <v>88</v>
      </c>
      <c r="C13" s="1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I22"/>
  <sheetViews>
    <sheetView workbookViewId="0"/>
  </sheetViews>
  <sheetFormatPr defaultColWidth="9.140625" defaultRowHeight="12"/>
  <cols>
    <col min="1" max="1" width="2" style="2" customWidth="1"/>
    <col min="2" max="2" width="24.5703125" style="2" customWidth="1"/>
    <col min="3" max="3" width="12" style="2" bestFit="1" customWidth="1"/>
    <col min="4" max="4" width="11" style="2" customWidth="1"/>
    <col min="5" max="5" width="10.5703125" style="2" bestFit="1" customWidth="1"/>
    <col min="6" max="6" width="10.42578125" style="2" customWidth="1"/>
    <col min="7" max="7" width="12" style="2" customWidth="1"/>
    <col min="8" max="8" width="2" style="2" customWidth="1"/>
    <col min="9" max="16384" width="9.140625" style="2"/>
  </cols>
  <sheetData>
    <row r="1" spans="2:9" ht="15.75">
      <c r="B1" s="3" t="s">
        <v>86</v>
      </c>
    </row>
    <row r="4" spans="2:9">
      <c r="B4" s="2" t="s">
        <v>87</v>
      </c>
      <c r="C4" s="36"/>
    </row>
    <row r="5" spans="2:9">
      <c r="B5" s="2" t="s">
        <v>89</v>
      </c>
      <c r="C5" s="36"/>
    </row>
    <row r="6" spans="2:9">
      <c r="B6" s="39" t="s">
        <v>90</v>
      </c>
      <c r="C6" s="40"/>
    </row>
    <row r="8" spans="2:9">
      <c r="B8" s="2" t="s">
        <v>91</v>
      </c>
      <c r="C8" s="36">
        <f>G15</f>
        <v>101732</v>
      </c>
    </row>
    <row r="9" spans="2:9">
      <c r="B9" s="37" t="s">
        <v>92</v>
      </c>
      <c r="C9" s="38"/>
    </row>
    <row r="11" spans="2:9">
      <c r="C11" s="102" t="s">
        <v>95</v>
      </c>
      <c r="D11" s="102"/>
      <c r="E11" s="102"/>
      <c r="F11" s="102"/>
      <c r="G11" s="102"/>
    </row>
    <row r="12" spans="2:9" ht="12.75" thickBot="1">
      <c r="B12" s="57"/>
      <c r="C12" s="57" t="s">
        <v>14</v>
      </c>
      <c r="D12" s="57" t="s">
        <v>15</v>
      </c>
      <c r="E12" s="57" t="s">
        <v>16</v>
      </c>
      <c r="F12" s="57" t="s">
        <v>17</v>
      </c>
      <c r="G12" s="57" t="s">
        <v>19</v>
      </c>
      <c r="I12" s="29"/>
    </row>
    <row r="13" spans="2:9">
      <c r="B13" s="2" t="s">
        <v>93</v>
      </c>
      <c r="C13" s="48">
        <f>'Revenue - Bottom-Up'!H52</f>
        <v>16413</v>
      </c>
      <c r="D13" s="48">
        <f>'Revenue - Bottom-Up'!I52</f>
        <v>18926</v>
      </c>
      <c r="E13" s="48">
        <f>'Revenue - Bottom-Up'!J52</f>
        <v>16498</v>
      </c>
      <c r="F13" s="48">
        <f>'Revenue - Bottom-Up'!K52</f>
        <v>21432</v>
      </c>
      <c r="G13" s="48">
        <f>SUM(C13:F13)</f>
        <v>73269</v>
      </c>
      <c r="I13" s="45"/>
    </row>
    <row r="14" spans="2:9">
      <c r="B14" s="2" t="s">
        <v>94</v>
      </c>
      <c r="C14" s="48">
        <f>'Revenue - Bottom-Up'!H61</f>
        <v>6177</v>
      </c>
      <c r="D14" s="48">
        <f>'Revenue - Bottom-Up'!I61</f>
        <v>7460</v>
      </c>
      <c r="E14" s="48">
        <f>'Revenue - Bottom-Up'!J61</f>
        <v>5803</v>
      </c>
      <c r="F14" s="48">
        <f>'Revenue - Bottom-Up'!K61</f>
        <v>9023</v>
      </c>
      <c r="G14" s="48">
        <f>SUM(C14:F14)</f>
        <v>28463</v>
      </c>
      <c r="I14" s="45"/>
    </row>
    <row r="15" spans="2:9">
      <c r="B15" s="4" t="s">
        <v>1</v>
      </c>
      <c r="C15" s="50">
        <f>SUM(C13:C14)</f>
        <v>22590</v>
      </c>
      <c r="D15" s="50">
        <f>SUM(D13:D14)</f>
        <v>26386</v>
      </c>
      <c r="E15" s="50">
        <f>SUM(E13:E14)</f>
        <v>22301</v>
      </c>
      <c r="F15" s="50">
        <f>SUM(F13:F14)</f>
        <v>30455</v>
      </c>
      <c r="G15" s="50">
        <f>SUM(G13:G14)</f>
        <v>101732</v>
      </c>
      <c r="I15" s="44"/>
    </row>
    <row r="16" spans="2:9">
      <c r="B16" s="43"/>
      <c r="C16" s="7"/>
      <c r="D16" s="7"/>
      <c r="E16" s="7"/>
      <c r="F16" s="7"/>
      <c r="G16" s="7"/>
      <c r="I16" s="44"/>
    </row>
    <row r="17" spans="2:9">
      <c r="C17" s="102" t="s">
        <v>62</v>
      </c>
      <c r="D17" s="102"/>
      <c r="E17" s="102"/>
      <c r="F17" s="102"/>
      <c r="G17" s="102"/>
    </row>
    <row r="18" spans="2:9" ht="3.75" customHeight="1"/>
    <row r="19" spans="2:9" ht="12.75" thickBot="1">
      <c r="B19" s="57"/>
      <c r="C19" s="57" t="s">
        <v>14</v>
      </c>
      <c r="D19" s="57" t="s">
        <v>15</v>
      </c>
      <c r="E19" s="57" t="s">
        <v>16</v>
      </c>
      <c r="F19" s="57" t="s">
        <v>17</v>
      </c>
      <c r="G19" s="57" t="s">
        <v>63</v>
      </c>
      <c r="I19" s="57" t="s">
        <v>84</v>
      </c>
    </row>
    <row r="20" spans="2:9">
      <c r="B20" s="2" t="s">
        <v>93</v>
      </c>
      <c r="C20" s="48"/>
      <c r="D20" s="48"/>
      <c r="E20" s="48"/>
      <c r="F20" s="48"/>
      <c r="G20" s="48"/>
      <c r="I20" s="41"/>
    </row>
    <row r="21" spans="2:9">
      <c r="B21" s="2" t="s">
        <v>94</v>
      </c>
      <c r="C21" s="48"/>
      <c r="D21" s="48"/>
      <c r="E21" s="48"/>
      <c r="F21" s="48"/>
      <c r="G21" s="48"/>
      <c r="I21" s="41"/>
    </row>
    <row r="22" spans="2:9">
      <c r="B22" s="4" t="s">
        <v>1</v>
      </c>
      <c r="C22" s="50"/>
      <c r="D22" s="50"/>
      <c r="E22" s="50"/>
      <c r="F22" s="50"/>
      <c r="G22" s="50"/>
      <c r="I22" s="42"/>
    </row>
  </sheetData>
  <mergeCells count="2">
    <mergeCell ref="C17:G17"/>
    <mergeCell ref="C11:G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N17"/>
  <sheetViews>
    <sheetView workbookViewId="0"/>
  </sheetViews>
  <sheetFormatPr defaultColWidth="9.140625" defaultRowHeight="12"/>
  <cols>
    <col min="1" max="1" width="2" style="2" customWidth="1"/>
    <col min="2" max="2" width="26" style="2" customWidth="1"/>
    <col min="3" max="5" width="9.5703125" style="2" bestFit="1" customWidth="1"/>
    <col min="6" max="7" width="10.42578125" style="2" bestFit="1" customWidth="1"/>
    <col min="8" max="8" width="1.42578125" style="2" customWidth="1"/>
    <col min="9" max="9" width="9.5703125" style="2" bestFit="1" customWidth="1"/>
    <col min="10" max="10" width="10.5703125" style="2" bestFit="1" customWidth="1"/>
    <col min="11" max="11" width="9.5703125" style="2" bestFit="1" customWidth="1"/>
    <col min="12" max="13" width="10.5703125" style="2" bestFit="1" customWidth="1"/>
    <col min="14" max="16384" width="9.140625" style="2"/>
  </cols>
  <sheetData>
    <row r="1" spans="2:14" ht="15.75">
      <c r="B1" s="3" t="s">
        <v>96</v>
      </c>
    </row>
    <row r="3" spans="2:14">
      <c r="C3" s="102" t="s">
        <v>116</v>
      </c>
      <c r="D3" s="102"/>
      <c r="E3" s="102"/>
      <c r="F3" s="102"/>
      <c r="G3" s="102"/>
      <c r="I3" s="102" t="s">
        <v>62</v>
      </c>
      <c r="J3" s="102"/>
      <c r="K3" s="102"/>
      <c r="L3" s="102"/>
      <c r="M3" s="102"/>
    </row>
    <row r="4" spans="2:14" ht="12.75" thickBot="1">
      <c r="B4" s="46" t="s">
        <v>100</v>
      </c>
      <c r="C4" s="57" t="s">
        <v>14</v>
      </c>
      <c r="D4" s="57" t="s">
        <v>15</v>
      </c>
      <c r="E4" s="57" t="s">
        <v>16</v>
      </c>
      <c r="F4" s="57" t="s">
        <v>17</v>
      </c>
      <c r="G4" s="57" t="s">
        <v>101</v>
      </c>
      <c r="H4" s="88"/>
      <c r="I4" s="57" t="s">
        <v>14</v>
      </c>
      <c r="J4" s="57" t="s">
        <v>15</v>
      </c>
      <c r="K4" s="57" t="s">
        <v>16</v>
      </c>
      <c r="L4" s="57" t="s">
        <v>17</v>
      </c>
      <c r="M4" s="57" t="s">
        <v>102</v>
      </c>
    </row>
    <row r="5" spans="2:14">
      <c r="B5" s="2" t="s">
        <v>106</v>
      </c>
      <c r="C5" s="48">
        <v>14</v>
      </c>
      <c r="D5" s="48">
        <v>14</v>
      </c>
      <c r="E5" s="48">
        <v>15</v>
      </c>
      <c r="F5" s="48">
        <v>15</v>
      </c>
      <c r="G5" s="48"/>
      <c r="H5" s="51"/>
      <c r="I5" s="48"/>
      <c r="J5" s="48"/>
      <c r="K5" s="48"/>
      <c r="L5" s="48"/>
      <c r="M5" s="48"/>
    </row>
    <row r="6" spans="2:14">
      <c r="B6" s="2" t="s">
        <v>98</v>
      </c>
      <c r="C6" s="49">
        <v>-41.2</v>
      </c>
      <c r="D6" s="49">
        <v>-43.2</v>
      </c>
      <c r="E6" s="49">
        <v>-44.5</v>
      </c>
      <c r="F6" s="49">
        <v>-42.4</v>
      </c>
      <c r="G6" s="49"/>
      <c r="H6" s="51"/>
      <c r="I6" s="49"/>
      <c r="J6" s="49"/>
      <c r="K6" s="49"/>
      <c r="L6" s="49"/>
      <c r="M6" s="49"/>
    </row>
    <row r="7" spans="2:14">
      <c r="B7" s="47" t="s">
        <v>99</v>
      </c>
      <c r="C7" s="50">
        <v>-576.80000000000007</v>
      </c>
      <c r="D7" s="50">
        <v>-604.80000000000007</v>
      </c>
      <c r="E7" s="50">
        <v>-667.5</v>
      </c>
      <c r="F7" s="50">
        <v>-636</v>
      </c>
      <c r="G7" s="50">
        <v>-2485.1000000000004</v>
      </c>
      <c r="H7" s="55"/>
      <c r="I7" s="50"/>
      <c r="J7" s="50"/>
      <c r="K7" s="50"/>
      <c r="L7" s="50"/>
      <c r="M7" s="50"/>
      <c r="N7" s="7"/>
    </row>
    <row r="8" spans="2:14">
      <c r="C8" s="8"/>
      <c r="D8" s="8"/>
      <c r="E8" s="8"/>
      <c r="F8" s="8"/>
      <c r="G8" s="8"/>
      <c r="H8" s="51"/>
      <c r="I8" s="8"/>
      <c r="J8" s="8"/>
      <c r="K8" s="8"/>
      <c r="L8" s="8"/>
      <c r="M8" s="8"/>
    </row>
    <row r="9" spans="2:14">
      <c r="B9" s="2" t="s">
        <v>105</v>
      </c>
      <c r="C9" s="48">
        <v>1109.0340574938136</v>
      </c>
      <c r="D9" s="48">
        <v>1268.2403133955261</v>
      </c>
      <c r="E9" s="48">
        <v>1167.972341654963</v>
      </c>
      <c r="F9" s="48">
        <v>1352.4892553301811</v>
      </c>
      <c r="G9" s="48">
        <v>4897.7359678744833</v>
      </c>
      <c r="H9" s="52"/>
      <c r="I9" s="48"/>
      <c r="J9" s="48"/>
      <c r="K9" s="48"/>
      <c r="L9" s="48"/>
      <c r="M9" s="48"/>
    </row>
    <row r="10" spans="2:14">
      <c r="B10" s="2" t="s">
        <v>103</v>
      </c>
      <c r="C10" s="49">
        <v>-7.429167701683463</v>
      </c>
      <c r="D10" s="49">
        <v>-7.623318623356818</v>
      </c>
      <c r="E10" s="49">
        <v>-7.4680706802017411</v>
      </c>
      <c r="F10" s="49">
        <v>-8.4274236967726779</v>
      </c>
      <c r="G10" s="49">
        <v>-7.7643834313312992</v>
      </c>
      <c r="H10" s="53"/>
      <c r="I10" s="49"/>
      <c r="J10" s="49"/>
      <c r="K10" s="49"/>
      <c r="L10" s="49"/>
      <c r="M10" s="49"/>
    </row>
    <row r="11" spans="2:14">
      <c r="B11" s="47" t="s">
        <v>104</v>
      </c>
      <c r="C11" s="50">
        <v>-8239.2000000000007</v>
      </c>
      <c r="D11" s="50">
        <v>-9668.2000000000007</v>
      </c>
      <c r="E11" s="50">
        <v>-8722.5</v>
      </c>
      <c r="F11" s="50">
        <v>-11398</v>
      </c>
      <c r="G11" s="50">
        <v>-38027.9</v>
      </c>
      <c r="H11" s="54"/>
      <c r="I11" s="50"/>
      <c r="J11" s="50"/>
      <c r="K11" s="50"/>
      <c r="L11" s="50"/>
      <c r="M11" s="50"/>
    </row>
    <row r="12" spans="2:14">
      <c r="H12" s="7"/>
    </row>
    <row r="13" spans="2:14" ht="12.75" thickBot="1">
      <c r="B13" s="95" t="s">
        <v>96</v>
      </c>
      <c r="C13" s="96">
        <f>C7+C11</f>
        <v>-8816</v>
      </c>
      <c r="D13" s="96">
        <f>D7+D11</f>
        <v>-10273</v>
      </c>
      <c r="E13" s="96">
        <f>E7+E11</f>
        <v>-9390</v>
      </c>
      <c r="F13" s="96">
        <f>F7+F11</f>
        <v>-12034</v>
      </c>
      <c r="G13" s="96">
        <f>G7+G11</f>
        <v>-40513</v>
      </c>
      <c r="H13" s="100"/>
      <c r="I13" s="96"/>
      <c r="J13" s="96"/>
      <c r="K13" s="96"/>
      <c r="L13" s="96"/>
      <c r="M13" s="96"/>
    </row>
    <row r="14" spans="2:14">
      <c r="H14" s="7"/>
    </row>
    <row r="15" spans="2:14">
      <c r="H15" s="7"/>
    </row>
    <row r="16" spans="2:14">
      <c r="H16" s="7"/>
    </row>
    <row r="17" spans="8:8">
      <c r="H17" s="7"/>
    </row>
  </sheetData>
  <mergeCells count="2">
    <mergeCell ref="C3:G3"/>
    <mergeCell ref="I3:M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M13"/>
  <sheetViews>
    <sheetView workbookViewId="0"/>
  </sheetViews>
  <sheetFormatPr defaultColWidth="9.140625" defaultRowHeight="12"/>
  <cols>
    <col min="1" max="1" width="2" style="2" customWidth="1"/>
    <col min="2" max="2" width="26" style="2" customWidth="1"/>
    <col min="3" max="7" width="9.140625" style="2"/>
    <col min="8" max="8" width="2.42578125" style="2" customWidth="1"/>
    <col min="9" max="16384" width="9.140625" style="2"/>
  </cols>
  <sheetData>
    <row r="1" spans="2:13" ht="15.75">
      <c r="B1" s="3" t="s">
        <v>97</v>
      </c>
    </row>
    <row r="3" spans="2:13">
      <c r="C3" s="102" t="s">
        <v>116</v>
      </c>
      <c r="D3" s="102"/>
      <c r="E3" s="102"/>
      <c r="F3" s="102"/>
      <c r="G3" s="102"/>
      <c r="I3" s="102" t="s">
        <v>62</v>
      </c>
      <c r="J3" s="102"/>
      <c r="K3" s="102"/>
      <c r="L3" s="102"/>
      <c r="M3" s="102"/>
    </row>
    <row r="4" spans="2:13" ht="12.75" thickBot="1">
      <c r="B4" s="46" t="s">
        <v>100</v>
      </c>
      <c r="C4" s="57" t="s">
        <v>14</v>
      </c>
      <c r="D4" s="57" t="s">
        <v>15</v>
      </c>
      <c r="E4" s="57" t="s">
        <v>16</v>
      </c>
      <c r="F4" s="57" t="s">
        <v>17</v>
      </c>
      <c r="G4" s="57" t="s">
        <v>101</v>
      </c>
      <c r="H4" s="88"/>
      <c r="I4" s="57" t="s">
        <v>14</v>
      </c>
      <c r="J4" s="57" t="s">
        <v>15</v>
      </c>
      <c r="K4" s="57" t="s">
        <v>16</v>
      </c>
      <c r="L4" s="57" t="s">
        <v>17</v>
      </c>
      <c r="M4" s="57" t="s">
        <v>102</v>
      </c>
    </row>
    <row r="5" spans="2:13">
      <c r="B5" s="2" t="s">
        <v>108</v>
      </c>
      <c r="C5" s="48">
        <v>19</v>
      </c>
      <c r="D5" s="48">
        <v>19</v>
      </c>
      <c r="E5" s="48">
        <v>20</v>
      </c>
      <c r="F5" s="48">
        <v>21</v>
      </c>
      <c r="G5" s="48"/>
      <c r="H5" s="51"/>
      <c r="I5" s="48"/>
      <c r="J5" s="48"/>
      <c r="K5" s="48"/>
      <c r="L5" s="48"/>
      <c r="M5" s="48"/>
    </row>
    <row r="6" spans="2:13">
      <c r="B6" s="2" t="s">
        <v>98</v>
      </c>
      <c r="C6" s="49">
        <v>-61.2</v>
      </c>
      <c r="D6" s="49">
        <v>-64.5</v>
      </c>
      <c r="E6" s="49">
        <v>-68.3</v>
      </c>
      <c r="F6" s="49">
        <v>-61.9</v>
      </c>
      <c r="G6" s="49"/>
      <c r="H6" s="51"/>
      <c r="I6" s="49"/>
      <c r="J6" s="49"/>
      <c r="K6" s="49"/>
      <c r="L6" s="49"/>
      <c r="M6" s="49"/>
    </row>
    <row r="7" spans="2:13">
      <c r="B7" s="47" t="s">
        <v>107</v>
      </c>
      <c r="C7" s="50">
        <f>C5*C6</f>
        <v>-1162.8</v>
      </c>
      <c r="D7" s="50">
        <f>D5*D6</f>
        <v>-1225.5</v>
      </c>
      <c r="E7" s="50">
        <f>E5*E6</f>
        <v>-1366</v>
      </c>
      <c r="F7" s="50">
        <f>F5*F6</f>
        <v>-1299.8999999999999</v>
      </c>
      <c r="G7" s="50">
        <f>SUM(C7:F7)</f>
        <v>-5054.2</v>
      </c>
      <c r="H7" s="55"/>
      <c r="I7" s="50"/>
      <c r="J7" s="50"/>
      <c r="K7" s="50"/>
      <c r="L7" s="50"/>
      <c r="M7" s="50"/>
    </row>
    <row r="8" spans="2:13">
      <c r="C8" s="8"/>
      <c r="D8" s="8"/>
      <c r="E8" s="8"/>
      <c r="F8" s="8"/>
      <c r="G8" s="8"/>
      <c r="H8" s="51"/>
      <c r="I8" s="8"/>
      <c r="J8" s="8"/>
      <c r="K8" s="8"/>
      <c r="L8" s="8"/>
      <c r="M8" s="8"/>
    </row>
    <row r="9" spans="2:13">
      <c r="B9" s="2" t="s">
        <v>110</v>
      </c>
      <c r="C9" s="48">
        <f>'Revenue - Bottom-Up'!H21</f>
        <v>1360.2380952380952</v>
      </c>
      <c r="D9" s="48">
        <f>'Revenue - Bottom-Up'!I21</f>
        <v>1637.5648305084744</v>
      </c>
      <c r="E9" s="48">
        <f>'Revenue - Bottom-Up'!J21</f>
        <v>1346.9526860740973</v>
      </c>
      <c r="F9" s="48">
        <f>'Revenue - Bottom-Up'!K21</f>
        <v>2183.0950659133709</v>
      </c>
      <c r="G9" s="48">
        <f>'Revenue - Bottom-Up'!L21</f>
        <v>6527.8506777340372</v>
      </c>
      <c r="H9" s="52"/>
      <c r="I9" s="48"/>
      <c r="J9" s="48"/>
      <c r="K9" s="48"/>
      <c r="L9" s="48"/>
      <c r="M9" s="48"/>
    </row>
    <row r="10" spans="2:13">
      <c r="B10" s="2" t="s">
        <v>109</v>
      </c>
      <c r="C10" s="49">
        <f>C11/C9</f>
        <v>-1.9218694206196394</v>
      </c>
      <c r="D10" s="49">
        <f t="shared" ref="D10:G10" si="0">D11/D9</f>
        <v>-2.0264846546378164</v>
      </c>
      <c r="E10" s="49">
        <f t="shared" si="0"/>
        <v>-2.1507808180284016</v>
      </c>
      <c r="F10" s="49">
        <f t="shared" si="0"/>
        <v>-2.1685267279092728</v>
      </c>
      <c r="G10" s="49">
        <f t="shared" si="0"/>
        <v>-2.0778355188584516</v>
      </c>
      <c r="H10" s="53"/>
      <c r="I10" s="49"/>
      <c r="J10" s="49"/>
      <c r="K10" s="49"/>
      <c r="L10" s="49"/>
      <c r="M10" s="49"/>
    </row>
    <row r="11" spans="2:13">
      <c r="B11" s="47" t="s">
        <v>4</v>
      </c>
      <c r="C11" s="50">
        <f>C13-C7</f>
        <v>-2614.1999999999998</v>
      </c>
      <c r="D11" s="50">
        <f>D13-D7</f>
        <v>-3318.5</v>
      </c>
      <c r="E11" s="50">
        <f>E13-E7</f>
        <v>-2897</v>
      </c>
      <c r="F11" s="50">
        <f>F13-F7</f>
        <v>-4734.1000000000004</v>
      </c>
      <c r="G11" s="50">
        <f>G13-G7</f>
        <v>-13563.8</v>
      </c>
      <c r="H11" s="54"/>
      <c r="I11" s="50"/>
      <c r="J11" s="50"/>
      <c r="K11" s="50"/>
      <c r="L11" s="50"/>
      <c r="M11" s="50"/>
    </row>
    <row r="12" spans="2:13">
      <c r="H12" s="7"/>
    </row>
    <row r="13" spans="2:13" ht="12.75" thickBot="1">
      <c r="B13" s="95" t="s">
        <v>97</v>
      </c>
      <c r="C13" s="96">
        <f>'P&amp;L'!H9</f>
        <v>-3777</v>
      </c>
      <c r="D13" s="96">
        <f>'P&amp;L'!I9</f>
        <v>-4544</v>
      </c>
      <c r="E13" s="96">
        <f>'P&amp;L'!J9</f>
        <v>-4263</v>
      </c>
      <c r="F13" s="96">
        <f>'P&amp;L'!K9</f>
        <v>-6034</v>
      </c>
      <c r="G13" s="96">
        <f>SUM(C13:F13)</f>
        <v>-18618</v>
      </c>
      <c r="H13" s="100"/>
      <c r="I13" s="96"/>
      <c r="J13" s="96"/>
      <c r="K13" s="96"/>
      <c r="L13" s="96"/>
      <c r="M13" s="96"/>
    </row>
  </sheetData>
  <mergeCells count="2">
    <mergeCell ref="C3:G3"/>
    <mergeCell ref="I3:M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29"/>
  <sheetViews>
    <sheetView workbookViewId="0"/>
  </sheetViews>
  <sheetFormatPr defaultColWidth="9.140625" defaultRowHeight="12"/>
  <cols>
    <col min="1" max="1" width="2" style="2" customWidth="1"/>
    <col min="2" max="2" width="19.5703125" style="2" customWidth="1"/>
    <col min="3" max="7" width="9.140625" style="2"/>
    <col min="8" max="8" width="1.5703125" style="2" customWidth="1"/>
    <col min="9" max="12" width="9.140625" style="2"/>
    <col min="13" max="13" width="9.140625" style="2" customWidth="1"/>
    <col min="14" max="16384" width="9.140625" style="2"/>
  </cols>
  <sheetData>
    <row r="1" spans="2:13" ht="15.75">
      <c r="B1" s="3" t="s">
        <v>6</v>
      </c>
    </row>
    <row r="3" spans="2:13">
      <c r="C3" s="102" t="s">
        <v>116</v>
      </c>
      <c r="D3" s="102"/>
      <c r="E3" s="102"/>
      <c r="F3" s="102"/>
      <c r="G3" s="102"/>
      <c r="H3" s="56"/>
      <c r="I3" s="102" t="s">
        <v>62</v>
      </c>
      <c r="J3" s="102"/>
      <c r="K3" s="102"/>
      <c r="L3" s="102"/>
      <c r="M3" s="102"/>
    </row>
    <row r="4" spans="2:13" ht="12.75" thickBot="1">
      <c r="B4" s="46" t="s">
        <v>100</v>
      </c>
      <c r="C4" s="57" t="s">
        <v>14</v>
      </c>
      <c r="D4" s="57" t="s">
        <v>15</v>
      </c>
      <c r="E4" s="57" t="s">
        <v>16</v>
      </c>
      <c r="F4" s="57" t="s">
        <v>17</v>
      </c>
      <c r="G4" s="57" t="s">
        <v>120</v>
      </c>
      <c r="H4" s="56"/>
      <c r="I4" s="57" t="s">
        <v>14</v>
      </c>
      <c r="J4" s="57" t="s">
        <v>15</v>
      </c>
      <c r="K4" s="57" t="s">
        <v>16</v>
      </c>
      <c r="L4" s="57" t="s">
        <v>17</v>
      </c>
      <c r="M4" s="57" t="s">
        <v>121</v>
      </c>
    </row>
    <row r="5" spans="2:13">
      <c r="B5" s="2" t="s">
        <v>111</v>
      </c>
      <c r="C5" s="48">
        <v>-300</v>
      </c>
      <c r="D5" s="48">
        <v>-300</v>
      </c>
      <c r="E5" s="48">
        <v>-300</v>
      </c>
      <c r="F5" s="48">
        <v>-300</v>
      </c>
      <c r="G5" s="61">
        <v>-1200</v>
      </c>
      <c r="I5" s="48"/>
      <c r="J5" s="48"/>
      <c r="K5" s="48"/>
      <c r="L5" s="48"/>
      <c r="M5" s="61"/>
    </row>
    <row r="6" spans="2:13">
      <c r="B6" s="59" t="s">
        <v>117</v>
      </c>
    </row>
    <row r="7" spans="2:13">
      <c r="B7" s="59"/>
    </row>
    <row r="8" spans="2:13">
      <c r="B8" s="2" t="s">
        <v>122</v>
      </c>
      <c r="C8" s="48">
        <v>-20</v>
      </c>
      <c r="D8" s="48">
        <v>-20</v>
      </c>
      <c r="E8" s="48">
        <v>-20</v>
      </c>
      <c r="F8" s="48">
        <v>-24</v>
      </c>
      <c r="G8" s="61">
        <v>-84</v>
      </c>
      <c r="I8" s="61"/>
      <c r="J8" s="61"/>
      <c r="K8" s="61"/>
      <c r="L8" s="61"/>
      <c r="M8" s="61"/>
    </row>
    <row r="9" spans="2:13">
      <c r="B9" s="59" t="s">
        <v>117</v>
      </c>
    </row>
    <row r="10" spans="2:13">
      <c r="B10" s="59"/>
    </row>
    <row r="11" spans="2:13">
      <c r="B11" s="2" t="s">
        <v>112</v>
      </c>
      <c r="C11" s="48">
        <v>-53</v>
      </c>
      <c r="D11" s="48">
        <v>-52</v>
      </c>
      <c r="E11" s="48">
        <v>-52</v>
      </c>
      <c r="F11" s="48">
        <v>-54</v>
      </c>
      <c r="G11" s="61">
        <v>-211</v>
      </c>
      <c r="I11" s="61"/>
      <c r="J11" s="61"/>
      <c r="K11" s="61"/>
      <c r="L11" s="61"/>
      <c r="M11" s="61"/>
    </row>
    <row r="12" spans="2:13">
      <c r="B12" s="59" t="s">
        <v>117</v>
      </c>
    </row>
    <row r="14" spans="2:13">
      <c r="B14" s="2" t="s">
        <v>115</v>
      </c>
      <c r="C14" s="48">
        <v>-50</v>
      </c>
      <c r="D14" s="48">
        <v>-50</v>
      </c>
      <c r="E14" s="48">
        <v>-50</v>
      </c>
      <c r="F14" s="48">
        <v>-50</v>
      </c>
      <c r="G14" s="61">
        <v>-200</v>
      </c>
      <c r="I14" s="61"/>
      <c r="J14" s="61"/>
      <c r="K14" s="61"/>
      <c r="L14" s="61"/>
      <c r="M14" s="61"/>
    </row>
    <row r="15" spans="2:13">
      <c r="B15" s="59" t="s">
        <v>117</v>
      </c>
    </row>
    <row r="17" spans="2:13">
      <c r="B17" s="2" t="s">
        <v>123</v>
      </c>
      <c r="C17" s="48">
        <v>-2000</v>
      </c>
      <c r="D17" s="48">
        <v>-2000</v>
      </c>
      <c r="E17" s="48">
        <v>-2000</v>
      </c>
      <c r="F17" s="48">
        <v>-2000</v>
      </c>
      <c r="G17" s="61">
        <v>-8000</v>
      </c>
      <c r="I17" s="61"/>
      <c r="J17" s="61"/>
      <c r="K17" s="61"/>
      <c r="L17" s="61"/>
      <c r="M17" s="61"/>
    </row>
    <row r="18" spans="2:13">
      <c r="B18" s="59" t="s">
        <v>117</v>
      </c>
    </row>
    <row r="20" spans="2:13">
      <c r="B20" s="2" t="s">
        <v>114</v>
      </c>
      <c r="C20" s="61">
        <v>-788.09999999999991</v>
      </c>
      <c r="D20" s="61">
        <v>-173.53999999999951</v>
      </c>
      <c r="E20" s="61">
        <v>-764.89000000000033</v>
      </c>
      <c r="F20" s="61">
        <v>-452.94999999999982</v>
      </c>
      <c r="G20" s="61">
        <v>-2179.4799999999996</v>
      </c>
      <c r="I20" s="61"/>
      <c r="J20" s="61"/>
      <c r="K20" s="61"/>
      <c r="L20" s="61"/>
      <c r="M20" s="61"/>
    </row>
    <row r="21" spans="2:13">
      <c r="B21" s="59" t="s">
        <v>117</v>
      </c>
    </row>
    <row r="23" spans="2:13">
      <c r="B23" s="2" t="s">
        <v>113</v>
      </c>
      <c r="C23" s="48">
        <v>-225.9</v>
      </c>
      <c r="D23" s="48">
        <v>-263.86</v>
      </c>
      <c r="E23" s="48">
        <v>-223.01</v>
      </c>
      <c r="F23" s="48">
        <v>-304.55</v>
      </c>
      <c r="G23" s="61">
        <v>-1017.32</v>
      </c>
      <c r="I23" s="48"/>
      <c r="J23" s="48"/>
      <c r="K23" s="48"/>
      <c r="L23" s="48"/>
      <c r="M23" s="48"/>
    </row>
    <row r="24" spans="2:13">
      <c r="B24" s="59" t="s">
        <v>118</v>
      </c>
      <c r="C24" s="41">
        <v>0.01</v>
      </c>
      <c r="D24" s="41">
        <v>0.01</v>
      </c>
      <c r="E24" s="41">
        <v>0.01</v>
      </c>
      <c r="F24" s="41">
        <v>0.01</v>
      </c>
      <c r="G24" s="41">
        <v>0.01</v>
      </c>
      <c r="I24" s="41"/>
      <c r="J24" s="41"/>
      <c r="K24" s="41"/>
      <c r="L24" s="41"/>
      <c r="M24" s="41"/>
    </row>
    <row r="26" spans="2:13">
      <c r="B26" s="2" t="s">
        <v>119</v>
      </c>
      <c r="C26" s="48">
        <v>-2259</v>
      </c>
      <c r="D26" s="48">
        <v>-2638.6000000000004</v>
      </c>
      <c r="E26" s="48">
        <v>-2230.1</v>
      </c>
      <c r="F26" s="48">
        <v>-3045.5</v>
      </c>
      <c r="G26" s="48">
        <v>-10173.200000000001</v>
      </c>
      <c r="I26" s="48"/>
      <c r="J26" s="48"/>
      <c r="K26" s="48"/>
      <c r="L26" s="48"/>
      <c r="M26" s="48"/>
    </row>
    <row r="27" spans="2:13">
      <c r="B27" s="59" t="s">
        <v>118</v>
      </c>
      <c r="C27" s="41">
        <v>0.1</v>
      </c>
      <c r="D27" s="41">
        <v>0.1</v>
      </c>
      <c r="E27" s="41">
        <v>0.1</v>
      </c>
      <c r="F27" s="41">
        <v>0.1</v>
      </c>
      <c r="G27" s="41">
        <v>0.1</v>
      </c>
      <c r="I27" s="41"/>
      <c r="J27" s="41"/>
      <c r="K27" s="41"/>
      <c r="L27" s="41"/>
      <c r="M27" s="41"/>
    </row>
    <row r="29" spans="2:13" ht="12.75" thickBot="1">
      <c r="B29" s="95" t="s">
        <v>6</v>
      </c>
      <c r="C29" s="96">
        <f>C5+C8+C11+C14+C17+C20+C23+C26</f>
        <v>-5696</v>
      </c>
      <c r="D29" s="96">
        <f>D5+D8+D11+D14+D17+D20+D23+D26</f>
        <v>-5498</v>
      </c>
      <c r="E29" s="96">
        <f>E5+E8+E11+E14+E17+E20+E23+E26</f>
        <v>-5640</v>
      </c>
      <c r="F29" s="96">
        <f>F5+F8+F11+F14+F17+F20+F23+F26</f>
        <v>-6231</v>
      </c>
      <c r="G29" s="96">
        <f>G5+G8+G11+G14+G17+G20+G23+G26</f>
        <v>-23065</v>
      </c>
      <c r="H29" s="100"/>
      <c r="I29" s="96"/>
      <c r="J29" s="96"/>
      <c r="K29" s="96"/>
      <c r="L29" s="96"/>
      <c r="M29" s="96"/>
    </row>
  </sheetData>
  <mergeCells count="2">
    <mergeCell ref="C3:G3"/>
    <mergeCell ref="I3:M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3"/>
  <sheetViews>
    <sheetView workbookViewId="0"/>
  </sheetViews>
  <sheetFormatPr defaultColWidth="9.140625" defaultRowHeight="12"/>
  <cols>
    <col min="1" max="1" width="2" style="2" customWidth="1"/>
    <col min="2" max="2" width="38.42578125" style="2" bestFit="1" customWidth="1"/>
    <col min="3" max="6" width="9.140625" style="2"/>
    <col min="7" max="7" width="2.5703125" style="2" customWidth="1"/>
    <col min="8" max="16384" width="9.140625" style="2"/>
  </cols>
  <sheetData>
    <row r="1" spans="2:13" ht="15.75">
      <c r="B1" s="3" t="s">
        <v>27</v>
      </c>
    </row>
    <row r="3" spans="2:13">
      <c r="B3" s="102" t="s">
        <v>116</v>
      </c>
      <c r="C3" s="102"/>
      <c r="D3" s="102"/>
      <c r="E3" s="102"/>
      <c r="F3" s="102"/>
      <c r="H3" s="102" t="s">
        <v>62</v>
      </c>
      <c r="I3" s="102"/>
      <c r="J3" s="102"/>
      <c r="K3" s="102"/>
    </row>
    <row r="4" spans="2:13" ht="24.75" thickBot="1">
      <c r="B4" s="46" t="s">
        <v>20</v>
      </c>
      <c r="C4" s="58" t="s">
        <v>38</v>
      </c>
      <c r="D4" s="58" t="s">
        <v>39</v>
      </c>
      <c r="E4" s="58" t="s">
        <v>40</v>
      </c>
      <c r="F4" s="58" t="s">
        <v>41</v>
      </c>
      <c r="H4" s="58" t="s">
        <v>124</v>
      </c>
      <c r="I4" s="58" t="s">
        <v>125</v>
      </c>
      <c r="J4" s="58" t="s">
        <v>126</v>
      </c>
      <c r="K4" s="58" t="s">
        <v>127</v>
      </c>
    </row>
    <row r="5" spans="2:13">
      <c r="B5" s="2" t="s">
        <v>54</v>
      </c>
      <c r="C5" s="16">
        <f>'Balance Sheet'!F10</f>
        <v>1381</v>
      </c>
      <c r="D5" s="16">
        <f>'Balance Sheet'!G10</f>
        <v>1339</v>
      </c>
      <c r="E5" s="16">
        <f>'Balance Sheet'!H10</f>
        <v>1283</v>
      </c>
      <c r="F5" s="16">
        <f>'Balance Sheet'!I10</f>
        <v>1288</v>
      </c>
      <c r="H5" s="16"/>
      <c r="I5" s="16"/>
      <c r="J5" s="16"/>
      <c r="K5" s="16"/>
    </row>
    <row r="6" spans="2:13">
      <c r="B6" s="48" t="s">
        <v>8</v>
      </c>
      <c r="C6" s="48">
        <f>'P&amp;L'!H13</f>
        <v>-85</v>
      </c>
      <c r="D6" s="48">
        <f>'P&amp;L'!I13</f>
        <v>-85</v>
      </c>
      <c r="E6" s="48">
        <f>'P&amp;L'!J13</f>
        <v>-85</v>
      </c>
      <c r="F6" s="48">
        <f>'P&amp;L'!K13</f>
        <v>-85</v>
      </c>
      <c r="H6" s="48"/>
      <c r="I6" s="48"/>
      <c r="J6" s="48"/>
      <c r="K6" s="48"/>
      <c r="L6" s="61"/>
    </row>
    <row r="7" spans="2:13">
      <c r="B7" s="59" t="s">
        <v>130</v>
      </c>
      <c r="C7" s="65">
        <v>-6.1549601737871107E-2</v>
      </c>
      <c r="D7" s="65">
        <v>-6.1549601737871107E-2</v>
      </c>
      <c r="E7" s="65">
        <v>-6.1549601737871107E-2</v>
      </c>
      <c r="F7" s="65">
        <v>-6.1549601737871107E-2</v>
      </c>
      <c r="H7" s="65"/>
      <c r="I7" s="65"/>
      <c r="J7" s="65"/>
      <c r="K7" s="65"/>
    </row>
    <row r="8" spans="2:13">
      <c r="B8" s="2" t="s">
        <v>47</v>
      </c>
      <c r="C8" s="16">
        <f>C9-SUM(C5:C6)</f>
        <v>43</v>
      </c>
      <c r="D8" s="16">
        <f t="shared" ref="D8:F8" si="0">D9-SUM(D5:D6)</f>
        <v>29</v>
      </c>
      <c r="E8" s="16">
        <f t="shared" si="0"/>
        <v>90</v>
      </c>
      <c r="F8" s="16">
        <f t="shared" si="0"/>
        <v>110</v>
      </c>
      <c r="H8" s="64"/>
      <c r="I8" s="64"/>
      <c r="J8" s="64"/>
      <c r="K8" s="64"/>
    </row>
    <row r="9" spans="2:13" ht="12.75" thickBot="1">
      <c r="B9" s="95" t="s">
        <v>55</v>
      </c>
      <c r="C9" s="96">
        <f>'Balance Sheet'!G10</f>
        <v>1339</v>
      </c>
      <c r="D9" s="96">
        <f>'Balance Sheet'!H10</f>
        <v>1283</v>
      </c>
      <c r="E9" s="96">
        <f>'Balance Sheet'!I10</f>
        <v>1288</v>
      </c>
      <c r="F9" s="96">
        <f>'Balance Sheet'!J10</f>
        <v>1313</v>
      </c>
      <c r="G9" s="100"/>
      <c r="H9" s="96">
        <f>H5+H6+H8</f>
        <v>0</v>
      </c>
      <c r="I9" s="96">
        <f>I5+I6+I8</f>
        <v>0</v>
      </c>
      <c r="J9" s="96">
        <f>J5+J6+J8</f>
        <v>0</v>
      </c>
      <c r="K9" s="96">
        <f>K5+K6+K8</f>
        <v>0</v>
      </c>
      <c r="L9" s="100"/>
      <c r="M9" s="100"/>
    </row>
    <row r="10" spans="2:13">
      <c r="L10" s="7"/>
      <c r="M10" s="7"/>
    </row>
    <row r="12" spans="2:13">
      <c r="B12" s="2" t="s">
        <v>128</v>
      </c>
      <c r="C12" s="16">
        <f>'P&amp;L'!H7</f>
        <v>22590</v>
      </c>
      <c r="D12" s="16">
        <f>'P&amp;L'!I7</f>
        <v>26386</v>
      </c>
      <c r="E12" s="16">
        <f>'P&amp;L'!J7</f>
        <v>22301</v>
      </c>
      <c r="F12" s="16">
        <f>'P&amp;L'!K7</f>
        <v>30455</v>
      </c>
      <c r="H12" s="16"/>
      <c r="I12" s="16"/>
      <c r="J12" s="16"/>
      <c r="K12" s="16"/>
    </row>
    <row r="13" spans="2:13">
      <c r="B13" s="2" t="s">
        <v>129</v>
      </c>
      <c r="C13" s="62">
        <f>C8/C12</f>
        <v>1.9034971226206286E-3</v>
      </c>
      <c r="D13" s="62">
        <f>D8/D12</f>
        <v>1.0990676874099901E-3</v>
      </c>
      <c r="E13" s="62">
        <f>E8/E12</f>
        <v>4.0356934666606874E-3</v>
      </c>
      <c r="F13" s="62">
        <f>F8/F12</f>
        <v>3.6118863897553768E-3</v>
      </c>
      <c r="H13" s="63"/>
      <c r="I13" s="63"/>
      <c r="J13" s="63"/>
      <c r="K13" s="63"/>
    </row>
  </sheetData>
  <mergeCells count="2">
    <mergeCell ref="H3:K3"/>
    <mergeCell ref="B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5"/>
  <sheetViews>
    <sheetView workbookViewId="0"/>
  </sheetViews>
  <sheetFormatPr defaultColWidth="9.140625" defaultRowHeight="12"/>
  <cols>
    <col min="1" max="1" width="2" style="2" customWidth="1"/>
    <col min="2" max="2" width="34.5703125" style="2" customWidth="1"/>
    <col min="3" max="3" width="10.85546875" style="2" bestFit="1" customWidth="1"/>
    <col min="4" max="6" width="9.140625" style="2"/>
    <col min="7" max="7" width="1.5703125" style="2" customWidth="1"/>
    <col min="8" max="8" width="8.140625" style="2" bestFit="1" customWidth="1"/>
    <col min="9" max="16384" width="9.140625" style="2"/>
  </cols>
  <sheetData>
    <row r="1" spans="2:11" ht="15.75">
      <c r="B1" s="3" t="s">
        <v>131</v>
      </c>
    </row>
    <row r="3" spans="2:11">
      <c r="B3" s="67"/>
      <c r="C3" s="102" t="s">
        <v>116</v>
      </c>
      <c r="D3" s="102"/>
      <c r="E3" s="102"/>
      <c r="F3" s="102"/>
      <c r="H3" s="102" t="s">
        <v>62</v>
      </c>
      <c r="I3" s="102"/>
      <c r="J3" s="102"/>
      <c r="K3" s="102"/>
    </row>
    <row r="4" spans="2:11" ht="12.75" thickBot="1">
      <c r="B4" s="66" t="s">
        <v>20</v>
      </c>
      <c r="C4" s="57" t="s">
        <v>14</v>
      </c>
      <c r="D4" s="57" t="s">
        <v>15</v>
      </c>
      <c r="E4" s="57" t="s">
        <v>16</v>
      </c>
      <c r="F4" s="57" t="s">
        <v>17</v>
      </c>
      <c r="H4" s="57" t="s">
        <v>14</v>
      </c>
      <c r="I4" s="57" t="s">
        <v>15</v>
      </c>
      <c r="J4" s="57" t="s">
        <v>16</v>
      </c>
      <c r="K4" s="57" t="s">
        <v>17</v>
      </c>
    </row>
    <row r="5" spans="2:11">
      <c r="B5" s="2" t="s">
        <v>128</v>
      </c>
      <c r="C5" s="16">
        <f>'Revenue Forecast'!C15</f>
        <v>22590</v>
      </c>
      <c r="D5" s="16">
        <f>'Revenue Forecast'!D15</f>
        <v>26386</v>
      </c>
      <c r="E5" s="16">
        <f>'Revenue Forecast'!E15</f>
        <v>22301</v>
      </c>
      <c r="F5" s="16">
        <f>'Revenue Forecast'!F15</f>
        <v>30455</v>
      </c>
      <c r="H5" s="16"/>
      <c r="I5" s="16"/>
      <c r="J5" s="16"/>
      <c r="K5" s="16"/>
    </row>
    <row r="6" spans="2:11">
      <c r="B6" s="2" t="s">
        <v>132</v>
      </c>
      <c r="C6" s="48">
        <f>'P&amp;L'!H8+'P&amp;L'!H9</f>
        <v>-12593</v>
      </c>
      <c r="D6" s="48">
        <f>'P&amp;L'!I8+'P&amp;L'!I9</f>
        <v>-14817</v>
      </c>
      <c r="E6" s="48">
        <f>'P&amp;L'!J8+'P&amp;L'!J9</f>
        <v>-13653</v>
      </c>
      <c r="F6" s="48">
        <f>'P&amp;L'!K8+'P&amp;L'!K9</f>
        <v>-18068</v>
      </c>
      <c r="H6" s="48"/>
      <c r="I6" s="48"/>
      <c r="J6" s="48"/>
      <c r="K6" s="48"/>
    </row>
    <row r="8" spans="2:11">
      <c r="B8" s="2" t="s">
        <v>25</v>
      </c>
      <c r="C8" s="16">
        <f>'Balance Sheet'!G7</f>
        <v>25144</v>
      </c>
      <c r="D8" s="16">
        <f>'Balance Sheet'!H7</f>
        <v>25014</v>
      </c>
      <c r="E8" s="16">
        <f>'Balance Sheet'!I7</f>
        <v>22868</v>
      </c>
      <c r="F8" s="16">
        <f>'Balance Sheet'!J7</f>
        <v>24231</v>
      </c>
      <c r="H8" s="16"/>
      <c r="I8" s="16"/>
      <c r="J8" s="16"/>
      <c r="K8" s="16"/>
    </row>
    <row r="9" spans="2:11">
      <c r="B9" s="28" t="s">
        <v>42</v>
      </c>
      <c r="C9" s="68">
        <f>C8/C5*90</f>
        <v>100.17529880478087</v>
      </c>
      <c r="D9" s="68">
        <f>D8/D5*90</f>
        <v>85.320245584779812</v>
      </c>
      <c r="E9" s="68">
        <f>E8/E5*90</f>
        <v>92.288238195596605</v>
      </c>
      <c r="F9" s="68">
        <f>F8/F5*90</f>
        <v>71.606961090132984</v>
      </c>
      <c r="H9" s="68"/>
      <c r="I9" s="68"/>
      <c r="J9" s="68"/>
      <c r="K9" s="68"/>
    </row>
    <row r="11" spans="2:11">
      <c r="B11" s="2" t="s">
        <v>28</v>
      </c>
      <c r="C11" s="16">
        <f>'Balance Sheet'!G15</f>
        <v>14938</v>
      </c>
      <c r="D11" s="16">
        <f>'Balance Sheet'!H15</f>
        <v>11806</v>
      </c>
      <c r="E11" s="16">
        <f>'Balance Sheet'!I15</f>
        <v>14195</v>
      </c>
      <c r="F11" s="16">
        <f>'Balance Sheet'!J15</f>
        <v>11002</v>
      </c>
      <c r="H11" s="16"/>
      <c r="I11" s="16"/>
      <c r="J11" s="16"/>
      <c r="K11" s="16"/>
    </row>
    <row r="12" spans="2:11">
      <c r="B12" s="28" t="s">
        <v>43</v>
      </c>
      <c r="C12" s="68">
        <f>-C11/C6*90</f>
        <v>106.75931072818233</v>
      </c>
      <c r="D12" s="68">
        <f>-D11/D6*90</f>
        <v>71.71087264628467</v>
      </c>
      <c r="E12" s="68">
        <f>-E11/E6*90</f>
        <v>93.572841133816738</v>
      </c>
      <c r="F12" s="68">
        <f>-F11/F6*90</f>
        <v>54.802966570732785</v>
      </c>
      <c r="H12" s="11"/>
      <c r="I12" s="11"/>
      <c r="J12" s="11"/>
      <c r="K12" s="11"/>
    </row>
    <row r="14" spans="2:11">
      <c r="B14" s="2" t="s">
        <v>26</v>
      </c>
      <c r="C14" s="16">
        <f>'Balance Sheet'!G8</f>
        <v>0</v>
      </c>
      <c r="D14" s="16">
        <f>'Balance Sheet'!H8</f>
        <v>0</v>
      </c>
      <c r="E14" s="16">
        <f>'Balance Sheet'!I8</f>
        <v>0</v>
      </c>
      <c r="F14" s="16">
        <f>'Balance Sheet'!J8</f>
        <v>0</v>
      </c>
      <c r="H14" s="16"/>
      <c r="I14" s="16"/>
      <c r="J14" s="16"/>
      <c r="K14" s="16"/>
    </row>
    <row r="15" spans="2:11">
      <c r="B15" s="28" t="s">
        <v>133</v>
      </c>
      <c r="C15" s="28">
        <v>0</v>
      </c>
      <c r="D15" s="28">
        <v>0</v>
      </c>
      <c r="E15" s="28">
        <v>0</v>
      </c>
      <c r="F15" s="28">
        <v>0</v>
      </c>
      <c r="H15" s="69"/>
      <c r="I15" s="69"/>
      <c r="J15" s="69"/>
      <c r="K15" s="69"/>
    </row>
  </sheetData>
  <mergeCells count="2">
    <mergeCell ref="H3:K3"/>
    <mergeCell ref="C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P15"/>
  <sheetViews>
    <sheetView workbookViewId="0"/>
  </sheetViews>
  <sheetFormatPr defaultColWidth="9.140625" defaultRowHeight="15"/>
  <cols>
    <col min="1" max="1" width="2" style="1" customWidth="1"/>
    <col min="2" max="2" width="18.85546875" style="1" customWidth="1"/>
    <col min="3" max="6" width="9.140625" style="1"/>
    <col min="7" max="7" width="2.5703125" style="1" customWidth="1"/>
    <col min="8" max="16384" width="9.140625" style="1"/>
  </cols>
  <sheetData>
    <row r="1" spans="2:16" ht="15.75">
      <c r="B1" s="3" t="s">
        <v>30</v>
      </c>
    </row>
    <row r="3" spans="2:16">
      <c r="B3" s="67"/>
      <c r="C3" s="102" t="s">
        <v>116</v>
      </c>
      <c r="D3" s="102"/>
      <c r="E3" s="102"/>
      <c r="F3" s="102"/>
      <c r="G3" s="2"/>
      <c r="H3" s="102" t="s">
        <v>62</v>
      </c>
      <c r="I3" s="102"/>
      <c r="J3" s="102"/>
      <c r="K3" s="102"/>
      <c r="L3" s="2"/>
      <c r="M3" s="2"/>
      <c r="N3" s="2"/>
      <c r="O3" s="2"/>
      <c r="P3" s="2"/>
    </row>
    <row r="4" spans="2:16" ht="15.75" thickBot="1">
      <c r="B4" s="66" t="s">
        <v>20</v>
      </c>
      <c r="C4" s="57" t="s">
        <v>14</v>
      </c>
      <c r="D4" s="57" t="s">
        <v>15</v>
      </c>
      <c r="E4" s="57" t="s">
        <v>16</v>
      </c>
      <c r="F4" s="57" t="s">
        <v>17</v>
      </c>
      <c r="G4" s="2"/>
      <c r="H4" s="57" t="s">
        <v>14</v>
      </c>
      <c r="I4" s="57" t="s">
        <v>15</v>
      </c>
      <c r="J4" s="57" t="s">
        <v>16</v>
      </c>
      <c r="K4" s="57" t="s">
        <v>17</v>
      </c>
      <c r="L4" s="2"/>
      <c r="M4" s="2"/>
      <c r="N4" s="2"/>
      <c r="O4" s="2"/>
      <c r="P4" s="2"/>
    </row>
    <row r="5" spans="2:16">
      <c r="B5" s="2" t="s">
        <v>30</v>
      </c>
      <c r="C5" s="16">
        <f>'Balance Sheet'!G18</f>
        <v>4680</v>
      </c>
      <c r="D5" s="16">
        <f>'Balance Sheet'!H18</f>
        <v>4680</v>
      </c>
      <c r="E5" s="16">
        <f>'Balance Sheet'!I18</f>
        <v>4680</v>
      </c>
      <c r="F5" s="16">
        <f>'Balance Sheet'!J18</f>
        <v>4680</v>
      </c>
      <c r="G5" s="2"/>
      <c r="H5" s="16"/>
      <c r="I5" s="16"/>
      <c r="J5" s="16"/>
      <c r="K5" s="16"/>
      <c r="L5" s="2"/>
      <c r="M5" s="2"/>
      <c r="N5" s="2"/>
      <c r="O5" s="2"/>
      <c r="P5" s="2"/>
    </row>
    <row r="6" spans="2:16">
      <c r="B6" s="2" t="s">
        <v>135</v>
      </c>
      <c r="C6" s="2">
        <f>'P&amp;L'!C15</f>
        <v>-120</v>
      </c>
      <c r="D6" s="2">
        <f>'P&amp;L'!D15</f>
        <v>-120</v>
      </c>
      <c r="E6" s="2">
        <f>'P&amp;L'!E15</f>
        <v>-120</v>
      </c>
      <c r="F6" s="2">
        <f>'P&amp;L'!F15</f>
        <v>-120</v>
      </c>
      <c r="G6" s="2"/>
      <c r="H6" s="64"/>
      <c r="I6" s="64"/>
      <c r="J6" s="64"/>
      <c r="K6" s="64"/>
      <c r="L6" s="2"/>
      <c r="M6" s="2"/>
      <c r="N6" s="2"/>
      <c r="O6" s="2"/>
      <c r="P6" s="2"/>
    </row>
    <row r="7" spans="2:16">
      <c r="B7" s="2" t="s">
        <v>136</v>
      </c>
      <c r="C7" s="62">
        <f>C6/C5</f>
        <v>-2.564102564102564E-2</v>
      </c>
      <c r="D7" s="62">
        <f>D6/D5</f>
        <v>-2.564102564102564E-2</v>
      </c>
      <c r="E7" s="62">
        <f>E6/E5</f>
        <v>-2.564102564102564E-2</v>
      </c>
      <c r="F7" s="62">
        <f>F6/F5</f>
        <v>-2.564102564102564E-2</v>
      </c>
      <c r="G7" s="2"/>
      <c r="H7" s="63"/>
      <c r="I7" s="63"/>
      <c r="J7" s="63"/>
      <c r="K7" s="63"/>
      <c r="L7" s="2"/>
      <c r="M7" s="2"/>
      <c r="N7" s="2"/>
      <c r="O7" s="2"/>
      <c r="P7" s="2"/>
    </row>
    <row r="8" spans="2:1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mergeCells count="2">
    <mergeCell ref="C3:F3"/>
    <mergeCell ref="H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2060"/>
  </sheetPr>
  <dimension ref="B17"/>
  <sheetViews>
    <sheetView workbookViewId="0"/>
  </sheetViews>
  <sheetFormatPr defaultColWidth="9.140625" defaultRowHeight="15"/>
  <cols>
    <col min="1" max="1" width="2" style="1" customWidth="1"/>
    <col min="2" max="16384" width="9.140625" style="1"/>
  </cols>
  <sheetData>
    <row r="17" spans="2:2" ht="50.25">
      <c r="B17" s="9" t="s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18"/>
  <sheetViews>
    <sheetView workbookViewId="0"/>
  </sheetViews>
  <sheetFormatPr defaultColWidth="9.140625" defaultRowHeight="15"/>
  <cols>
    <col min="1" max="1" width="2" style="1" customWidth="1"/>
    <col min="2" max="2" width="22.140625" style="1" bestFit="1" customWidth="1"/>
    <col min="3" max="3" width="7.5703125" style="1" bestFit="1" customWidth="1"/>
    <col min="4" max="7" width="9.140625" style="1"/>
    <col min="8" max="8" width="2" style="1" customWidth="1"/>
    <col min="9" max="9" width="7.5703125" style="1" bestFit="1" customWidth="1"/>
    <col min="10" max="16384" width="9.140625" style="1"/>
  </cols>
  <sheetData>
    <row r="1" spans="2:13" ht="15.75">
      <c r="B1" s="3" t="s">
        <v>134</v>
      </c>
    </row>
    <row r="2" spans="2:13" ht="15.75">
      <c r="B2" s="3"/>
    </row>
    <row r="3" spans="2:13">
      <c r="C3" s="102" t="s">
        <v>116</v>
      </c>
      <c r="D3" s="102"/>
      <c r="E3" s="102"/>
      <c r="F3" s="102"/>
      <c r="G3" s="102"/>
      <c r="H3" s="56"/>
      <c r="I3" s="102" t="s">
        <v>62</v>
      </c>
      <c r="J3" s="102"/>
      <c r="K3" s="102"/>
      <c r="L3" s="102"/>
      <c r="M3" s="102"/>
    </row>
    <row r="4" spans="2:13" ht="15.75" thickBot="1">
      <c r="B4" s="46" t="s">
        <v>100</v>
      </c>
      <c r="C4" s="57" t="s">
        <v>14</v>
      </c>
      <c r="D4" s="57" t="s">
        <v>15</v>
      </c>
      <c r="E4" s="57" t="s">
        <v>16</v>
      </c>
      <c r="F4" s="57" t="s">
        <v>17</v>
      </c>
      <c r="G4" s="57" t="s">
        <v>120</v>
      </c>
      <c r="H4" s="56"/>
      <c r="I4" s="57" t="s">
        <v>14</v>
      </c>
      <c r="J4" s="57" t="s">
        <v>15</v>
      </c>
      <c r="K4" s="57" t="s">
        <v>16</v>
      </c>
      <c r="L4" s="57" t="s">
        <v>17</v>
      </c>
      <c r="M4" s="57" t="s">
        <v>121</v>
      </c>
    </row>
    <row r="5" spans="2:13">
      <c r="B5" s="2" t="s">
        <v>2</v>
      </c>
      <c r="C5" s="16">
        <f>'P&amp;L'!H5</f>
        <v>16413</v>
      </c>
      <c r="D5" s="16">
        <f>'P&amp;L'!I5</f>
        <v>18926</v>
      </c>
      <c r="E5" s="16">
        <f>'P&amp;L'!J5</f>
        <v>16498</v>
      </c>
      <c r="F5" s="16">
        <f>'P&amp;L'!K5</f>
        <v>21432</v>
      </c>
      <c r="G5" s="16">
        <f>'P&amp;L'!L5</f>
        <v>73269</v>
      </c>
      <c r="I5" s="16">
        <f>'Revenue Forecast'!C20</f>
        <v>0</v>
      </c>
      <c r="J5" s="16">
        <f>'Revenue Forecast'!D20</f>
        <v>0</v>
      </c>
      <c r="K5" s="16">
        <f>'Revenue Forecast'!E20</f>
        <v>0</v>
      </c>
      <c r="L5" s="16">
        <f>'Revenue Forecast'!F20</f>
        <v>0</v>
      </c>
      <c r="M5" s="16">
        <f>'Revenue Forecast'!G20</f>
        <v>0</v>
      </c>
    </row>
    <row r="6" spans="2:13">
      <c r="B6" s="2" t="s">
        <v>0</v>
      </c>
      <c r="C6" s="16">
        <f>'P&amp;L'!H6</f>
        <v>6177</v>
      </c>
      <c r="D6" s="16">
        <f>'P&amp;L'!I6</f>
        <v>7460</v>
      </c>
      <c r="E6" s="16">
        <f>'P&amp;L'!J6</f>
        <v>5803</v>
      </c>
      <c r="F6" s="16">
        <f>'P&amp;L'!K6</f>
        <v>9023</v>
      </c>
      <c r="G6" s="16">
        <f>'P&amp;L'!L6</f>
        <v>28463</v>
      </c>
      <c r="I6" s="16">
        <f>'Revenue Forecast'!C21</f>
        <v>0</v>
      </c>
      <c r="J6" s="16">
        <f>'Revenue Forecast'!D21</f>
        <v>0</v>
      </c>
      <c r="K6" s="16">
        <f>'Revenue Forecast'!E21</f>
        <v>0</v>
      </c>
      <c r="L6" s="16">
        <f>'Revenue Forecast'!F21</f>
        <v>0</v>
      </c>
      <c r="M6" s="16">
        <f>'Revenue Forecast'!G21</f>
        <v>0</v>
      </c>
    </row>
    <row r="7" spans="2:13">
      <c r="B7" s="47" t="s">
        <v>1</v>
      </c>
      <c r="C7" s="50">
        <f>'P&amp;L'!H7</f>
        <v>22590</v>
      </c>
      <c r="D7" s="50">
        <f>'P&amp;L'!I7</f>
        <v>26386</v>
      </c>
      <c r="E7" s="50">
        <f>'P&amp;L'!J7</f>
        <v>22301</v>
      </c>
      <c r="F7" s="50">
        <f>'P&amp;L'!K7</f>
        <v>30455</v>
      </c>
      <c r="G7" s="50">
        <f>'P&amp;L'!L7</f>
        <v>101732</v>
      </c>
      <c r="I7" s="50">
        <f>I5+I6</f>
        <v>0</v>
      </c>
      <c r="J7" s="50">
        <f t="shared" ref="J7:M7" si="0">J5+J6</f>
        <v>0</v>
      </c>
      <c r="K7" s="50">
        <f t="shared" si="0"/>
        <v>0</v>
      </c>
      <c r="L7" s="50">
        <f t="shared" si="0"/>
        <v>0</v>
      </c>
      <c r="M7" s="50">
        <f t="shared" si="0"/>
        <v>0</v>
      </c>
    </row>
    <row r="8" spans="2:13">
      <c r="B8" s="2" t="s">
        <v>3</v>
      </c>
      <c r="C8" s="48">
        <f>'P&amp;L'!H8</f>
        <v>-8816</v>
      </c>
      <c r="D8" s="48">
        <f>'P&amp;L'!I8</f>
        <v>-10273</v>
      </c>
      <c r="E8" s="48">
        <f>'P&amp;L'!J8</f>
        <v>-9390</v>
      </c>
      <c r="F8" s="48">
        <f>'P&amp;L'!K8</f>
        <v>-12034</v>
      </c>
      <c r="G8" s="61">
        <f>'P&amp;L'!L8</f>
        <v>-40513</v>
      </c>
      <c r="H8" s="2"/>
      <c r="I8" s="48">
        <f>'Cost of Sales - Ad Campaigns'!I13</f>
        <v>0</v>
      </c>
      <c r="J8" s="48">
        <f>'Cost of Sales - Ad Campaigns'!J13</f>
        <v>0</v>
      </c>
      <c r="K8" s="48">
        <f>'Cost of Sales - Ad Campaigns'!K13</f>
        <v>0</v>
      </c>
      <c r="L8" s="48">
        <f>'Cost of Sales - Ad Campaigns'!L13</f>
        <v>0</v>
      </c>
      <c r="M8" s="48">
        <f>'Cost of Sales - Ad Campaigns'!M13</f>
        <v>0</v>
      </c>
    </row>
    <row r="9" spans="2:13">
      <c r="B9" s="2" t="s">
        <v>4</v>
      </c>
      <c r="C9" s="48">
        <f>'P&amp;L'!H9</f>
        <v>-3777</v>
      </c>
      <c r="D9" s="48">
        <f>'P&amp;L'!I9</f>
        <v>-4544</v>
      </c>
      <c r="E9" s="48">
        <f>'P&amp;L'!J9</f>
        <v>-4263</v>
      </c>
      <c r="F9" s="48">
        <f>'P&amp;L'!K9</f>
        <v>-6034</v>
      </c>
      <c r="G9" s="61">
        <f>'P&amp;L'!L9</f>
        <v>-18618</v>
      </c>
      <c r="H9" s="2"/>
      <c r="I9" s="48">
        <f>'Cost of Sales - SEO Campaigns'!I13</f>
        <v>0</v>
      </c>
      <c r="J9" s="48">
        <f>'Cost of Sales - SEO Campaigns'!J13</f>
        <v>0</v>
      </c>
      <c r="K9" s="48">
        <f>'Cost of Sales - SEO Campaigns'!K13</f>
        <v>0</v>
      </c>
      <c r="L9" s="48">
        <f>'Cost of Sales - SEO Campaigns'!L13</f>
        <v>0</v>
      </c>
      <c r="M9" s="48">
        <f>'Cost of Sales - SEO Campaigns'!M13</f>
        <v>0</v>
      </c>
    </row>
    <row r="10" spans="2:13">
      <c r="B10" s="47" t="s">
        <v>5</v>
      </c>
      <c r="C10" s="50">
        <f>'P&amp;L'!H10</f>
        <v>9997</v>
      </c>
      <c r="D10" s="50">
        <f>'P&amp;L'!I10</f>
        <v>11569</v>
      </c>
      <c r="E10" s="50">
        <f>'P&amp;L'!J10</f>
        <v>8648</v>
      </c>
      <c r="F10" s="50">
        <f>'P&amp;L'!K10</f>
        <v>12387</v>
      </c>
      <c r="G10" s="50">
        <f>'P&amp;L'!L10</f>
        <v>42601</v>
      </c>
      <c r="I10" s="50">
        <f>I8+I9+I7</f>
        <v>0</v>
      </c>
      <c r="J10" s="50">
        <f t="shared" ref="J10:M10" si="1">J8+J9+J7</f>
        <v>0</v>
      </c>
      <c r="K10" s="50">
        <f t="shared" si="1"/>
        <v>0</v>
      </c>
      <c r="L10" s="50">
        <f t="shared" si="1"/>
        <v>0</v>
      </c>
      <c r="M10" s="50">
        <f t="shared" si="1"/>
        <v>0</v>
      </c>
    </row>
    <row r="11" spans="2:13">
      <c r="B11" s="2" t="s">
        <v>6</v>
      </c>
      <c r="C11" s="48">
        <f>'P&amp;L'!H11</f>
        <v>-5696</v>
      </c>
      <c r="D11" s="48">
        <f>'P&amp;L'!I11</f>
        <v>-5498</v>
      </c>
      <c r="E11" s="48">
        <f>'P&amp;L'!J11</f>
        <v>-5640</v>
      </c>
      <c r="F11" s="48">
        <f>'P&amp;L'!K11</f>
        <v>-6231</v>
      </c>
      <c r="G11" s="61">
        <f>'P&amp;L'!L11</f>
        <v>-23065</v>
      </c>
      <c r="H11" s="2"/>
      <c r="I11" s="48">
        <f>'SG&amp;A'!I29</f>
        <v>0</v>
      </c>
      <c r="J11" s="48">
        <f>'SG&amp;A'!J29</f>
        <v>0</v>
      </c>
      <c r="K11" s="48">
        <f>'SG&amp;A'!K29</f>
        <v>0</v>
      </c>
      <c r="L11" s="48">
        <f>'SG&amp;A'!L29</f>
        <v>0</v>
      </c>
      <c r="M11" s="48">
        <f>'SG&amp;A'!M29</f>
        <v>0</v>
      </c>
    </row>
    <row r="12" spans="2:13">
      <c r="B12" s="47" t="s">
        <v>7</v>
      </c>
      <c r="C12" s="50">
        <f>'P&amp;L'!H12</f>
        <v>4301</v>
      </c>
      <c r="D12" s="50">
        <f>'P&amp;L'!I12</f>
        <v>6071</v>
      </c>
      <c r="E12" s="50">
        <f>'P&amp;L'!J12</f>
        <v>3008</v>
      </c>
      <c r="F12" s="50">
        <f>'P&amp;L'!K12</f>
        <v>6156</v>
      </c>
      <c r="G12" s="50">
        <f>'P&amp;L'!L12</f>
        <v>19536</v>
      </c>
      <c r="I12" s="50">
        <f>I10+I11</f>
        <v>0</v>
      </c>
      <c r="J12" s="50">
        <f t="shared" ref="J12:M12" si="2">J10+J11</f>
        <v>0</v>
      </c>
      <c r="K12" s="50">
        <f t="shared" si="2"/>
        <v>0</v>
      </c>
      <c r="L12" s="50">
        <f t="shared" si="2"/>
        <v>0</v>
      </c>
      <c r="M12" s="50">
        <f t="shared" si="2"/>
        <v>0</v>
      </c>
    </row>
    <row r="13" spans="2:13">
      <c r="B13" s="2" t="s">
        <v>8</v>
      </c>
      <c r="C13" s="48">
        <f>'P&amp;L'!H13</f>
        <v>-85</v>
      </c>
      <c r="D13" s="48">
        <f>'P&amp;L'!I13</f>
        <v>-85</v>
      </c>
      <c r="E13" s="48">
        <f>'P&amp;L'!J13</f>
        <v>-85</v>
      </c>
      <c r="F13" s="48">
        <f>'P&amp;L'!K13</f>
        <v>-85</v>
      </c>
      <c r="G13" s="61">
        <f>'P&amp;L'!L13</f>
        <v>-340</v>
      </c>
      <c r="H13" s="2"/>
      <c r="I13" s="48">
        <f>'Fixed Assets'!H6</f>
        <v>0</v>
      </c>
      <c r="J13" s="48">
        <f>'Fixed Assets'!I6</f>
        <v>0</v>
      </c>
      <c r="K13" s="48">
        <f>'Fixed Assets'!J6</f>
        <v>0</v>
      </c>
      <c r="L13" s="48">
        <f>'Fixed Assets'!K6</f>
        <v>0</v>
      </c>
      <c r="M13" s="48">
        <f>SUM(I13:L13)</f>
        <v>0</v>
      </c>
    </row>
    <row r="14" spans="2:13">
      <c r="B14" s="47" t="s">
        <v>9</v>
      </c>
      <c r="C14" s="50">
        <f>'P&amp;L'!H14</f>
        <v>4216</v>
      </c>
      <c r="D14" s="50">
        <f>'P&amp;L'!I14</f>
        <v>5986</v>
      </c>
      <c r="E14" s="50">
        <f>'P&amp;L'!J14</f>
        <v>2923</v>
      </c>
      <c r="F14" s="50">
        <f>'P&amp;L'!K14</f>
        <v>6071</v>
      </c>
      <c r="G14" s="50">
        <f>'P&amp;L'!L14</f>
        <v>19196</v>
      </c>
      <c r="I14" s="50">
        <f>I12+I13</f>
        <v>0</v>
      </c>
      <c r="J14" s="50">
        <f t="shared" ref="J14:M14" si="3">J12+J13</f>
        <v>0</v>
      </c>
      <c r="K14" s="50">
        <f t="shared" si="3"/>
        <v>0</v>
      </c>
      <c r="L14" s="50">
        <f t="shared" si="3"/>
        <v>0</v>
      </c>
      <c r="M14" s="50">
        <f t="shared" si="3"/>
        <v>0</v>
      </c>
    </row>
    <row r="15" spans="2:13">
      <c r="B15" s="2" t="s">
        <v>10</v>
      </c>
      <c r="C15" s="48">
        <f>'P&amp;L'!H15</f>
        <v>-234</v>
      </c>
      <c r="D15" s="48">
        <f>'P&amp;L'!I15</f>
        <v>-234</v>
      </c>
      <c r="E15" s="48">
        <f>'P&amp;L'!J15</f>
        <v>-234</v>
      </c>
      <c r="F15" s="48">
        <f>'P&amp;L'!K15</f>
        <v>-234</v>
      </c>
      <c r="G15" s="61">
        <f>'P&amp;L'!L15</f>
        <v>-936</v>
      </c>
      <c r="H15" s="2"/>
      <c r="I15" s="48">
        <f>'Financial Liabilities'!H6</f>
        <v>0</v>
      </c>
      <c r="J15" s="48">
        <f>'Financial Liabilities'!I6</f>
        <v>0</v>
      </c>
      <c r="K15" s="48">
        <f>'Financial Liabilities'!J6</f>
        <v>0</v>
      </c>
      <c r="L15" s="48">
        <f>'Financial Liabilities'!K6</f>
        <v>0</v>
      </c>
      <c r="M15" s="48">
        <f>SUM(I15:L15)</f>
        <v>0</v>
      </c>
    </row>
    <row r="16" spans="2:13">
      <c r="B16" s="47" t="s">
        <v>11</v>
      </c>
      <c r="C16" s="50">
        <f>'P&amp;L'!H16</f>
        <v>3982</v>
      </c>
      <c r="D16" s="50">
        <f>'P&amp;L'!I16</f>
        <v>5752</v>
      </c>
      <c r="E16" s="50">
        <f>'P&amp;L'!J16</f>
        <v>2689</v>
      </c>
      <c r="F16" s="50">
        <f>'P&amp;L'!K16</f>
        <v>5837</v>
      </c>
      <c r="G16" s="50">
        <f>'P&amp;L'!L16</f>
        <v>18260</v>
      </c>
      <c r="I16" s="50">
        <f>I14+I15</f>
        <v>0</v>
      </c>
      <c r="J16" s="50">
        <f t="shared" ref="J16" si="4">J14+J15</f>
        <v>0</v>
      </c>
      <c r="K16" s="50">
        <f t="shared" ref="K16" si="5">K14+K15</f>
        <v>0</v>
      </c>
      <c r="L16" s="50">
        <f t="shared" ref="L16" si="6">L14+L15</f>
        <v>0</v>
      </c>
      <c r="M16" s="50">
        <f t="shared" ref="M16" si="7">M14+M15</f>
        <v>0</v>
      </c>
    </row>
    <row r="17" spans="2:13">
      <c r="B17" s="2" t="s">
        <v>12</v>
      </c>
      <c r="C17" s="48">
        <f>'P&amp;L'!H17</f>
        <v>-398.20000000000005</v>
      </c>
      <c r="D17" s="48">
        <f>'P&amp;L'!I17</f>
        <v>-575.20000000000005</v>
      </c>
      <c r="E17" s="48">
        <f>'P&amp;L'!J17</f>
        <v>-268.90000000000003</v>
      </c>
      <c r="F17" s="48">
        <f>'P&amp;L'!K17</f>
        <v>-583.70000000000005</v>
      </c>
      <c r="G17" s="61">
        <f>'P&amp;L'!L17</f>
        <v>-1826.0000000000002</v>
      </c>
      <c r="H17" s="2"/>
      <c r="I17" s="48">
        <f>-10%*I16</f>
        <v>0</v>
      </c>
      <c r="J17" s="48">
        <f>-10%*J16</f>
        <v>0</v>
      </c>
      <c r="K17" s="48">
        <f>-10%*K16</f>
        <v>0</v>
      </c>
      <c r="L17" s="48">
        <f>-10%*L16</f>
        <v>0</v>
      </c>
      <c r="M17" s="48">
        <f>-10%*M16</f>
        <v>0</v>
      </c>
    </row>
    <row r="18" spans="2:13" ht="15.75" thickBot="1">
      <c r="B18" s="95" t="s">
        <v>13</v>
      </c>
      <c r="C18" s="96">
        <f>'P&amp;L'!H18</f>
        <v>3583.8</v>
      </c>
      <c r="D18" s="96">
        <f>'P&amp;L'!I18</f>
        <v>5176.8</v>
      </c>
      <c r="E18" s="96">
        <f>'P&amp;L'!J18</f>
        <v>2420.1</v>
      </c>
      <c r="F18" s="96">
        <f>'P&amp;L'!K18</f>
        <v>5253.3</v>
      </c>
      <c r="G18" s="96">
        <f>'P&amp;L'!L18</f>
        <v>16434</v>
      </c>
      <c r="H18" s="100"/>
      <c r="I18" s="96">
        <f>I16+I17</f>
        <v>0</v>
      </c>
      <c r="J18" s="96">
        <f t="shared" ref="J18" si="8">J16+J17</f>
        <v>0</v>
      </c>
      <c r="K18" s="96">
        <f t="shared" ref="K18" si="9">K16+K17</f>
        <v>0</v>
      </c>
      <c r="L18" s="96">
        <f t="shared" ref="L18" si="10">L16+L17</f>
        <v>0</v>
      </c>
      <c r="M18" s="96">
        <f t="shared" ref="M18" si="11">M16+M17</f>
        <v>0</v>
      </c>
    </row>
  </sheetData>
  <mergeCells count="2">
    <mergeCell ref="C3:G3"/>
    <mergeCell ref="I3:M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L24"/>
  <sheetViews>
    <sheetView workbookViewId="0"/>
  </sheetViews>
  <sheetFormatPr defaultColWidth="9.140625" defaultRowHeight="15"/>
  <cols>
    <col min="1" max="1" width="2" style="1" customWidth="1"/>
    <col min="2" max="2" width="21.5703125" style="1" customWidth="1"/>
    <col min="3" max="6" width="9.140625" style="1"/>
    <col min="7" max="7" width="2" style="83" customWidth="1"/>
    <col min="8" max="16384" width="9.140625" style="1"/>
  </cols>
  <sheetData>
    <row r="1" spans="2:12" ht="15.75">
      <c r="B1" s="3" t="s">
        <v>23</v>
      </c>
    </row>
    <row r="3" spans="2:12">
      <c r="C3" s="102" t="s">
        <v>116</v>
      </c>
      <c r="D3" s="102"/>
      <c r="E3" s="102"/>
      <c r="F3" s="102"/>
      <c r="G3" s="84"/>
      <c r="H3" s="102" t="s">
        <v>62</v>
      </c>
      <c r="I3" s="102"/>
      <c r="J3" s="102"/>
      <c r="K3" s="102"/>
      <c r="L3" s="67" t="s">
        <v>137</v>
      </c>
    </row>
    <row r="4" spans="2:12" ht="25.5" thickBot="1">
      <c r="B4" s="46" t="s">
        <v>20</v>
      </c>
      <c r="C4" s="58" t="s">
        <v>38</v>
      </c>
      <c r="D4" s="58" t="s">
        <v>39</v>
      </c>
      <c r="E4" s="58" t="s">
        <v>40</v>
      </c>
      <c r="F4" s="58" t="s">
        <v>41</v>
      </c>
      <c r="G4" s="80"/>
      <c r="H4" s="58" t="s">
        <v>124</v>
      </c>
      <c r="I4" s="58" t="s">
        <v>125</v>
      </c>
      <c r="J4" s="58" t="s">
        <v>126</v>
      </c>
      <c r="K4" s="58" t="s">
        <v>127</v>
      </c>
    </row>
    <row r="5" spans="2:12">
      <c r="B5" s="2" t="s">
        <v>24</v>
      </c>
      <c r="C5" s="73">
        <v>492.39</v>
      </c>
      <c r="D5" s="73">
        <v>567.78</v>
      </c>
      <c r="E5" s="73">
        <v>494.94</v>
      </c>
      <c r="F5" s="73">
        <v>642.95999999999992</v>
      </c>
      <c r="G5" s="73"/>
      <c r="H5" s="73"/>
      <c r="I5" s="73"/>
      <c r="J5" s="73"/>
      <c r="K5" s="73"/>
    </row>
    <row r="6" spans="2:12">
      <c r="B6" s="2" t="s">
        <v>25</v>
      </c>
      <c r="C6" s="73">
        <v>25144</v>
      </c>
      <c r="D6" s="73">
        <v>25014</v>
      </c>
      <c r="E6" s="73">
        <v>22868</v>
      </c>
      <c r="F6" s="73">
        <v>24231</v>
      </c>
      <c r="G6" s="73"/>
      <c r="H6" s="73"/>
      <c r="I6" s="73"/>
      <c r="J6" s="73"/>
      <c r="K6" s="73"/>
    </row>
    <row r="7" spans="2:12">
      <c r="B7" s="2" t="s">
        <v>26</v>
      </c>
      <c r="C7" s="73">
        <v>0</v>
      </c>
      <c r="D7" s="73">
        <v>0</v>
      </c>
      <c r="E7" s="73">
        <v>0</v>
      </c>
      <c r="F7" s="73">
        <v>0</v>
      </c>
      <c r="G7" s="73"/>
      <c r="H7" s="73"/>
      <c r="I7" s="73"/>
      <c r="J7" s="73"/>
      <c r="K7" s="73"/>
    </row>
    <row r="8" spans="2:12" ht="3.75" customHeight="1">
      <c r="B8" s="2"/>
      <c r="C8" s="73"/>
      <c r="D8" s="73"/>
      <c r="E8" s="73"/>
      <c r="F8" s="73"/>
      <c r="G8" s="73"/>
      <c r="H8" s="73"/>
      <c r="I8" s="73"/>
      <c r="J8" s="73"/>
      <c r="K8" s="73"/>
    </row>
    <row r="9" spans="2:12">
      <c r="B9" s="2" t="s">
        <v>27</v>
      </c>
      <c r="C9" s="73">
        <v>1339</v>
      </c>
      <c r="D9" s="73">
        <v>1283</v>
      </c>
      <c r="E9" s="73">
        <v>1288</v>
      </c>
      <c r="F9" s="73">
        <v>1313</v>
      </c>
      <c r="G9" s="73"/>
      <c r="H9" s="73"/>
      <c r="I9" s="73"/>
      <c r="J9" s="73"/>
      <c r="K9" s="73"/>
    </row>
    <row r="10" spans="2:12">
      <c r="B10" s="2" t="s">
        <v>29</v>
      </c>
      <c r="C10" s="73">
        <v>8445.4400000000023</v>
      </c>
      <c r="D10" s="73">
        <v>11169.880000000005</v>
      </c>
      <c r="E10" s="73">
        <v>14713.239999999998</v>
      </c>
      <c r="F10" s="73">
        <v>12545.160000000003</v>
      </c>
      <c r="G10" s="73"/>
      <c r="H10" s="73"/>
      <c r="I10" s="73"/>
      <c r="J10" s="73"/>
      <c r="K10" s="73"/>
    </row>
    <row r="11" spans="2:12" ht="3.75" customHeight="1">
      <c r="B11" s="2"/>
      <c r="C11" s="73"/>
      <c r="D11" s="73"/>
      <c r="E11" s="73"/>
      <c r="F11" s="73"/>
      <c r="G11" s="73"/>
      <c r="H11" s="73"/>
      <c r="I11" s="73"/>
      <c r="J11" s="73"/>
      <c r="K11" s="73"/>
    </row>
    <row r="12" spans="2:12" ht="15.75" thickBot="1">
      <c r="B12" s="95" t="s">
        <v>33</v>
      </c>
      <c r="C12" s="96">
        <v>35420.83</v>
      </c>
      <c r="D12" s="96">
        <v>38034.660000000003</v>
      </c>
      <c r="E12" s="96">
        <v>39364.179999999993</v>
      </c>
      <c r="F12" s="96">
        <v>38732.120000000003</v>
      </c>
      <c r="G12" s="81"/>
      <c r="H12" s="96"/>
      <c r="I12" s="96"/>
      <c r="J12" s="96"/>
      <c r="K12" s="96"/>
    </row>
    <row r="13" spans="2:12" ht="3.75" customHeight="1">
      <c r="B13" s="2"/>
      <c r="C13" s="74"/>
      <c r="D13" s="74"/>
      <c r="E13" s="74"/>
      <c r="F13" s="74"/>
      <c r="G13" s="82"/>
      <c r="H13" s="74"/>
      <c r="I13" s="74"/>
      <c r="J13" s="74"/>
      <c r="K13" s="74"/>
    </row>
    <row r="14" spans="2:12">
      <c r="B14" s="2" t="s">
        <v>28</v>
      </c>
      <c r="C14" s="73">
        <v>14938</v>
      </c>
      <c r="D14" s="73">
        <v>11806</v>
      </c>
      <c r="E14" s="73">
        <v>14195</v>
      </c>
      <c r="F14" s="73">
        <v>11002</v>
      </c>
      <c r="G14" s="73"/>
      <c r="H14" s="73"/>
      <c r="I14" s="73"/>
      <c r="J14" s="73"/>
      <c r="K14" s="73"/>
    </row>
    <row r="15" spans="2:12">
      <c r="B15" s="2" t="s">
        <v>48</v>
      </c>
      <c r="C15" s="73">
        <v>10048</v>
      </c>
      <c r="D15" s="73">
        <v>14150</v>
      </c>
      <c r="E15" s="73">
        <v>16066</v>
      </c>
      <c r="F15" s="73">
        <v>15110</v>
      </c>
      <c r="G15" s="73"/>
      <c r="H15" s="73"/>
      <c r="I15" s="73"/>
      <c r="J15" s="73"/>
      <c r="K15" s="73"/>
    </row>
    <row r="16" spans="2:12" ht="3.75" customHeight="1">
      <c r="B16" s="2"/>
      <c r="C16" s="73"/>
      <c r="D16" s="73"/>
      <c r="E16" s="73"/>
      <c r="F16" s="73"/>
      <c r="G16" s="73"/>
      <c r="H16" s="73"/>
      <c r="I16" s="73"/>
      <c r="J16" s="73"/>
      <c r="K16" s="73"/>
    </row>
    <row r="17" spans="2:11">
      <c r="B17" s="2" t="s">
        <v>30</v>
      </c>
      <c r="C17" s="73">
        <v>4680</v>
      </c>
      <c r="D17" s="73">
        <v>4680</v>
      </c>
      <c r="E17" s="73">
        <v>4680</v>
      </c>
      <c r="F17" s="73">
        <v>4680</v>
      </c>
      <c r="G17" s="73"/>
      <c r="H17" s="73"/>
      <c r="I17" s="73"/>
      <c r="J17" s="73"/>
      <c r="K17" s="73"/>
    </row>
    <row r="18" spans="2:11" ht="3.75" customHeight="1">
      <c r="B18" s="2"/>
      <c r="C18" s="73"/>
      <c r="D18" s="73"/>
      <c r="E18" s="73"/>
      <c r="F18" s="73"/>
      <c r="G18" s="73"/>
      <c r="H18" s="73"/>
      <c r="I18" s="73"/>
      <c r="J18" s="73"/>
      <c r="K18" s="73"/>
    </row>
    <row r="19" spans="2:11">
      <c r="B19" s="2" t="s">
        <v>31</v>
      </c>
      <c r="C19" s="73">
        <v>5754.83</v>
      </c>
      <c r="D19" s="73">
        <v>7398.66</v>
      </c>
      <c r="E19" s="73">
        <v>4423.18</v>
      </c>
      <c r="F19" s="73">
        <v>7940.12</v>
      </c>
      <c r="G19" s="73"/>
      <c r="H19" s="73"/>
      <c r="I19" s="73"/>
      <c r="J19" s="73"/>
      <c r="K19" s="73"/>
    </row>
    <row r="20" spans="2:11" ht="3.75" customHeight="1">
      <c r="B20" s="2"/>
      <c r="C20" s="74"/>
      <c r="D20" s="74"/>
      <c r="E20" s="74"/>
      <c r="F20" s="74"/>
      <c r="G20" s="82"/>
      <c r="H20" s="74"/>
      <c r="I20" s="74"/>
      <c r="J20" s="74"/>
      <c r="K20" s="74"/>
    </row>
    <row r="21" spans="2:11" ht="15.75" thickBot="1">
      <c r="B21" s="95" t="s">
        <v>32</v>
      </c>
      <c r="C21" s="96">
        <v>35420.83</v>
      </c>
      <c r="D21" s="96">
        <v>38034.660000000003</v>
      </c>
      <c r="E21" s="96">
        <v>39364.18</v>
      </c>
      <c r="F21" s="96">
        <v>38732.120000000003</v>
      </c>
      <c r="G21" s="81"/>
      <c r="H21" s="96"/>
      <c r="I21" s="96"/>
      <c r="J21" s="96"/>
      <c r="K21" s="96"/>
    </row>
    <row r="24" spans="2:11">
      <c r="B24" s="85" t="s">
        <v>138</v>
      </c>
      <c r="C24" s="86">
        <f>C12-C21</f>
        <v>0</v>
      </c>
      <c r="D24" s="86">
        <f>D12-D21</f>
        <v>0</v>
      </c>
      <c r="E24" s="86">
        <f>E12-E21</f>
        <v>0</v>
      </c>
      <c r="F24" s="86">
        <f>F12-F21</f>
        <v>0</v>
      </c>
      <c r="G24" s="87"/>
      <c r="H24" s="86"/>
      <c r="I24" s="86"/>
      <c r="J24" s="86"/>
      <c r="K24" s="86"/>
    </row>
  </sheetData>
  <mergeCells count="2">
    <mergeCell ref="C3:F3"/>
    <mergeCell ref="H3:K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1:G19"/>
  <sheetViews>
    <sheetView workbookViewId="0"/>
  </sheetViews>
  <sheetFormatPr defaultColWidth="9.140625" defaultRowHeight="15"/>
  <cols>
    <col min="1" max="1" width="2" style="1" customWidth="1"/>
    <col min="2" max="2" width="48" style="1" bestFit="1" customWidth="1"/>
    <col min="3" max="16384" width="9.140625" style="1"/>
  </cols>
  <sheetData>
    <row r="1" spans="2:7" ht="15.75">
      <c r="B1" s="3" t="s">
        <v>53</v>
      </c>
    </row>
    <row r="2" spans="2:7" ht="15.75">
      <c r="B2" s="3"/>
    </row>
    <row r="3" spans="2:7">
      <c r="C3" s="102" t="s">
        <v>62</v>
      </c>
      <c r="D3" s="102"/>
      <c r="E3" s="102"/>
      <c r="F3" s="102"/>
      <c r="G3" s="102"/>
    </row>
    <row r="4" spans="2:7" ht="15.75" thickBot="1">
      <c r="B4" s="46" t="s">
        <v>20</v>
      </c>
      <c r="C4" s="58" t="s">
        <v>14</v>
      </c>
      <c r="D4" s="58" t="s">
        <v>15</v>
      </c>
      <c r="E4" s="58" t="s">
        <v>16</v>
      </c>
      <c r="F4" s="58" t="s">
        <v>17</v>
      </c>
      <c r="G4" s="58" t="s">
        <v>121</v>
      </c>
    </row>
    <row r="5" spans="2:7">
      <c r="B5" s="20" t="s">
        <v>7</v>
      </c>
      <c r="C5" s="48"/>
      <c r="D5" s="48"/>
      <c r="E5" s="48"/>
      <c r="F5" s="48"/>
      <c r="G5" s="48"/>
    </row>
    <row r="6" spans="2:7">
      <c r="B6" s="7" t="s">
        <v>10</v>
      </c>
      <c r="C6" s="48"/>
      <c r="D6" s="48"/>
      <c r="E6" s="48"/>
      <c r="F6" s="48"/>
      <c r="G6" s="48"/>
    </row>
    <row r="7" spans="2:7">
      <c r="B7" s="15" t="s">
        <v>12</v>
      </c>
      <c r="C7" s="48"/>
      <c r="D7" s="48"/>
      <c r="E7" s="48"/>
      <c r="F7" s="48"/>
      <c r="G7" s="48"/>
    </row>
    <row r="8" spans="2:7" ht="3.75" customHeight="1">
      <c r="B8" s="15"/>
      <c r="C8" s="48"/>
      <c r="D8" s="48"/>
      <c r="E8" s="48"/>
      <c r="F8" s="48"/>
      <c r="G8" s="48"/>
    </row>
    <row r="9" spans="2:7">
      <c r="B9" s="15" t="s">
        <v>44</v>
      </c>
      <c r="C9" s="48"/>
      <c r="D9" s="48"/>
      <c r="E9" s="48"/>
      <c r="F9" s="48"/>
      <c r="G9" s="48"/>
    </row>
    <row r="10" spans="2:7">
      <c r="B10" s="15" t="s">
        <v>45</v>
      </c>
      <c r="C10" s="48"/>
      <c r="D10" s="48"/>
      <c r="E10" s="48"/>
      <c r="F10" s="48"/>
      <c r="G10" s="48"/>
    </row>
    <row r="11" spans="2:7">
      <c r="B11" s="15" t="s">
        <v>47</v>
      </c>
      <c r="C11" s="48"/>
      <c r="D11" s="48"/>
      <c r="E11" s="48"/>
      <c r="F11" s="48"/>
      <c r="G11" s="48"/>
    </row>
    <row r="12" spans="2:7" ht="3.75" customHeight="1">
      <c r="B12" s="15"/>
      <c r="C12" s="48"/>
      <c r="D12" s="48"/>
      <c r="E12" s="48"/>
      <c r="F12" s="48"/>
      <c r="G12" s="48"/>
    </row>
    <row r="13" spans="2:7">
      <c r="B13" s="15" t="s">
        <v>46</v>
      </c>
      <c r="C13" s="48"/>
      <c r="D13" s="48"/>
      <c r="E13" s="48"/>
      <c r="F13" s="48"/>
      <c r="G13" s="48"/>
    </row>
    <row r="14" spans="2:7">
      <c r="B14" s="15" t="s">
        <v>49</v>
      </c>
      <c r="C14" s="48"/>
      <c r="D14" s="48"/>
      <c r="E14" s="48"/>
      <c r="F14" s="48"/>
      <c r="G14" s="48"/>
    </row>
    <row r="15" spans="2:7">
      <c r="B15" s="15" t="s">
        <v>50</v>
      </c>
      <c r="C15" s="48"/>
      <c r="D15" s="48"/>
      <c r="E15" s="48"/>
      <c r="F15" s="48"/>
      <c r="G15" s="48"/>
    </row>
    <row r="16" spans="2:7" ht="3.75" customHeight="1">
      <c r="B16" s="15"/>
      <c r="C16" s="48"/>
      <c r="D16" s="48"/>
      <c r="E16" s="48"/>
      <c r="F16" s="48"/>
      <c r="G16" s="48"/>
    </row>
    <row r="17" spans="2:7">
      <c r="B17" s="15" t="s">
        <v>139</v>
      </c>
      <c r="C17" s="48"/>
      <c r="D17" s="48"/>
      <c r="E17" s="48"/>
      <c r="F17" s="48"/>
      <c r="G17" s="48"/>
    </row>
    <row r="18" spans="2:7" ht="3.75" customHeight="1">
      <c r="B18" s="10"/>
    </row>
    <row r="19" spans="2:7" ht="15.75" thickBot="1">
      <c r="B19" s="95" t="s">
        <v>52</v>
      </c>
      <c r="C19" s="96"/>
      <c r="D19" s="96"/>
      <c r="E19" s="96"/>
      <c r="F19" s="96"/>
      <c r="G19" s="96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99 Agency</vt:lpstr>
      <vt:lpstr>Historical --&gt;</vt:lpstr>
      <vt:lpstr>P&amp;L</vt:lpstr>
      <vt:lpstr>Balance Sheet</vt:lpstr>
      <vt:lpstr>Cash Flow</vt:lpstr>
      <vt:lpstr>Revenue - Bottom-Up</vt:lpstr>
      <vt:lpstr>Revenue - Top-Down</vt:lpstr>
      <vt:lpstr>Revenue Forecast</vt:lpstr>
      <vt:lpstr>Cost of Sales - Ad Campaigns</vt:lpstr>
      <vt:lpstr>Cost of Sales - SEO Campaigns</vt:lpstr>
      <vt:lpstr>SG&amp;A</vt:lpstr>
      <vt:lpstr>Fixed Assets</vt:lpstr>
      <vt:lpstr>Working Capital</vt:lpstr>
      <vt:lpstr>Financial Liabilities</vt:lpstr>
      <vt:lpstr>Master Budget --&gt;</vt:lpstr>
      <vt:lpstr>IS</vt:lpstr>
      <vt:lpstr>BS</vt:lpstr>
      <vt:lpstr>CF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Admin</cp:lastModifiedBy>
  <dcterms:created xsi:type="dcterms:W3CDTF">2016-05-14T12:47:35Z</dcterms:created>
  <dcterms:modified xsi:type="dcterms:W3CDTF">2019-08-09T11:26:39Z</dcterms:modified>
</cp:coreProperties>
</file>