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0" yWindow="0" windowWidth="28800" windowHeight="12795" tabRatio="971" activeTab="2"/>
  </bookViews>
  <sheets>
    <sheet name="P&amp;L Budgeting" sheetId="10" r:id="rId1"/>
    <sheet name="Sales Budget --&gt;" sheetId="1" r:id="rId2"/>
    <sheet name="Volume Forecast" sheetId="2" r:id="rId3"/>
    <sheet name="Revenue Forecast" sheetId="3" r:id="rId4"/>
    <sheet name="Production Budget --&gt;" sheetId="11" r:id="rId5"/>
    <sheet name="Production &amp; Direct Materials" sheetId="12" r:id="rId6"/>
    <sheet name="Direct Labour" sheetId="13" r:id="rId7"/>
    <sheet name="Overhead" sheetId="14" r:id="rId8"/>
    <sheet name="Cost of Goods Sold" sheetId="15" r:id="rId9"/>
    <sheet name="SG&amp;A Budget --&gt;" sheetId="16" r:id="rId10"/>
    <sheet name="SG&amp;A" sheetId="17" r:id="rId11"/>
    <sheet name="Balance Sheet Budgeting" sheetId="18" r:id="rId12"/>
    <sheet name="Working Capital" sheetId="19" r:id="rId13"/>
    <sheet name="Fixed Assets" sheetId="20" r:id="rId14"/>
    <sheet name="Financial Statements" sheetId="22" r:id="rId15"/>
    <sheet name="Income Statement" sheetId="21" r:id="rId16"/>
    <sheet name="Balance Sheet" sheetId="23" r:id="rId17"/>
    <sheet name="Cash Flow" sheetId="24" r:id="rId18"/>
  </sheets>
  <externalReferences>
    <externalReference r:id="rId19"/>
  </externalReferences>
  <calcPr calcId="12451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2"/>
  <c r="M19"/>
  <c r="M21" s="1"/>
  <c r="O21" s="1"/>
  <c r="J20"/>
  <c r="K20"/>
  <c r="L20"/>
  <c r="M20"/>
  <c r="I20"/>
  <c r="J19"/>
  <c r="I19"/>
  <c r="G21"/>
  <c r="G20"/>
  <c r="I12"/>
  <c r="I11"/>
  <c r="I10"/>
  <c r="I8"/>
  <c r="I7"/>
  <c r="G13"/>
  <c r="C13"/>
  <c r="J10"/>
  <c r="K10"/>
  <c r="L10"/>
  <c r="M10"/>
  <c r="J11"/>
  <c r="K11"/>
  <c r="L11"/>
  <c r="M11"/>
  <c r="J12"/>
  <c r="K12"/>
  <c r="L12"/>
  <c r="M12"/>
  <c r="F13"/>
  <c r="E13"/>
  <c r="D13"/>
  <c r="G10"/>
  <c r="G11"/>
  <c r="G12"/>
  <c r="I21" l="1"/>
  <c r="I13"/>
  <c r="C5" i="23"/>
  <c r="O14" i="21" l="1"/>
  <c r="M14"/>
  <c r="L14"/>
  <c r="K14"/>
  <c r="J14"/>
  <c r="I14"/>
  <c r="C11"/>
  <c r="G9"/>
  <c r="F9"/>
  <c r="E9"/>
  <c r="D9"/>
  <c r="C9"/>
  <c r="L14" i="20" l="1"/>
  <c r="K14"/>
  <c r="J14"/>
  <c r="I14"/>
  <c r="L11"/>
  <c r="K11"/>
  <c r="J11"/>
  <c r="I11"/>
  <c r="C13"/>
  <c r="F16" i="19" l="1"/>
  <c r="E16"/>
  <c r="D16"/>
  <c r="C16"/>
  <c r="C7" i="23" s="1"/>
  <c r="D7" l="1"/>
  <c r="D11" i="24"/>
  <c r="E7" i="23"/>
  <c r="E11" i="24"/>
  <c r="F11"/>
  <c r="F7" i="23"/>
  <c r="G6" i="17" l="1"/>
  <c r="F6"/>
  <c r="E6"/>
  <c r="D6"/>
  <c r="C6"/>
  <c r="F27"/>
  <c r="E27"/>
  <c r="D27"/>
  <c r="C27"/>
  <c r="L24"/>
  <c r="K24"/>
  <c r="J24"/>
  <c r="I24"/>
  <c r="G24"/>
  <c r="G27" s="1"/>
  <c r="M21"/>
  <c r="L21"/>
  <c r="K21"/>
  <c r="J21"/>
  <c r="I21"/>
  <c r="G21"/>
  <c r="G18"/>
  <c r="G15"/>
  <c r="G12"/>
  <c r="M24" l="1"/>
  <c r="M10" i="15" l="1"/>
  <c r="L10"/>
  <c r="K10"/>
  <c r="J10"/>
  <c r="M8"/>
  <c r="L8"/>
  <c r="K8"/>
  <c r="J8"/>
  <c r="I10"/>
  <c r="I8"/>
  <c r="G10" l="1"/>
  <c r="F10"/>
  <c r="E10"/>
  <c r="D10"/>
  <c r="C10"/>
  <c r="G8" l="1"/>
  <c r="F8"/>
  <c r="E8"/>
  <c r="D8"/>
  <c r="C8"/>
  <c r="B6"/>
  <c r="M20" i="14" l="1"/>
  <c r="L20"/>
  <c r="K20"/>
  <c r="J20"/>
  <c r="I20"/>
  <c r="L16"/>
  <c r="K16"/>
  <c r="J16"/>
  <c r="I16"/>
  <c r="M13"/>
  <c r="L13"/>
  <c r="K13"/>
  <c r="J13"/>
  <c r="I13"/>
  <c r="L11"/>
  <c r="K11"/>
  <c r="J11"/>
  <c r="I11"/>
  <c r="G22"/>
  <c r="F22"/>
  <c r="E22"/>
  <c r="D22"/>
  <c r="C22"/>
  <c r="G20"/>
  <c r="F13"/>
  <c r="E13"/>
  <c r="D13"/>
  <c r="C13"/>
  <c r="G13" s="1"/>
  <c r="B8"/>
  <c r="B7"/>
  <c r="B6"/>
  <c r="M42" i="12" l="1"/>
  <c r="M41"/>
  <c r="M38"/>
  <c r="M37"/>
  <c r="L42"/>
  <c r="K42"/>
  <c r="J42"/>
  <c r="I42"/>
  <c r="L41"/>
  <c r="K41"/>
  <c r="J41"/>
  <c r="I41"/>
  <c r="L38"/>
  <c r="K38"/>
  <c r="J38"/>
  <c r="I38"/>
  <c r="L37"/>
  <c r="K37"/>
  <c r="J37"/>
  <c r="I37"/>
  <c r="N12" i="13"/>
  <c r="N11"/>
  <c r="G8"/>
  <c r="F8"/>
  <c r="E8"/>
  <c r="D8"/>
  <c r="C8"/>
  <c r="G7"/>
  <c r="F7"/>
  <c r="E7"/>
  <c r="D7"/>
  <c r="C7"/>
  <c r="G5"/>
  <c r="F5"/>
  <c r="E5"/>
  <c r="D5"/>
  <c r="C5"/>
  <c r="B12"/>
  <c r="B11"/>
  <c r="B10"/>
  <c r="G38" i="12" l="1"/>
  <c r="G37"/>
  <c r="G9" i="3"/>
  <c r="G10" i="12" s="1"/>
  <c r="F9" i="3"/>
  <c r="F10" i="12" s="1"/>
  <c r="E9" i="3"/>
  <c r="E10" i="12" s="1"/>
  <c r="D9" i="3"/>
  <c r="D10" i="12" s="1"/>
  <c r="C9" i="3"/>
  <c r="C10" i="12" s="1"/>
  <c r="G8" i="3"/>
  <c r="G9" i="12" s="1"/>
  <c r="F8" i="3"/>
  <c r="F9" i="12" s="1"/>
  <c r="E8" i="3"/>
  <c r="E9" i="12" s="1"/>
  <c r="D8" i="3"/>
  <c r="D9" i="12" s="1"/>
  <c r="C8" i="3"/>
  <c r="C9" i="12" s="1"/>
  <c r="G6" i="3"/>
  <c r="G7" i="12" s="1"/>
  <c r="F6" i="3"/>
  <c r="F7" i="12" s="1"/>
  <c r="E6" i="3"/>
  <c r="E7" i="12" s="1"/>
  <c r="D6" i="3"/>
  <c r="D7" i="12" s="1"/>
  <c r="C6" i="3"/>
  <c r="C7" i="12" s="1"/>
  <c r="B34" l="1"/>
  <c r="B33"/>
  <c r="B32"/>
  <c r="F23"/>
  <c r="I19" s="1"/>
  <c r="E23"/>
  <c r="F19" s="1"/>
  <c r="D23"/>
  <c r="E19" s="1"/>
  <c r="C23"/>
  <c r="C27" s="1"/>
  <c r="F22"/>
  <c r="I18" s="1"/>
  <c r="E22"/>
  <c r="F18" s="1"/>
  <c r="D22"/>
  <c r="E18" s="1"/>
  <c r="C22"/>
  <c r="D18" s="1"/>
  <c r="C8" i="14" l="1"/>
  <c r="C12" i="13"/>
  <c r="C20" s="1"/>
  <c r="C28" s="1"/>
  <c r="E27" i="12"/>
  <c r="E26"/>
  <c r="F27"/>
  <c r="D26"/>
  <c r="C34"/>
  <c r="C46" s="1"/>
  <c r="F26"/>
  <c r="C26"/>
  <c r="D19"/>
  <c r="D27" s="1"/>
  <c r="F34" l="1"/>
  <c r="F46" s="1"/>
  <c r="F8" i="14"/>
  <c r="F12" i="13"/>
  <c r="F20" s="1"/>
  <c r="F28" s="1"/>
  <c r="D34" i="12"/>
  <c r="D46" s="1"/>
  <c r="D8" i="14"/>
  <c r="D12" i="13"/>
  <c r="D20" s="1"/>
  <c r="D28" s="1"/>
  <c r="E34" i="12"/>
  <c r="E46" s="1"/>
  <c r="E8" i="14"/>
  <c r="E12" i="13"/>
  <c r="E20" s="1"/>
  <c r="E28" s="1"/>
  <c r="C7" i="14"/>
  <c r="C15" s="1"/>
  <c r="C18" s="1"/>
  <c r="C11" i="13"/>
  <c r="C19" s="1"/>
  <c r="C27" s="1"/>
  <c r="D33" i="12"/>
  <c r="D45" s="1"/>
  <c r="D6" i="15" s="1"/>
  <c r="D7" i="14"/>
  <c r="D11" i="13"/>
  <c r="D19" s="1"/>
  <c r="D27" s="1"/>
  <c r="D7" i="15" s="1"/>
  <c r="F33" i="12"/>
  <c r="F45" s="1"/>
  <c r="F7" i="14"/>
  <c r="F11" i="13"/>
  <c r="F19" s="1"/>
  <c r="F27" s="1"/>
  <c r="E33" i="12"/>
  <c r="E45" s="1"/>
  <c r="E7" i="14"/>
  <c r="E15" s="1"/>
  <c r="E18" s="1"/>
  <c r="E9" i="15" s="1"/>
  <c r="E11" i="13"/>
  <c r="E19" s="1"/>
  <c r="E27" s="1"/>
  <c r="C33" i="12"/>
  <c r="C45" s="1"/>
  <c r="G26"/>
  <c r="G27"/>
  <c r="F15" i="14" l="1"/>
  <c r="F18" s="1"/>
  <c r="F9" i="15" s="1"/>
  <c r="F6"/>
  <c r="G28" i="13"/>
  <c r="E7" i="15"/>
  <c r="G46" i="12"/>
  <c r="F7" i="15"/>
  <c r="D15" i="14"/>
  <c r="D18" s="1"/>
  <c r="D9" i="15" s="1"/>
  <c r="D11" s="1"/>
  <c r="G8" i="14"/>
  <c r="G12" i="13"/>
  <c r="G34" i="12"/>
  <c r="G45"/>
  <c r="C6" i="15"/>
  <c r="C9"/>
  <c r="E6"/>
  <c r="E11" s="1"/>
  <c r="G7" i="14"/>
  <c r="G11" i="13"/>
  <c r="G33" i="12"/>
  <c r="C7" i="15"/>
  <c r="G27" i="13"/>
  <c r="L21" i="2"/>
  <c r="K19"/>
  <c r="K21" s="1"/>
  <c r="J21"/>
  <c r="L9"/>
  <c r="K9"/>
  <c r="J9"/>
  <c r="I9"/>
  <c r="L8"/>
  <c r="K8"/>
  <c r="J8"/>
  <c r="L7"/>
  <c r="L13" s="1"/>
  <c r="K7"/>
  <c r="J7"/>
  <c r="J13" s="1"/>
  <c r="K13" l="1"/>
  <c r="G18" i="14"/>
  <c r="G9" i="15" s="1"/>
  <c r="G6"/>
  <c r="F11"/>
  <c r="F7" i="19" s="1"/>
  <c r="G7" i="15"/>
  <c r="D7" i="21"/>
  <c r="D7" i="19"/>
  <c r="E7" i="21"/>
  <c r="E7" i="19"/>
  <c r="C11" i="15"/>
  <c r="C37" i="2"/>
  <c r="I37" s="1"/>
  <c r="I11" i="3" s="1"/>
  <c r="D37" i="2"/>
  <c r="J37" s="1"/>
  <c r="J11" i="3" s="1"/>
  <c r="E37" i="2"/>
  <c r="K37" s="1"/>
  <c r="K11" i="3" s="1"/>
  <c r="F37" i="2"/>
  <c r="L37" s="1"/>
  <c r="L11" i="3" s="1"/>
  <c r="G37" i="2"/>
  <c r="M37" s="1"/>
  <c r="M11" i="3" s="1"/>
  <c r="C38" i="2"/>
  <c r="I38" s="1"/>
  <c r="D38"/>
  <c r="J38" s="1"/>
  <c r="E38"/>
  <c r="K38" s="1"/>
  <c r="F38"/>
  <c r="L38" s="1"/>
  <c r="G38"/>
  <c r="M38" s="1"/>
  <c r="G11" i="15" l="1"/>
  <c r="G7" i="19" s="1"/>
  <c r="F7" i="21"/>
  <c r="C7"/>
  <c r="C7" i="19"/>
  <c r="F13"/>
  <c r="F17"/>
  <c r="D13"/>
  <c r="D17"/>
  <c r="E13"/>
  <c r="E17"/>
  <c r="J12" i="3"/>
  <c r="L12"/>
  <c r="K12"/>
  <c r="M12"/>
  <c r="I12"/>
  <c r="F18"/>
  <c r="E18"/>
  <c r="D18"/>
  <c r="F17"/>
  <c r="E17"/>
  <c r="D17"/>
  <c r="C18"/>
  <c r="C17"/>
  <c r="F12"/>
  <c r="E12"/>
  <c r="D12"/>
  <c r="C12"/>
  <c r="F11"/>
  <c r="E11"/>
  <c r="D11"/>
  <c r="C11"/>
  <c r="G18"/>
  <c r="G17"/>
  <c r="E20" l="1"/>
  <c r="E6" i="19" s="1"/>
  <c r="E10" s="1"/>
  <c r="G7" i="21"/>
  <c r="F20" i="3"/>
  <c r="F6" i="19" s="1"/>
  <c r="F10" s="1"/>
  <c r="D13" i="23"/>
  <c r="C20" i="3"/>
  <c r="E7" i="17"/>
  <c r="C17" i="19"/>
  <c r="C13"/>
  <c r="E12" i="24"/>
  <c r="E13" i="23"/>
  <c r="F12" i="24"/>
  <c r="F13" i="23"/>
  <c r="D20" i="3"/>
  <c r="G20"/>
  <c r="G12"/>
  <c r="G11"/>
  <c r="G9" i="2"/>
  <c r="M9" s="1"/>
  <c r="G8"/>
  <c r="M8" s="1"/>
  <c r="G7"/>
  <c r="M7" s="1"/>
  <c r="M13" s="1"/>
  <c r="O13" s="1"/>
  <c r="E6" i="21" l="1"/>
  <c r="E8" s="1"/>
  <c r="E10" s="1"/>
  <c r="E6" i="20"/>
  <c r="E10" s="1"/>
  <c r="E14" i="24" s="1"/>
  <c r="F7" i="17"/>
  <c r="F16" s="1"/>
  <c r="L16" s="1"/>
  <c r="F6" i="21"/>
  <c r="F8" s="1"/>
  <c r="F10" s="1"/>
  <c r="F6" i="24" s="1"/>
  <c r="F6" i="20"/>
  <c r="F10" s="1"/>
  <c r="F14" i="24" s="1"/>
  <c r="F10"/>
  <c r="F6" i="23"/>
  <c r="F18" i="19"/>
  <c r="C13" i="23"/>
  <c r="C6" i="21"/>
  <c r="C8" s="1"/>
  <c r="C10" s="1"/>
  <c r="C12" s="1"/>
  <c r="C6" i="20"/>
  <c r="C10" s="1"/>
  <c r="C6" i="19"/>
  <c r="C10" s="1"/>
  <c r="C6" i="23" s="1"/>
  <c r="C7" i="17"/>
  <c r="G6" i="21"/>
  <c r="G8" s="1"/>
  <c r="G10" s="1"/>
  <c r="G6" i="20"/>
  <c r="G6" i="19"/>
  <c r="G7" i="17"/>
  <c r="E6" i="23"/>
  <c r="E18" i="19"/>
  <c r="F22" i="17"/>
  <c r="F25"/>
  <c r="D6" i="21"/>
  <c r="D8" s="1"/>
  <c r="D10" s="1"/>
  <c r="D6" i="20"/>
  <c r="D10" s="1"/>
  <c r="D14" i="24" s="1"/>
  <c r="D6" i="19"/>
  <c r="D10" s="1"/>
  <c r="D7" i="17"/>
  <c r="E22"/>
  <c r="E16"/>
  <c r="K16" s="1"/>
  <c r="E25"/>
  <c r="E19"/>
  <c r="K19" s="1"/>
  <c r="E13"/>
  <c r="D12" i="24"/>
  <c r="E6"/>
  <c r="C24" i="2" l="1"/>
  <c r="F19" i="17"/>
  <c r="L19" s="1"/>
  <c r="F13"/>
  <c r="D10" i="24"/>
  <c r="D6" i="23"/>
  <c r="D18" i="19"/>
  <c r="D25" i="17"/>
  <c r="D16"/>
  <c r="J16" s="1"/>
  <c r="D22"/>
  <c r="D19"/>
  <c r="J19" s="1"/>
  <c r="D13"/>
  <c r="D6" i="24"/>
  <c r="G25" i="17"/>
  <c r="G16"/>
  <c r="G19"/>
  <c r="G13"/>
  <c r="I13" s="1"/>
  <c r="G22"/>
  <c r="C22"/>
  <c r="C19"/>
  <c r="I19" s="1"/>
  <c r="C16"/>
  <c r="I16" s="1"/>
  <c r="C25"/>
  <c r="C13"/>
  <c r="E10" i="24"/>
  <c r="C18" i="19"/>
  <c r="G10" i="20"/>
  <c r="C16"/>
  <c r="C13" i="21"/>
  <c r="C15" s="1"/>
  <c r="C17" i="23" s="1"/>
  <c r="F21" i="2"/>
  <c r="E21"/>
  <c r="C19" i="23" l="1"/>
  <c r="D8" i="20"/>
  <c r="D13" s="1"/>
  <c r="C9" i="23"/>
  <c r="C11" s="1"/>
  <c r="J13" i="17"/>
  <c r="G19" i="2"/>
  <c r="C21"/>
  <c r="D21"/>
  <c r="C21" i="23" l="1"/>
  <c r="K13" i="17"/>
  <c r="D16" i="20"/>
  <c r="D11" i="21"/>
  <c r="C25" i="2"/>
  <c r="C26" s="1"/>
  <c r="J32" l="1"/>
  <c r="L32"/>
  <c r="K32"/>
  <c r="I32"/>
  <c r="M32"/>
  <c r="E8" i="20"/>
  <c r="E13" s="1"/>
  <c r="D9" i="23"/>
  <c r="L13" i="17"/>
  <c r="D12" i="21"/>
  <c r="I5" i="13" l="1"/>
  <c r="I34" i="2"/>
  <c r="I6" i="3"/>
  <c r="I7" i="12" s="1"/>
  <c r="I6" i="17"/>
  <c r="I35" i="2"/>
  <c r="M5" i="13"/>
  <c r="O5" s="1"/>
  <c r="M6" i="3"/>
  <c r="O32" i="2"/>
  <c r="M35"/>
  <c r="M6" i="17"/>
  <c r="O6" s="1"/>
  <c r="M34" i="2"/>
  <c r="L34"/>
  <c r="L35"/>
  <c r="L6" i="17"/>
  <c r="L6" i="3"/>
  <c r="L7" i="12" s="1"/>
  <c r="L5" i="13"/>
  <c r="J5"/>
  <c r="J6" i="3"/>
  <c r="J7" i="12" s="1"/>
  <c r="J34" i="2"/>
  <c r="J6" i="17"/>
  <c r="J35" i="2"/>
  <c r="K5" i="13"/>
  <c r="K34" i="2"/>
  <c r="K6" i="3"/>
  <c r="K7" i="12" s="1"/>
  <c r="K35" i="2"/>
  <c r="K6" i="17"/>
  <c r="E16" i="20"/>
  <c r="E11" i="21"/>
  <c r="D13"/>
  <c r="I8" i="3" l="1"/>
  <c r="I7" i="13"/>
  <c r="K8"/>
  <c r="K9" i="3"/>
  <c r="L8" i="13"/>
  <c r="L9" i="3"/>
  <c r="I8" i="13"/>
  <c r="I9" i="3"/>
  <c r="K7" i="13"/>
  <c r="K8" i="3"/>
  <c r="J7" i="13"/>
  <c r="J8" i="3"/>
  <c r="M7" i="13"/>
  <c r="M8" i="3"/>
  <c r="M7" i="12"/>
  <c r="O6" i="3"/>
  <c r="O7" i="12" s="1"/>
  <c r="J8" i="13"/>
  <c r="J9" i="3"/>
  <c r="M9"/>
  <c r="M8" i="13"/>
  <c r="L7"/>
  <c r="L8" i="3"/>
  <c r="E12" i="21"/>
  <c r="E13" s="1"/>
  <c r="D8" i="24"/>
  <c r="F8" i="20"/>
  <c r="E9" i="23"/>
  <c r="D15" i="21"/>
  <c r="D17" i="23" s="1"/>
  <c r="L17" i="3" l="1"/>
  <c r="L9" i="12"/>
  <c r="L22" s="1"/>
  <c r="J18" i="3"/>
  <c r="J10" i="12"/>
  <c r="M9"/>
  <c r="M17" i="3"/>
  <c r="K9" i="12"/>
  <c r="K22" s="1"/>
  <c r="K17" i="3"/>
  <c r="L18"/>
  <c r="L10" i="12"/>
  <c r="I9"/>
  <c r="I22" s="1"/>
  <c r="I17" i="3"/>
  <c r="M10" i="12"/>
  <c r="M18" i="3"/>
  <c r="J9" i="12"/>
  <c r="J22" s="1"/>
  <c r="J17" i="3"/>
  <c r="I18"/>
  <c r="I10" i="12"/>
  <c r="K10"/>
  <c r="K18" i="3"/>
  <c r="D15" i="24"/>
  <c r="D17" s="1"/>
  <c r="D5" i="23" s="1"/>
  <c r="D11" s="1"/>
  <c r="D21" s="1"/>
  <c r="D19"/>
  <c r="F13" i="20"/>
  <c r="E15" i="21"/>
  <c r="E17" i="23" s="1"/>
  <c r="E8" i="24"/>
  <c r="I23" i="12" l="1"/>
  <c r="J19" s="1"/>
  <c r="L23"/>
  <c r="M20" i="3"/>
  <c r="K23" i="12"/>
  <c r="L19" s="1"/>
  <c r="K18"/>
  <c r="K26" s="1"/>
  <c r="I26"/>
  <c r="J18"/>
  <c r="J26" s="1"/>
  <c r="L18"/>
  <c r="L26" s="1"/>
  <c r="J23"/>
  <c r="K19" s="1"/>
  <c r="L20" i="3"/>
  <c r="J20"/>
  <c r="I20"/>
  <c r="K20"/>
  <c r="E15" i="24"/>
  <c r="E17" s="1"/>
  <c r="E5" i="23" s="1"/>
  <c r="E19"/>
  <c r="F11" i="21"/>
  <c r="G13" i="20"/>
  <c r="F16"/>
  <c r="K27" i="12" l="1"/>
  <c r="K8" i="14" s="1"/>
  <c r="L27" i="12"/>
  <c r="L34" s="1"/>
  <c r="L46" s="1"/>
  <c r="L16" i="19"/>
  <c r="K7" i="23" s="1"/>
  <c r="J27" i="12"/>
  <c r="J34" s="1"/>
  <c r="J46" s="1"/>
  <c r="K16" i="19"/>
  <c r="J7" i="23" s="1"/>
  <c r="J16" i="19"/>
  <c r="I7" i="23" s="1"/>
  <c r="K6" i="21"/>
  <c r="K7" i="17"/>
  <c r="K6" i="19"/>
  <c r="K10" s="1"/>
  <c r="J6" i="23" s="1"/>
  <c r="K6" i="20"/>
  <c r="K10" s="1"/>
  <c r="J14" i="24" s="1"/>
  <c r="K33" i="12"/>
  <c r="K45" s="1"/>
  <c r="K7" i="14"/>
  <c r="K11" i="13"/>
  <c r="K19" s="1"/>
  <c r="K27" s="1"/>
  <c r="L6" i="20"/>
  <c r="L10" s="1"/>
  <c r="K14" i="24" s="1"/>
  <c r="L6" i="21"/>
  <c r="L6" i="19"/>
  <c r="L10" s="1"/>
  <c r="K6" i="23" s="1"/>
  <c r="L7" i="17"/>
  <c r="L33" i="12"/>
  <c r="L45" s="1"/>
  <c r="L7" i="14"/>
  <c r="L11" i="13"/>
  <c r="L19" s="1"/>
  <c r="L27" s="1"/>
  <c r="I27" i="12"/>
  <c r="J33"/>
  <c r="J45" s="1"/>
  <c r="J7" i="14"/>
  <c r="J11" i="13"/>
  <c r="J19" s="1"/>
  <c r="J27" s="1"/>
  <c r="J6" i="21"/>
  <c r="J7" i="17"/>
  <c r="J6" i="20"/>
  <c r="J10" s="1"/>
  <c r="I14" i="24" s="1"/>
  <c r="J6" i="19"/>
  <c r="J10" s="1"/>
  <c r="I6" i="23" s="1"/>
  <c r="I11" i="13"/>
  <c r="I19" s="1"/>
  <c r="I27" s="1"/>
  <c r="I7" i="14"/>
  <c r="I33" i="12"/>
  <c r="I45" s="1"/>
  <c r="M26"/>
  <c r="M6" i="21"/>
  <c r="O6" s="1"/>
  <c r="M6" i="19"/>
  <c r="O6" s="1"/>
  <c r="M6" i="20"/>
  <c r="O6" s="1"/>
  <c r="M7" i="17"/>
  <c r="I7"/>
  <c r="I6" i="19"/>
  <c r="I10" s="1"/>
  <c r="H6" i="23" s="1"/>
  <c r="H10" i="24" s="1"/>
  <c r="I6" i="21"/>
  <c r="I6" i="20"/>
  <c r="I10" s="1"/>
  <c r="L12" i="13"/>
  <c r="L20" s="1"/>
  <c r="L28" s="1"/>
  <c r="I16" i="19"/>
  <c r="H7" i="23" s="1"/>
  <c r="E11"/>
  <c r="E21" s="1"/>
  <c r="F12" i="21"/>
  <c r="G11"/>
  <c r="G12" s="1"/>
  <c r="F9" i="23"/>
  <c r="I8" i="20"/>
  <c r="J8" i="14" l="1"/>
  <c r="J15" s="1"/>
  <c r="J18" s="1"/>
  <c r="J9" i="15" s="1"/>
  <c r="L6"/>
  <c r="L8" i="14"/>
  <c r="L15" s="1"/>
  <c r="L18" s="1"/>
  <c r="L9" i="15" s="1"/>
  <c r="K12" i="13"/>
  <c r="K20" s="1"/>
  <c r="K28" s="1"/>
  <c r="K7" i="15" s="1"/>
  <c r="K11" i="24"/>
  <c r="J12" i="13"/>
  <c r="J20" s="1"/>
  <c r="J28" s="1"/>
  <c r="J7" i="15" s="1"/>
  <c r="K34" i="12"/>
  <c r="K46" s="1"/>
  <c r="K6" i="15" s="1"/>
  <c r="I10" i="24"/>
  <c r="J11"/>
  <c r="H11"/>
  <c r="I11"/>
  <c r="M25" i="17"/>
  <c r="O7"/>
  <c r="I25"/>
  <c r="I22"/>
  <c r="I12"/>
  <c r="I18"/>
  <c r="I15"/>
  <c r="M27" i="13"/>
  <c r="K25" i="17"/>
  <c r="K22"/>
  <c r="K12"/>
  <c r="K15"/>
  <c r="K18"/>
  <c r="M27" i="12"/>
  <c r="I8" i="14"/>
  <c r="I15" s="1"/>
  <c r="I18" s="1"/>
  <c r="I34" i="12"/>
  <c r="I46" s="1"/>
  <c r="I6" i="15" s="1"/>
  <c r="I12" i="13"/>
  <c r="I20" s="1"/>
  <c r="I28" s="1"/>
  <c r="L12" i="17"/>
  <c r="L25"/>
  <c r="L18"/>
  <c r="L22"/>
  <c r="L15"/>
  <c r="K10" i="24"/>
  <c r="J10"/>
  <c r="H14"/>
  <c r="L14" s="1"/>
  <c r="M10" i="20"/>
  <c r="M7" i="14"/>
  <c r="M11" i="13"/>
  <c r="M33" i="12"/>
  <c r="M45" s="1"/>
  <c r="J18" i="17"/>
  <c r="J12"/>
  <c r="J22"/>
  <c r="J25"/>
  <c r="J15"/>
  <c r="L7" i="15"/>
  <c r="K15" i="14"/>
  <c r="K18" s="1"/>
  <c r="K9" i="15" s="1"/>
  <c r="J6"/>
  <c r="F15" i="21"/>
  <c r="F17" i="23" s="1"/>
  <c r="F13" i="21"/>
  <c r="I13" i="20"/>
  <c r="L11" i="15" l="1"/>
  <c r="L7" i="19" s="1"/>
  <c r="J11" i="15"/>
  <c r="J7" i="21" s="1"/>
  <c r="J8" s="1"/>
  <c r="K11" i="15"/>
  <c r="K7" i="21" s="1"/>
  <c r="K8" s="1"/>
  <c r="I9" i="15"/>
  <c r="M18" i="14"/>
  <c r="M9" i="15" s="1"/>
  <c r="M12" i="17"/>
  <c r="M13" s="1"/>
  <c r="L11" i="24"/>
  <c r="L10"/>
  <c r="L27" i="17"/>
  <c r="L9" i="21" s="1"/>
  <c r="M15" i="17"/>
  <c r="M16" s="1"/>
  <c r="M8" i="14"/>
  <c r="M34" i="12"/>
  <c r="M46" s="1"/>
  <c r="M6" i="15" s="1"/>
  <c r="M12" i="13"/>
  <c r="I7" i="15"/>
  <c r="M28" i="13"/>
  <c r="M7" i="15" s="1"/>
  <c r="M18" i="17"/>
  <c r="K27"/>
  <c r="K9" i="21" s="1"/>
  <c r="J27" i="17"/>
  <c r="J9" i="21" s="1"/>
  <c r="I27" i="17"/>
  <c r="I9" i="21" s="1"/>
  <c r="F15" i="24"/>
  <c r="F19" i="23"/>
  <c r="F8" i="24"/>
  <c r="G13" i="21"/>
  <c r="G15" s="1"/>
  <c r="I11"/>
  <c r="I16" i="20"/>
  <c r="L7" i="21" l="1"/>
  <c r="L8" s="1"/>
  <c r="L10" s="1"/>
  <c r="K6" i="24" s="1"/>
  <c r="I11" i="15"/>
  <c r="I7" i="21" s="1"/>
  <c r="I8" s="1"/>
  <c r="I10" s="1"/>
  <c r="H6" i="24" s="1"/>
  <c r="K7" i="19"/>
  <c r="K17" s="1"/>
  <c r="J10" i="21"/>
  <c r="I6" i="24" s="1"/>
  <c r="J7" i="19"/>
  <c r="J13" s="1"/>
  <c r="J18" s="1"/>
  <c r="M11" i="15"/>
  <c r="M7" i="21" s="1"/>
  <c r="M8" s="1"/>
  <c r="M19" i="17"/>
  <c r="M27"/>
  <c r="M9" i="21" s="1"/>
  <c r="O9" s="1"/>
  <c r="K10"/>
  <c r="J6" i="24" s="1"/>
  <c r="L17" i="19"/>
  <c r="L13"/>
  <c r="F17" i="24"/>
  <c r="F5" i="23" s="1"/>
  <c r="F11" s="1"/>
  <c r="F21" s="1"/>
  <c r="H9"/>
  <c r="H11" s="1"/>
  <c r="J8" i="20"/>
  <c r="I7" i="19" l="1"/>
  <c r="I13" s="1"/>
  <c r="J17"/>
  <c r="I13" i="23"/>
  <c r="M10" i="21"/>
  <c r="O10" s="1"/>
  <c r="K13" i="19"/>
  <c r="K18" s="1"/>
  <c r="O8" i="21"/>
  <c r="O7"/>
  <c r="M7" i="19"/>
  <c r="O7" s="1"/>
  <c r="K13" i="23"/>
  <c r="L18" i="19"/>
  <c r="I12" i="21"/>
  <c r="I13" s="1"/>
  <c r="H8" i="24" s="1"/>
  <c r="L6"/>
  <c r="J13" i="20"/>
  <c r="J16" s="1"/>
  <c r="I17" i="19" l="1"/>
  <c r="J13" i="23"/>
  <c r="J12" i="24" s="1"/>
  <c r="I18" i="19"/>
  <c r="H13" i="23"/>
  <c r="I15" i="21"/>
  <c r="H17" i="23" s="1"/>
  <c r="I9"/>
  <c r="I11" s="1"/>
  <c r="K8" i="20"/>
  <c r="J11" i="21"/>
  <c r="J12" s="1"/>
  <c r="K12" i="24" l="1"/>
  <c r="H19" i="23"/>
  <c r="H21" s="1"/>
  <c r="H15" i="24"/>
  <c r="H17" s="1"/>
  <c r="H12"/>
  <c r="I12"/>
  <c r="K13" i="20"/>
  <c r="J13" i="21"/>
  <c r="I8" i="24" s="1"/>
  <c r="L12" l="1"/>
  <c r="J15" i="21"/>
  <c r="I17" i="23" s="1"/>
  <c r="I19" s="1"/>
  <c r="I21" s="1"/>
  <c r="K11" i="21"/>
  <c r="K12" s="1"/>
  <c r="K13" s="1"/>
  <c r="K16" i="20"/>
  <c r="I15" i="24" l="1"/>
  <c r="I17" s="1"/>
  <c r="L8" i="20"/>
  <c r="J9" i="23"/>
  <c r="J11" s="1"/>
  <c r="K15" i="21"/>
  <c r="J17" i="23" s="1"/>
  <c r="J8" i="24"/>
  <c r="L13" i="20" l="1"/>
  <c r="J15" i="24"/>
  <c r="J17" s="1"/>
  <c r="J19" i="23"/>
  <c r="J21" s="1"/>
  <c r="L11" i="21" l="1"/>
  <c r="L12" s="1"/>
  <c r="L13" s="1"/>
  <c r="M13" i="20"/>
  <c r="M11" i="21" s="1"/>
  <c r="L16" i="20"/>
  <c r="K9" i="23" s="1"/>
  <c r="K11" s="1"/>
  <c r="L15" i="21" l="1"/>
  <c r="K17" i="23" s="1"/>
  <c r="K8" i="24"/>
  <c r="O11" i="21"/>
  <c r="M12"/>
  <c r="K15" i="24" l="1"/>
  <c r="L15" s="1"/>
  <c r="K19" i="23"/>
  <c r="K21" s="1"/>
  <c r="L8" i="24"/>
  <c r="O12" i="21"/>
  <c r="M13"/>
  <c r="L17" i="24" l="1"/>
  <c r="M15" i="21"/>
  <c r="O15" s="1"/>
  <c r="O13"/>
  <c r="K17" i="24"/>
</calcChain>
</file>

<file path=xl/sharedStrings.xml><?xml version="1.0" encoding="utf-8"?>
<sst xmlns="http://schemas.openxmlformats.org/spreadsheetml/2006/main" count="373" uniqueCount="123">
  <si>
    <t>P&amp;L Budgeting</t>
  </si>
  <si>
    <t>Sales Budget --&gt;</t>
  </si>
  <si>
    <t>Volume Forecast</t>
  </si>
  <si>
    <t>Last Year Actual Volume</t>
  </si>
  <si>
    <t>in '000</t>
  </si>
  <si>
    <t>Q1</t>
  </si>
  <si>
    <t>Q2</t>
  </si>
  <si>
    <t>Q3</t>
  </si>
  <si>
    <t>Q4</t>
  </si>
  <si>
    <t>FY</t>
  </si>
  <si>
    <t>Total</t>
  </si>
  <si>
    <t>Bottom-Up Volume Forecast</t>
  </si>
  <si>
    <t>Bottom-Up</t>
  </si>
  <si>
    <t xml:space="preserve"> Growth %</t>
  </si>
  <si>
    <t>Top-Down</t>
  </si>
  <si>
    <t>Top-Down Volume Forecast</t>
  </si>
  <si>
    <t>Total Industry</t>
  </si>
  <si>
    <t xml:space="preserve">Triangulaion </t>
  </si>
  <si>
    <t>Bottom-up</t>
  </si>
  <si>
    <t>Average Growth</t>
  </si>
  <si>
    <t>Forecasted Volume</t>
  </si>
  <si>
    <t>White Hats</t>
  </si>
  <si>
    <t>Red Hats</t>
  </si>
  <si>
    <t>Volume</t>
  </si>
  <si>
    <t>Revenue Forecast</t>
  </si>
  <si>
    <t>Price White Hats</t>
  </si>
  <si>
    <t>Price Red Hats</t>
  </si>
  <si>
    <t>Revenue White Hats</t>
  </si>
  <si>
    <t>Revenue Red Hats</t>
  </si>
  <si>
    <t>Total Revenue</t>
  </si>
  <si>
    <t>Production Budget --&gt;</t>
  </si>
  <si>
    <t>Production &amp; Direct Materials</t>
  </si>
  <si>
    <t>Target Warehouse Level:</t>
  </si>
  <si>
    <t>Beginning Inventory:</t>
  </si>
  <si>
    <t>Ending Inventory:</t>
  </si>
  <si>
    <t>Production:</t>
  </si>
  <si>
    <t>Direct Materials</t>
  </si>
  <si>
    <t>Price of 1 m² Fabric:</t>
  </si>
  <si>
    <t>Fabric Purchases</t>
  </si>
  <si>
    <t>Fabric per Hat (m²):</t>
  </si>
  <si>
    <t>Direct Labour</t>
  </si>
  <si>
    <t>Number of Direct Labour Hours per Hat:</t>
  </si>
  <si>
    <t>Hours of Direct Labour Needed:</t>
  </si>
  <si>
    <t>White Hats (000s)</t>
  </si>
  <si>
    <t>Red Hats (000s)</t>
  </si>
  <si>
    <t>Average Cost of Direct Labour:</t>
  </si>
  <si>
    <t>Direct Labour Expense:</t>
  </si>
  <si>
    <t>Last Year Actual Production</t>
  </si>
  <si>
    <t>Forecasted Production</t>
  </si>
  <si>
    <t>Overhead</t>
  </si>
  <si>
    <t>Indirect Personnel (number of people)</t>
  </si>
  <si>
    <t>Indirect Personnel Average Salary (000s)</t>
  </si>
  <si>
    <t>Indirect Labour Expense:</t>
  </si>
  <si>
    <t>Number of Hats to be Produced</t>
  </si>
  <si>
    <t>Average Utility Expense per Hat</t>
  </si>
  <si>
    <t>Utility Expense:</t>
  </si>
  <si>
    <t>Rent Expense:</t>
  </si>
  <si>
    <t>Depreciation:</t>
  </si>
  <si>
    <t>Cost of Goods Sold</t>
  </si>
  <si>
    <t>Indirect Labour</t>
  </si>
  <si>
    <t>Utility Expense (production)</t>
  </si>
  <si>
    <t>Rent Expense (production)</t>
  </si>
  <si>
    <t>SG&amp;A Budget --&gt;</t>
  </si>
  <si>
    <t>SG&amp;A</t>
  </si>
  <si>
    <t>Last Year Actuals</t>
  </si>
  <si>
    <t>Forecast</t>
  </si>
  <si>
    <t>Revenue</t>
  </si>
  <si>
    <t>Last Year Actual SG&amp;A</t>
  </si>
  <si>
    <t>Forecasted SG&amp;A</t>
  </si>
  <si>
    <t>Driver</t>
  </si>
  <si>
    <t>Selling Commissions</t>
  </si>
  <si>
    <t>% of Revenues</t>
  </si>
  <si>
    <t>as a % of Revenues</t>
  </si>
  <si>
    <t>Transportation</t>
  </si>
  <si>
    <t>External Services</t>
  </si>
  <si>
    <t>Administration</t>
  </si>
  <si>
    <t>Fixed Costs</t>
  </si>
  <si>
    <t>Office Rent</t>
  </si>
  <si>
    <t>Working Capital</t>
  </si>
  <si>
    <t>Accounts Receivable</t>
  </si>
  <si>
    <t>Days Sales Outstanding (DSO)</t>
  </si>
  <si>
    <t>Trade Payables</t>
  </si>
  <si>
    <t>Days Payables Outstanding (DPO)</t>
  </si>
  <si>
    <t>Inventory</t>
  </si>
  <si>
    <t>Days Inventory Outstanding (DIO)</t>
  </si>
  <si>
    <t>Balance Sheet Budgeting --&gt;</t>
  </si>
  <si>
    <t>Fixed Assets</t>
  </si>
  <si>
    <t>Beginning value of PP&amp;E</t>
  </si>
  <si>
    <t>CAPEX</t>
  </si>
  <si>
    <t>as a % of Revenue</t>
  </si>
  <si>
    <t>as a % of Beginning Value</t>
  </si>
  <si>
    <t>Property, Plant &amp; Equipment</t>
  </si>
  <si>
    <t>D&amp;A</t>
  </si>
  <si>
    <t>Income Statement</t>
  </si>
  <si>
    <t>Gross Profit</t>
  </si>
  <si>
    <t>SG&amp;A Expenses</t>
  </si>
  <si>
    <t>EBITDA</t>
  </si>
  <si>
    <t>EBIT</t>
  </si>
  <si>
    <t>Taxes</t>
  </si>
  <si>
    <t>as a % of Operating Income (EBIT)</t>
  </si>
  <si>
    <t>Net Income</t>
  </si>
  <si>
    <t>Financial Statements --&gt;</t>
  </si>
  <si>
    <t>Balance Sheet</t>
  </si>
  <si>
    <t>Cash</t>
  </si>
  <si>
    <t>Total Assets</t>
  </si>
  <si>
    <t>Tax Liabilities</t>
  </si>
  <si>
    <t>Financial Liabilities</t>
  </si>
  <si>
    <t>Equity</t>
  </si>
  <si>
    <t>Total Liabilities</t>
  </si>
  <si>
    <t>Check</t>
  </si>
  <si>
    <t>Cash Flow</t>
  </si>
  <si>
    <t>Changes in Accounts Receivable</t>
  </si>
  <si>
    <t>Changes in Inventory</t>
  </si>
  <si>
    <t>Changes in Trade Payables</t>
  </si>
  <si>
    <t>Changes in Equity</t>
  </si>
  <si>
    <t>Net Cash Flow</t>
  </si>
  <si>
    <t>Mirvac</t>
  </si>
  <si>
    <t>Lendlease</t>
  </si>
  <si>
    <t xml:space="preserve">Meriton </t>
  </si>
  <si>
    <t>Metricon Homes</t>
  </si>
  <si>
    <t>Dyldam</t>
  </si>
  <si>
    <t>Others</t>
  </si>
  <si>
    <t>Real Estate commision Percentage</t>
  </si>
</sst>
</file>

<file path=xl/styles.xml><?xml version="1.0" encoding="utf-8"?>
<styleSheet xmlns="http://schemas.openxmlformats.org/spreadsheetml/2006/main">
  <numFmts count="5">
    <numFmt numFmtId="164" formatCode="_-* #,##0.00\ _л_в_._-;\-* #,##0.00\ _л_в_._-;_-* &quot;-&quot;??\ _л_в_._-;_-@_-"/>
    <numFmt numFmtId="165" formatCode="0.0%"/>
    <numFmt numFmtId="166" formatCode="#,##0_ ;\-#,##0\ "/>
    <numFmt numFmtId="167" formatCode="0.0"/>
    <numFmt numFmtId="168" formatCode="#,##0.0"/>
  </numFmts>
  <fonts count="1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10"/>
      <color rgb="FF002060"/>
      <name val="Arial"/>
      <family val="2"/>
      <charset val="204"/>
    </font>
    <font>
      <b/>
      <i/>
      <sz val="9"/>
      <color theme="1"/>
      <name val="Arial"/>
      <family val="2"/>
      <charset val="204"/>
    </font>
    <font>
      <i/>
      <sz val="8"/>
      <color theme="1"/>
      <name val="Arial"/>
      <family val="2"/>
      <charset val="204"/>
    </font>
    <font>
      <sz val="9"/>
      <color rgb="FF002060"/>
      <name val="Arial"/>
      <family val="2"/>
      <charset val="204"/>
    </font>
    <font>
      <sz val="8"/>
      <color theme="1"/>
      <name val="Arial"/>
      <family val="2"/>
      <charset val="204"/>
    </font>
    <font>
      <sz val="9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2" fillId="2" borderId="0" xfId="0" applyFont="1" applyFill="1" applyBorder="1" applyAlignment="1">
      <alignment wrapText="1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right"/>
    </xf>
    <xf numFmtId="9" fontId="2" fillId="2" borderId="0" xfId="2" applyFont="1" applyFill="1"/>
    <xf numFmtId="166" fontId="2" fillId="2" borderId="0" xfId="1" applyNumberFormat="1" applyFont="1" applyFill="1"/>
    <xf numFmtId="165" fontId="2" fillId="2" borderId="0" xfId="2" applyNumberFormat="1" applyFont="1" applyFill="1"/>
    <xf numFmtId="0" fontId="7" fillId="2" borderId="0" xfId="0" applyFont="1" applyFill="1"/>
    <xf numFmtId="9" fontId="7" fillId="2" borderId="0" xfId="2" applyFont="1" applyFill="1"/>
    <xf numFmtId="0" fontId="7" fillId="2" borderId="2" xfId="0" applyFont="1" applyFill="1" applyBorder="1"/>
    <xf numFmtId="166" fontId="7" fillId="2" borderId="2" xfId="1" applyNumberFormat="1" applyFont="1" applyFill="1" applyBorder="1"/>
    <xf numFmtId="165" fontId="7" fillId="2" borderId="2" xfId="2" applyNumberFormat="1" applyFont="1" applyFill="1" applyBorder="1"/>
    <xf numFmtId="0" fontId="7" fillId="2" borderId="1" xfId="0" applyFont="1" applyFill="1" applyBorder="1" applyAlignment="1">
      <alignment horizontal="right" wrapText="1"/>
    </xf>
    <xf numFmtId="0" fontId="2" fillId="2" borderId="0" xfId="0" applyFont="1" applyFill="1" applyBorder="1"/>
    <xf numFmtId="0" fontId="7" fillId="2" borderId="0" xfId="0" applyFont="1" applyFill="1" applyBorder="1" applyAlignment="1">
      <alignment horizontal="right"/>
    </xf>
    <xf numFmtId="166" fontId="2" fillId="2" borderId="0" xfId="1" applyNumberFormat="1" applyFont="1" applyFill="1" applyBorder="1"/>
    <xf numFmtId="166" fontId="7" fillId="2" borderId="0" xfId="1" applyNumberFormat="1" applyFont="1" applyFill="1" applyBorder="1"/>
    <xf numFmtId="165" fontId="2" fillId="2" borderId="0" xfId="0" applyNumberFormat="1" applyFont="1" applyFill="1"/>
    <xf numFmtId="0" fontId="7" fillId="2" borderId="3" xfId="0" applyFont="1" applyFill="1" applyBorder="1"/>
    <xf numFmtId="165" fontId="7" fillId="2" borderId="3" xfId="0" applyNumberFormat="1" applyFont="1" applyFill="1" applyBorder="1"/>
    <xf numFmtId="0" fontId="7" fillId="2" borderId="0" xfId="0" applyFont="1" applyFill="1" applyBorder="1"/>
    <xf numFmtId="165" fontId="7" fillId="2" borderId="0" xfId="0" applyNumberFormat="1" applyFont="1" applyFill="1" applyBorder="1"/>
    <xf numFmtId="1" fontId="2" fillId="2" borderId="0" xfId="0" applyNumberFormat="1" applyFont="1" applyFill="1"/>
    <xf numFmtId="0" fontId="8" fillId="2" borderId="0" xfId="0" applyFont="1" applyFill="1"/>
    <xf numFmtId="3" fontId="2" fillId="2" borderId="0" xfId="0" applyNumberFormat="1" applyFont="1" applyFill="1"/>
    <xf numFmtId="0" fontId="5" fillId="2" borderId="4" xfId="0" applyFont="1" applyFill="1" applyBorder="1"/>
    <xf numFmtId="3" fontId="5" fillId="2" borderId="4" xfId="0" applyNumberFormat="1" applyFont="1" applyFill="1" applyBorder="1"/>
    <xf numFmtId="3" fontId="5" fillId="2" borderId="0" xfId="0" applyNumberFormat="1" applyFont="1" applyFill="1"/>
    <xf numFmtId="3" fontId="7" fillId="2" borderId="2" xfId="0" applyNumberFormat="1" applyFont="1" applyFill="1" applyBorder="1"/>
    <xf numFmtId="3" fontId="7" fillId="2" borderId="0" xfId="0" applyNumberFormat="1" applyFont="1" applyFill="1"/>
    <xf numFmtId="0" fontId="9" fillId="2" borderId="0" xfId="0" applyFont="1" applyFill="1"/>
    <xf numFmtId="0" fontId="9" fillId="4" borderId="0" xfId="0" applyFont="1" applyFill="1"/>
    <xf numFmtId="0" fontId="2" fillId="4" borderId="0" xfId="0" applyFont="1" applyFill="1"/>
    <xf numFmtId="1" fontId="2" fillId="4" borderId="0" xfId="0" applyNumberFormat="1" applyFont="1" applyFill="1"/>
    <xf numFmtId="1" fontId="5" fillId="4" borderId="0" xfId="0" applyNumberFormat="1" applyFont="1" applyFill="1"/>
    <xf numFmtId="166" fontId="2" fillId="2" borderId="0" xfId="0" applyNumberFormat="1" applyFont="1" applyFill="1"/>
    <xf numFmtId="1" fontId="5" fillId="2" borderId="0" xfId="0" applyNumberFormat="1" applyFont="1" applyFill="1"/>
    <xf numFmtId="0" fontId="5" fillId="4" borderId="0" xfId="0" applyFont="1" applyFill="1"/>
    <xf numFmtId="0" fontId="2" fillId="2" borderId="2" xfId="0" applyFont="1" applyFill="1" applyBorder="1"/>
    <xf numFmtId="0" fontId="7" fillId="2" borderId="1" xfId="0" applyFont="1" applyFill="1" applyBorder="1" applyAlignment="1">
      <alignment horizontal="left" wrapText="1"/>
    </xf>
    <xf numFmtId="0" fontId="2" fillId="2" borderId="0" xfId="0" applyFont="1" applyFill="1" applyAlignment="1">
      <alignment horizontal="left"/>
    </xf>
    <xf numFmtId="0" fontId="10" fillId="2" borderId="0" xfId="0" applyFont="1" applyFill="1"/>
    <xf numFmtId="9" fontId="10" fillId="2" borderId="0" xfId="2" applyFont="1" applyFill="1"/>
    <xf numFmtId="9" fontId="10" fillId="2" borderId="0" xfId="0" applyNumberFormat="1" applyFont="1" applyFill="1"/>
    <xf numFmtId="9" fontId="10" fillId="2" borderId="0" xfId="2" applyNumberFormat="1" applyFont="1" applyFill="1"/>
    <xf numFmtId="1" fontId="7" fillId="2" borderId="2" xfId="0" applyNumberFormat="1" applyFont="1" applyFill="1" applyBorder="1"/>
    <xf numFmtId="0" fontId="7" fillId="2" borderId="0" xfId="0" applyFont="1" applyFill="1" applyBorder="1" applyAlignment="1">
      <alignment horizontal="left"/>
    </xf>
    <xf numFmtId="0" fontId="11" fillId="2" borderId="2" xfId="0" applyFont="1" applyFill="1" applyBorder="1"/>
    <xf numFmtId="0" fontId="12" fillId="2" borderId="0" xfId="0" applyFont="1" applyFill="1"/>
    <xf numFmtId="9" fontId="12" fillId="2" borderId="0" xfId="0" applyNumberFormat="1" applyFont="1" applyFill="1"/>
    <xf numFmtId="3" fontId="7" fillId="2" borderId="3" xfId="0" applyNumberFormat="1" applyFont="1" applyFill="1" applyBorder="1"/>
    <xf numFmtId="165" fontId="7" fillId="2" borderId="3" xfId="2" applyNumberFormat="1" applyFont="1" applyFill="1" applyBorder="1"/>
    <xf numFmtId="1" fontId="13" fillId="2" borderId="0" xfId="0" applyNumberFormat="1" applyFont="1" applyFill="1" applyBorder="1"/>
    <xf numFmtId="165" fontId="13" fillId="2" borderId="0" xfId="2" applyNumberFormat="1" applyFont="1" applyFill="1" applyBorder="1"/>
    <xf numFmtId="165" fontId="10" fillId="2" borderId="0" xfId="2" applyNumberFormat="1" applyFont="1" applyFill="1"/>
    <xf numFmtId="0" fontId="10" fillId="5" borderId="0" xfId="0" applyFont="1" applyFill="1"/>
    <xf numFmtId="167" fontId="2" fillId="2" borderId="0" xfId="0" applyNumberFormat="1" applyFont="1" applyFill="1"/>
    <xf numFmtId="168" fontId="10" fillId="5" borderId="0" xfId="0" applyNumberFormat="1" applyFont="1" applyFill="1"/>
    <xf numFmtId="3" fontId="10" fillId="5" borderId="0" xfId="0" applyNumberFormat="1" applyFont="1" applyFill="1"/>
    <xf numFmtId="3" fontId="12" fillId="2" borderId="0" xfId="0" applyNumberFormat="1" applyFont="1" applyFill="1"/>
    <xf numFmtId="0" fontId="6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ewPC\Desktop\Courses\Video%20creating\FP&amp;A%20and%20Budgeting\Budgetin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&amp;L Budgeting"/>
      <sheetName val="Sales Budget --&gt;"/>
      <sheetName val="Volume Forecast"/>
      <sheetName val="Revenue Forecast"/>
      <sheetName val="Production Budget --&gt;"/>
      <sheetName val="Production &amp; Direct Materials"/>
      <sheetName val="Direct Labour"/>
      <sheetName val="Overhead"/>
      <sheetName val="Cost of Goods Sold"/>
      <sheetName val="SG&amp;A Budget --&gt;"/>
      <sheetName val="SG&amp;A"/>
      <sheetName val="Balance Sheet Budgeting"/>
      <sheetName val="Working Capital"/>
      <sheetName val="Fixed Assets"/>
      <sheetName val="Financial Statements"/>
      <sheetName val="Income Statement"/>
      <sheetName val="Balance Sheet"/>
      <sheetName val="Cash Flow"/>
    </sheetNames>
    <sheetDataSet>
      <sheetData sheetId="0"/>
      <sheetData sheetId="1"/>
      <sheetData sheetId="2"/>
      <sheetData sheetId="3">
        <row r="20">
          <cell r="C20">
            <v>1200</v>
          </cell>
        </row>
      </sheetData>
      <sheetData sheetId="4"/>
      <sheetData sheetId="5">
        <row r="22">
          <cell r="C22">
            <v>20</v>
          </cell>
          <cell r="D22">
            <v>76</v>
          </cell>
          <cell r="E22">
            <v>82</v>
          </cell>
          <cell r="F22">
            <v>22</v>
          </cell>
        </row>
        <row r="23">
          <cell r="C23">
            <v>12</v>
          </cell>
          <cell r="D23">
            <v>45.6</v>
          </cell>
          <cell r="E23">
            <v>49.199999999999996</v>
          </cell>
          <cell r="F23">
            <v>13.2</v>
          </cell>
        </row>
        <row r="25">
          <cell r="B25" t="str">
            <v>Production:</v>
          </cell>
        </row>
        <row r="26">
          <cell r="B26" t="str">
            <v>White Hats</v>
          </cell>
        </row>
        <row r="27">
          <cell r="B27" t="str">
            <v>Red Hats</v>
          </cell>
        </row>
        <row r="44">
          <cell r="B44" t="str">
            <v>Fabric Purchases</v>
          </cell>
        </row>
      </sheetData>
      <sheetData sheetId="6"/>
      <sheetData sheetId="7">
        <row r="20">
          <cell r="C20">
            <v>-400</v>
          </cell>
        </row>
      </sheetData>
      <sheetData sheetId="8">
        <row r="11">
          <cell r="C11">
            <v>-926</v>
          </cell>
        </row>
      </sheetData>
      <sheetData sheetId="9"/>
      <sheetData sheetId="10"/>
      <sheetData sheetId="11"/>
      <sheetData sheetId="12"/>
      <sheetData sheetId="13">
        <row r="13">
          <cell r="C13">
            <v>-50</v>
          </cell>
          <cell r="D13">
            <v>-50.5</v>
          </cell>
          <cell r="E13">
            <v>-59.375</v>
          </cell>
          <cell r="F13">
            <v>-68.706249999999997</v>
          </cell>
          <cell r="G13">
            <v>-228.58125000000001</v>
          </cell>
        </row>
      </sheetData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1" tint="4.9989318521683403E-2"/>
  </sheetPr>
  <dimension ref="B1:B11"/>
  <sheetViews>
    <sheetView topLeftCell="A4" workbookViewId="0"/>
  </sheetViews>
  <sheetFormatPr defaultRowHeight="12"/>
  <cols>
    <col min="1" max="1" width="2" style="2" customWidth="1"/>
    <col min="2" max="16384" width="9.140625" style="2"/>
  </cols>
  <sheetData>
    <row r="1" spans="2:2" ht="15.75">
      <c r="B1" s="3"/>
    </row>
    <row r="11" spans="2:2" ht="37.5">
      <c r="B11" s="4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2060"/>
  </sheetPr>
  <dimension ref="B1:B11"/>
  <sheetViews>
    <sheetView zoomScale="160" zoomScaleNormal="160" workbookViewId="0">
      <selection activeCell="P17" sqref="P17"/>
    </sheetView>
  </sheetViews>
  <sheetFormatPr defaultRowHeight="12"/>
  <cols>
    <col min="1" max="1" width="2" style="2" customWidth="1"/>
    <col min="2" max="16384" width="9.140625" style="2"/>
  </cols>
  <sheetData>
    <row r="1" spans="2:2" ht="15.75">
      <c r="B1" s="3"/>
    </row>
    <row r="11" spans="2:2" ht="37.5">
      <c r="B11" s="4" t="s">
        <v>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1:O27"/>
  <sheetViews>
    <sheetView zoomScale="160" zoomScaleNormal="160" workbookViewId="0">
      <selection activeCell="I12" sqref="I12"/>
    </sheetView>
  </sheetViews>
  <sheetFormatPr defaultRowHeight="12"/>
  <cols>
    <col min="1" max="1" width="2" style="2" customWidth="1"/>
    <col min="2" max="2" width="22.140625" style="2" customWidth="1"/>
    <col min="3" max="7" width="9.140625" style="2"/>
    <col min="8" max="8" width="2" style="2" customWidth="1"/>
    <col min="9" max="13" width="9.140625" style="2"/>
    <col min="14" max="14" width="2.140625" style="2" customWidth="1"/>
    <col min="15" max="15" width="14.140625" style="2" customWidth="1"/>
    <col min="16" max="16384" width="9.140625" style="2"/>
  </cols>
  <sheetData>
    <row r="1" spans="2:15" ht="15.75">
      <c r="B1" s="3" t="s">
        <v>63</v>
      </c>
    </row>
    <row r="4" spans="2:15">
      <c r="C4" s="65" t="s">
        <v>64</v>
      </c>
      <c r="D4" s="65"/>
      <c r="E4" s="65"/>
      <c r="F4" s="65"/>
      <c r="G4" s="65"/>
      <c r="H4" s="6"/>
      <c r="I4" s="65" t="s">
        <v>65</v>
      </c>
      <c r="J4" s="65"/>
      <c r="K4" s="65"/>
      <c r="L4" s="65"/>
      <c r="M4" s="65"/>
      <c r="N4" s="65"/>
      <c r="O4" s="65"/>
    </row>
    <row r="5" spans="2:15" ht="12.75" thickBot="1">
      <c r="B5" s="7" t="s">
        <v>4</v>
      </c>
      <c r="C5" s="8" t="s">
        <v>5</v>
      </c>
      <c r="D5" s="8" t="s">
        <v>6</v>
      </c>
      <c r="E5" s="8" t="s">
        <v>7</v>
      </c>
      <c r="F5" s="8" t="s">
        <v>8</v>
      </c>
      <c r="G5" s="8" t="s">
        <v>9</v>
      </c>
      <c r="H5" s="6"/>
      <c r="I5" s="8" t="s">
        <v>5</v>
      </c>
      <c r="J5" s="8" t="s">
        <v>6</v>
      </c>
      <c r="K5" s="8" t="s">
        <v>7</v>
      </c>
      <c r="L5" s="8" t="s">
        <v>8</v>
      </c>
      <c r="M5" s="8" t="s">
        <v>9</v>
      </c>
      <c r="N5" s="19"/>
      <c r="O5" s="17" t="s">
        <v>13</v>
      </c>
    </row>
    <row r="6" spans="2:15">
      <c r="B6" s="2" t="s">
        <v>23</v>
      </c>
      <c r="C6" s="10">
        <f>'Volume Forecast'!C32</f>
        <v>195</v>
      </c>
      <c r="D6" s="10">
        <f>'Volume Forecast'!D32</f>
        <v>456</v>
      </c>
      <c r="E6" s="10">
        <f>'Volume Forecast'!E32</f>
        <v>492</v>
      </c>
      <c r="F6" s="10">
        <f>'Volume Forecast'!F32</f>
        <v>233</v>
      </c>
      <c r="G6" s="10">
        <f>'Volume Forecast'!G32</f>
        <v>1376</v>
      </c>
      <c r="I6" s="10">
        <f>'Volume Forecast'!I32</f>
        <v>227.11524193548388</v>
      </c>
      <c r="J6" s="10">
        <f>'Volume Forecast'!J32</f>
        <v>531.1002580645162</v>
      </c>
      <c r="K6" s="10">
        <f>'Volume Forecast'!K32</f>
        <v>573.02922580645168</v>
      </c>
      <c r="L6" s="10">
        <f>'Volume Forecast'!L32</f>
        <v>271.37359677419357</v>
      </c>
      <c r="M6" s="10">
        <f>'Volume Forecast'!M32</f>
        <v>1602.6183225806453</v>
      </c>
      <c r="N6" s="18"/>
      <c r="O6" s="11">
        <f>M6/G6-1</f>
        <v>0.16469354838709682</v>
      </c>
    </row>
    <row r="7" spans="2:15">
      <c r="B7" s="2" t="s">
        <v>66</v>
      </c>
      <c r="C7" s="10">
        <f>'Revenue Forecast'!C20</f>
        <v>1950</v>
      </c>
      <c r="D7" s="10">
        <f>'Revenue Forecast'!D20</f>
        <v>4560</v>
      </c>
      <c r="E7" s="10">
        <f>'Revenue Forecast'!E20</f>
        <v>4920</v>
      </c>
      <c r="F7" s="10">
        <f>'Revenue Forecast'!F20</f>
        <v>2329.9999999999995</v>
      </c>
      <c r="G7" s="10">
        <f>'Revenue Forecast'!G20</f>
        <v>13759.999999999998</v>
      </c>
      <c r="I7" s="10">
        <f>'Revenue Forecast'!I20</f>
        <v>2422.5625806451612</v>
      </c>
      <c r="J7" s="10">
        <f>'Revenue Forecast'!J20</f>
        <v>5665.0694193548388</v>
      </c>
      <c r="K7" s="10">
        <f>'Revenue Forecast'!K20</f>
        <v>6112.311741935484</v>
      </c>
      <c r="L7" s="10">
        <f>'Revenue Forecast'!L20</f>
        <v>2894.6516989247311</v>
      </c>
      <c r="M7" s="10">
        <f>'Revenue Forecast'!M20</f>
        <v>17094.595440860216</v>
      </c>
      <c r="N7" s="18"/>
      <c r="O7" s="11">
        <f>M7/G7-1</f>
        <v>0.24233978494623676</v>
      </c>
    </row>
    <row r="10" spans="2:15">
      <c r="C10" s="65" t="s">
        <v>67</v>
      </c>
      <c r="D10" s="65"/>
      <c r="E10" s="65"/>
      <c r="F10" s="65"/>
      <c r="G10" s="65"/>
      <c r="H10" s="6"/>
      <c r="I10" s="65" t="s">
        <v>68</v>
      </c>
      <c r="J10" s="65"/>
      <c r="K10" s="65"/>
      <c r="L10" s="65"/>
      <c r="M10" s="65"/>
      <c r="N10" s="65"/>
      <c r="O10" s="65"/>
    </row>
    <row r="11" spans="2:15" ht="12.75" thickBot="1">
      <c r="B11" s="7" t="s">
        <v>4</v>
      </c>
      <c r="C11" s="8" t="s">
        <v>5</v>
      </c>
      <c r="D11" s="8" t="s">
        <v>6</v>
      </c>
      <c r="E11" s="8" t="s">
        <v>7</v>
      </c>
      <c r="F11" s="8" t="s">
        <v>8</v>
      </c>
      <c r="G11" s="8" t="s">
        <v>9</v>
      </c>
      <c r="H11" s="6"/>
      <c r="I11" s="8" t="s">
        <v>5</v>
      </c>
      <c r="J11" s="8" t="s">
        <v>6</v>
      </c>
      <c r="K11" s="8" t="s">
        <v>7</v>
      </c>
      <c r="L11" s="8" t="s">
        <v>8</v>
      </c>
      <c r="M11" s="8" t="s">
        <v>9</v>
      </c>
      <c r="N11" s="19"/>
      <c r="O11" s="44" t="s">
        <v>69</v>
      </c>
    </row>
    <row r="12" spans="2:15">
      <c r="B12" s="2" t="s">
        <v>70</v>
      </c>
      <c r="C12" s="2">
        <v>-60</v>
      </c>
      <c r="D12" s="2">
        <v>-228</v>
      </c>
      <c r="E12" s="2">
        <v>-246</v>
      </c>
      <c r="F12" s="2">
        <v>-66</v>
      </c>
      <c r="G12" s="2">
        <f>SUM(C12:F12)</f>
        <v>-600</v>
      </c>
      <c r="I12" s="27">
        <f>I13*I7</f>
        <v>-105.63499624906228</v>
      </c>
      <c r="J12" s="27">
        <f>J13*J7</f>
        <v>-247.02337584396105</v>
      </c>
      <c r="K12" s="27">
        <f>K13*K7</f>
        <v>-266.5252213053264</v>
      </c>
      <c r="L12" s="27">
        <f>L13*L7</f>
        <v>-126.22027756939237</v>
      </c>
      <c r="M12" s="27">
        <f>SUM(I12:L12)</f>
        <v>-745.40387096774214</v>
      </c>
      <c r="O12" s="45" t="s">
        <v>71</v>
      </c>
    </row>
    <row r="13" spans="2:15">
      <c r="B13" s="46" t="s">
        <v>72</v>
      </c>
      <c r="C13" s="47">
        <f>C12/C7</f>
        <v>-3.0769230769230771E-2</v>
      </c>
      <c r="D13" s="47">
        <f>D12/D7</f>
        <v>-0.05</v>
      </c>
      <c r="E13" s="47">
        <f>E12/E7</f>
        <v>-0.05</v>
      </c>
      <c r="F13" s="47">
        <f>F12/F7</f>
        <v>-2.8326180257510734E-2</v>
      </c>
      <c r="G13" s="47">
        <f>G12/G7</f>
        <v>-4.3604651162790706E-2</v>
      </c>
      <c r="I13" s="48">
        <f>G13</f>
        <v>-4.3604651162790706E-2</v>
      </c>
      <c r="J13" s="48">
        <f>I13</f>
        <v>-4.3604651162790706E-2</v>
      </c>
      <c r="K13" s="48">
        <f>J13</f>
        <v>-4.3604651162790706E-2</v>
      </c>
      <c r="L13" s="48">
        <f>K13</f>
        <v>-4.3604651162790706E-2</v>
      </c>
      <c r="M13" s="48">
        <f>M12/M7</f>
        <v>-4.3604651162790706E-2</v>
      </c>
      <c r="O13" s="45"/>
    </row>
    <row r="14" spans="2:15">
      <c r="B14" s="46"/>
      <c r="O14" s="45"/>
    </row>
    <row r="15" spans="2:15">
      <c r="B15" s="2" t="s">
        <v>73</v>
      </c>
      <c r="C15" s="27">
        <v>-26</v>
      </c>
      <c r="D15" s="27">
        <v>-94</v>
      </c>
      <c r="E15" s="27">
        <v>-101</v>
      </c>
      <c r="F15" s="27">
        <v>-32</v>
      </c>
      <c r="G15" s="27">
        <f>SUM(C15:F15)</f>
        <v>-253</v>
      </c>
      <c r="I15" s="27">
        <f>I7*I16</f>
        <v>-32.300834408602149</v>
      </c>
      <c r="J15" s="27">
        <f>J7*J16</f>
        <v>-116.77993978494625</v>
      </c>
      <c r="K15" s="27">
        <f t="shared" ref="K15:L15" si="0">K7*K16</f>
        <v>-125.47631827956988</v>
      </c>
      <c r="L15" s="27">
        <f t="shared" si="0"/>
        <v>-39.754873118279576</v>
      </c>
      <c r="M15" s="27">
        <f>SUM(I15:L15)</f>
        <v>-314.31196559139784</v>
      </c>
      <c r="O15" s="45" t="s">
        <v>71</v>
      </c>
    </row>
    <row r="16" spans="2:15">
      <c r="B16" s="46" t="s">
        <v>72</v>
      </c>
      <c r="C16" s="49">
        <f>C15/C7</f>
        <v>-1.3333333333333334E-2</v>
      </c>
      <c r="D16" s="47">
        <f>D15/D7</f>
        <v>-2.06140350877193E-2</v>
      </c>
      <c r="E16" s="47">
        <f>E15/E7</f>
        <v>-2.0528455284552844E-2</v>
      </c>
      <c r="F16" s="47">
        <f>F15/F7</f>
        <v>-1.3733905579399144E-2</v>
      </c>
      <c r="G16" s="49">
        <f>G15/G7</f>
        <v>-1.8386627906976746E-2</v>
      </c>
      <c r="I16" s="47">
        <f>C16</f>
        <v>-1.3333333333333334E-2</v>
      </c>
      <c r="J16" s="47">
        <f t="shared" ref="J16:L16" si="1">D16</f>
        <v>-2.06140350877193E-2</v>
      </c>
      <c r="K16" s="47">
        <f t="shared" si="1"/>
        <v>-2.0528455284552844E-2</v>
      </c>
      <c r="L16" s="47">
        <f t="shared" si="1"/>
        <v>-1.3733905579399144E-2</v>
      </c>
      <c r="M16" s="48">
        <f>M15/M7</f>
        <v>-1.8386627906976743E-2</v>
      </c>
      <c r="O16" s="45"/>
    </row>
    <row r="17" spans="2:15">
      <c r="O17" s="45"/>
    </row>
    <row r="18" spans="2:15">
      <c r="B18" s="2" t="s">
        <v>74</v>
      </c>
      <c r="C18" s="2">
        <v>-35</v>
      </c>
      <c r="D18" s="2">
        <v>-150</v>
      </c>
      <c r="E18" s="2">
        <v>-195</v>
      </c>
      <c r="F18" s="2">
        <v>-118</v>
      </c>
      <c r="G18" s="27">
        <f>SUM(C18:F18)</f>
        <v>-498</v>
      </c>
      <c r="I18" s="27">
        <f>I7*I19</f>
        <v>-43.481892473118272</v>
      </c>
      <c r="J18" s="27">
        <f>J7*J19</f>
        <v>-186.35096774193548</v>
      </c>
      <c r="K18" s="27">
        <f>K7*K19</f>
        <v>-242.25625806451615</v>
      </c>
      <c r="L18" s="27">
        <f>L7*L19</f>
        <v>-146.59609462365594</v>
      </c>
      <c r="M18" s="27">
        <f>SUM(I18:L18)</f>
        <v>-618.68521290322587</v>
      </c>
      <c r="O18" s="45" t="s">
        <v>71</v>
      </c>
    </row>
    <row r="19" spans="2:15">
      <c r="B19" s="46" t="s">
        <v>72</v>
      </c>
      <c r="C19" s="49">
        <f>C18/C7</f>
        <v>-1.7948717948717947E-2</v>
      </c>
      <c r="D19" s="49">
        <f>D18/D7</f>
        <v>-3.2894736842105261E-2</v>
      </c>
      <c r="E19" s="49">
        <f>E18/E7</f>
        <v>-3.9634146341463415E-2</v>
      </c>
      <c r="F19" s="49">
        <f>F18/F7</f>
        <v>-5.0643776824034342E-2</v>
      </c>
      <c r="G19" s="49">
        <f>G18/G7</f>
        <v>-3.6191860465116285E-2</v>
      </c>
      <c r="I19" s="49">
        <f>C19</f>
        <v>-1.7948717948717947E-2</v>
      </c>
      <c r="J19" s="49">
        <f t="shared" ref="J19:L19" si="2">D19</f>
        <v>-3.2894736842105261E-2</v>
      </c>
      <c r="K19" s="49">
        <f t="shared" si="2"/>
        <v>-3.9634146341463415E-2</v>
      </c>
      <c r="L19" s="49">
        <f t="shared" si="2"/>
        <v>-5.0643776824034342E-2</v>
      </c>
      <c r="M19" s="49">
        <f>M18/M7</f>
        <v>-3.6191860465116285E-2</v>
      </c>
      <c r="O19" s="45"/>
    </row>
    <row r="20" spans="2:15">
      <c r="O20" s="45"/>
    </row>
    <row r="21" spans="2:15">
      <c r="B21" s="2" t="s">
        <v>75</v>
      </c>
      <c r="C21" s="2">
        <v>-300</v>
      </c>
      <c r="D21" s="2">
        <v>-300</v>
      </c>
      <c r="E21" s="2">
        <v>-300</v>
      </c>
      <c r="F21" s="2">
        <v>-300</v>
      </c>
      <c r="G21" s="2">
        <f>SUM(C21:F21)</f>
        <v>-1200</v>
      </c>
      <c r="I21" s="2">
        <f>C21</f>
        <v>-300</v>
      </c>
      <c r="J21" s="2">
        <f t="shared" ref="J21:L21" si="3">D21</f>
        <v>-300</v>
      </c>
      <c r="K21" s="2">
        <f t="shared" si="3"/>
        <v>-300</v>
      </c>
      <c r="L21" s="2">
        <f t="shared" si="3"/>
        <v>-300</v>
      </c>
      <c r="M21" s="27">
        <f>SUM(I21:L21)</f>
        <v>-1200</v>
      </c>
      <c r="O21" s="45" t="s">
        <v>76</v>
      </c>
    </row>
    <row r="22" spans="2:15">
      <c r="B22" s="46" t="s">
        <v>72</v>
      </c>
      <c r="C22" s="49">
        <f>C21/C7</f>
        <v>-0.15384615384615385</v>
      </c>
      <c r="D22" s="49">
        <f>D21/D7</f>
        <v>-6.5789473684210523E-2</v>
      </c>
      <c r="E22" s="49">
        <f>E21/E7</f>
        <v>-6.097560975609756E-2</v>
      </c>
      <c r="F22" s="49">
        <f>F21/F7</f>
        <v>-0.12875536480686697</v>
      </c>
      <c r="G22" s="49">
        <f>G21/G7</f>
        <v>-8.7209302325581411E-2</v>
      </c>
      <c r="I22" s="49">
        <f>I21/I7</f>
        <v>-0.12383581022708026</v>
      </c>
      <c r="J22" s="49">
        <f>J21/J7</f>
        <v>-5.2956103057633E-2</v>
      </c>
      <c r="K22" s="49">
        <f>K21/K7</f>
        <v>-4.9081266248537904E-2</v>
      </c>
      <c r="L22" s="49">
        <f>L21/L7</f>
        <v>-0.10363941199262082</v>
      </c>
      <c r="O22" s="45"/>
    </row>
    <row r="23" spans="2:15">
      <c r="O23" s="45"/>
    </row>
    <row r="24" spans="2:15">
      <c r="B24" s="2" t="s">
        <v>77</v>
      </c>
      <c r="C24" s="2">
        <v>-40</v>
      </c>
      <c r="D24" s="2">
        <v>-40</v>
      </c>
      <c r="E24" s="2">
        <v>-40</v>
      </c>
      <c r="F24" s="2">
        <v>-40</v>
      </c>
      <c r="G24" s="2">
        <f>SUM(C24:F24)</f>
        <v>-160</v>
      </c>
      <c r="I24" s="2">
        <f>C24</f>
        <v>-40</v>
      </c>
      <c r="J24" s="2">
        <f t="shared" ref="J24:L24" si="4">D24</f>
        <v>-40</v>
      </c>
      <c r="K24" s="2">
        <f t="shared" si="4"/>
        <v>-40</v>
      </c>
      <c r="L24" s="2">
        <f t="shared" si="4"/>
        <v>-40</v>
      </c>
      <c r="M24" s="2">
        <f>SUM(I24:L24)</f>
        <v>-160</v>
      </c>
      <c r="O24" s="45" t="s">
        <v>76</v>
      </c>
    </row>
    <row r="25" spans="2:15">
      <c r="B25" s="46" t="s">
        <v>72</v>
      </c>
      <c r="C25" s="49">
        <f>C24/C7</f>
        <v>-2.0512820512820513E-2</v>
      </c>
      <c r="D25" s="49">
        <f>D24/D7</f>
        <v>-8.771929824561403E-3</v>
      </c>
      <c r="E25" s="49">
        <f>E24/E7</f>
        <v>-8.130081300813009E-3</v>
      </c>
      <c r="F25" s="49">
        <f>F24/F7</f>
        <v>-1.716738197424893E-2</v>
      </c>
      <c r="G25" s="49">
        <f>G24/G7</f>
        <v>-1.1627906976744188E-2</v>
      </c>
      <c r="I25" s="49">
        <f>I24/I7</f>
        <v>-1.6511441363610702E-2</v>
      </c>
      <c r="J25" s="49">
        <f t="shared" ref="J25:M25" si="5">J24/J7</f>
        <v>-7.0608137410177333E-3</v>
      </c>
      <c r="K25" s="49">
        <f t="shared" si="5"/>
        <v>-6.5441688331383877E-3</v>
      </c>
      <c r="L25" s="49">
        <f t="shared" si="5"/>
        <v>-1.3818588265682776E-2</v>
      </c>
      <c r="M25" s="49">
        <f t="shared" si="5"/>
        <v>-9.3596833311165306E-3</v>
      </c>
      <c r="O25" s="45"/>
    </row>
    <row r="26" spans="2:15">
      <c r="O26" s="45"/>
    </row>
    <row r="27" spans="2:15" ht="12.75" thickBot="1">
      <c r="B27" s="14" t="s">
        <v>63</v>
      </c>
      <c r="C27" s="50">
        <f>C24+C21+C18+C15+C12</f>
        <v>-461</v>
      </c>
      <c r="D27" s="50">
        <f>D24+D21+D18+D15+D12</f>
        <v>-812</v>
      </c>
      <c r="E27" s="50">
        <f>E24+E21+E18+E15+E12</f>
        <v>-882</v>
      </c>
      <c r="F27" s="50">
        <f>F24+F21+F18+F15+F12</f>
        <v>-556</v>
      </c>
      <c r="G27" s="33">
        <f>G24+G21+G18+G15+G12</f>
        <v>-2711</v>
      </c>
      <c r="H27" s="14"/>
      <c r="I27" s="33">
        <f>I24+I21+I18+I15+I12</f>
        <v>-521.41772313078263</v>
      </c>
      <c r="J27" s="33">
        <f>J24+J21+J18+J15+J12</f>
        <v>-890.15428337084279</v>
      </c>
      <c r="K27" s="33">
        <f>K24+K21+K18+K15+K12</f>
        <v>-974.2577976494124</v>
      </c>
      <c r="L27" s="33">
        <f>L24+L21+L18+L15+L12</f>
        <v>-652.57124531132786</v>
      </c>
      <c r="M27" s="33">
        <f>M24+M21+M18+M15+M12</f>
        <v>-3038.4010494623658</v>
      </c>
      <c r="N27" s="14"/>
      <c r="O27" s="51"/>
    </row>
  </sheetData>
  <mergeCells count="4">
    <mergeCell ref="C4:G4"/>
    <mergeCell ref="I4:O4"/>
    <mergeCell ref="C10:G10"/>
    <mergeCell ref="I10:O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1" tint="4.9989318521683403E-2"/>
  </sheetPr>
  <dimension ref="B1:B11"/>
  <sheetViews>
    <sheetView zoomScale="160" zoomScaleNormal="160" workbookViewId="0">
      <selection activeCell="N26" sqref="N26"/>
    </sheetView>
  </sheetViews>
  <sheetFormatPr defaultRowHeight="12"/>
  <cols>
    <col min="1" max="1" width="2" style="2" customWidth="1"/>
    <col min="2" max="16384" width="9.140625" style="2"/>
  </cols>
  <sheetData>
    <row r="1" spans="2:2" ht="15.75">
      <c r="B1" s="3"/>
    </row>
    <row r="11" spans="2:2" ht="37.5">
      <c r="B11" s="4" t="s">
        <v>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1:O22"/>
  <sheetViews>
    <sheetView zoomScale="160" zoomScaleNormal="160" workbookViewId="0">
      <selection activeCell="D16" sqref="D16"/>
    </sheetView>
  </sheetViews>
  <sheetFormatPr defaultRowHeight="12"/>
  <cols>
    <col min="1" max="1" width="2" style="2" customWidth="1"/>
    <col min="2" max="2" width="28.7109375" style="2" customWidth="1"/>
    <col min="3" max="6" width="9.140625" style="2"/>
    <col min="7" max="7" width="11.85546875" style="2" customWidth="1"/>
    <col min="8" max="8" width="2.140625" style="2" customWidth="1"/>
    <col min="9" max="13" width="9.140625" style="2"/>
    <col min="14" max="14" width="2.7109375" style="2" customWidth="1"/>
    <col min="15" max="16384" width="9.140625" style="2"/>
  </cols>
  <sheetData>
    <row r="1" spans="2:15" ht="15.75">
      <c r="B1" s="3" t="s">
        <v>78</v>
      </c>
    </row>
    <row r="4" spans="2:15">
      <c r="C4" s="65" t="s">
        <v>64</v>
      </c>
      <c r="D4" s="65"/>
      <c r="E4" s="65"/>
      <c r="F4" s="65"/>
      <c r="G4" s="65"/>
      <c r="H4" s="6"/>
      <c r="I4" s="65" t="s">
        <v>65</v>
      </c>
      <c r="J4" s="65"/>
      <c r="K4" s="65"/>
      <c r="L4" s="65"/>
      <c r="M4" s="65"/>
      <c r="N4" s="65"/>
      <c r="O4" s="65"/>
    </row>
    <row r="5" spans="2:15" ht="12.75" thickBot="1">
      <c r="B5" s="7" t="s">
        <v>4</v>
      </c>
      <c r="C5" s="8" t="s">
        <v>5</v>
      </c>
      <c r="D5" s="8" t="s">
        <v>6</v>
      </c>
      <c r="E5" s="8" t="s">
        <v>7</v>
      </c>
      <c r="F5" s="8" t="s">
        <v>8</v>
      </c>
      <c r="G5" s="8" t="s">
        <v>9</v>
      </c>
      <c r="H5" s="6"/>
      <c r="I5" s="8" t="s">
        <v>5</v>
      </c>
      <c r="J5" s="8" t="s">
        <v>6</v>
      </c>
      <c r="K5" s="8" t="s">
        <v>7</v>
      </c>
      <c r="L5" s="8" t="s">
        <v>8</v>
      </c>
      <c r="M5" s="8" t="s">
        <v>9</v>
      </c>
      <c r="N5" s="19"/>
      <c r="O5" s="17" t="s">
        <v>13</v>
      </c>
    </row>
    <row r="6" spans="2:15">
      <c r="B6" s="2" t="s">
        <v>66</v>
      </c>
      <c r="C6" s="10">
        <f>'Revenue Forecast'!C20</f>
        <v>1950</v>
      </c>
      <c r="D6" s="10">
        <f>'Revenue Forecast'!D20</f>
        <v>4560</v>
      </c>
      <c r="E6" s="10">
        <f>'Revenue Forecast'!E20</f>
        <v>4920</v>
      </c>
      <c r="F6" s="10">
        <f>'Revenue Forecast'!F20</f>
        <v>2329.9999999999995</v>
      </c>
      <c r="G6" s="10">
        <f>'Revenue Forecast'!G20</f>
        <v>13759.999999999998</v>
      </c>
      <c r="I6" s="10">
        <f>'Revenue Forecast'!I20</f>
        <v>2422.5625806451612</v>
      </c>
      <c r="J6" s="10">
        <f>'Revenue Forecast'!J20</f>
        <v>5665.0694193548388</v>
      </c>
      <c r="K6" s="10">
        <f>'Revenue Forecast'!K20</f>
        <v>6112.311741935484</v>
      </c>
      <c r="L6" s="10">
        <f>'Revenue Forecast'!L20</f>
        <v>2894.6516989247311</v>
      </c>
      <c r="M6" s="10">
        <f>'Revenue Forecast'!M20</f>
        <v>17094.595440860216</v>
      </c>
      <c r="N6" s="18"/>
      <c r="O6" s="11">
        <f>M6/G6-1</f>
        <v>0.24233978494623676</v>
      </c>
    </row>
    <row r="7" spans="2:15">
      <c r="B7" s="2" t="s">
        <v>58</v>
      </c>
      <c r="C7" s="29">
        <f>'Cost of Goods Sold'!C11</f>
        <v>-1296.75</v>
      </c>
      <c r="D7" s="29">
        <f>'Cost of Goods Sold'!D11</f>
        <v>-2570.71</v>
      </c>
      <c r="E7" s="29">
        <f>'Cost of Goods Sold'!E11</f>
        <v>-2476.36</v>
      </c>
      <c r="F7" s="29">
        <f>'Cost of Goods Sold'!F11</f>
        <v>-1158.4766666666665</v>
      </c>
      <c r="G7" s="29">
        <f>'Cost of Goods Sold'!G11</f>
        <v>-7502.2966666666662</v>
      </c>
      <c r="I7" s="29">
        <f>'Cost of Goods Sold'!I11</f>
        <v>-1439.6096793010752</v>
      </c>
      <c r="J7" s="29">
        <f>'Cost of Goods Sold'!J11</f>
        <v>-2948.4487066129032</v>
      </c>
      <c r="K7" s="29">
        <f>'Cost of Goods Sold'!K11</f>
        <v>-2838.5598703225805</v>
      </c>
      <c r="L7" s="29">
        <f>'Cost of Goods Sold'!L11</f>
        <v>-1303.6296544623656</v>
      </c>
      <c r="M7" s="29">
        <f>'Cost of Goods Sold'!M11</f>
        <v>-8530.2479106989249</v>
      </c>
      <c r="O7" s="11">
        <f>M7/G7-1</f>
        <v>0.13701820785087482</v>
      </c>
    </row>
    <row r="10" spans="2:15">
      <c r="B10" s="2" t="s">
        <v>79</v>
      </c>
      <c r="C10" s="27">
        <f>C11*C6/90</f>
        <v>650</v>
      </c>
      <c r="D10" s="27">
        <f>D11*D6/90</f>
        <v>1520</v>
      </c>
      <c r="E10" s="27">
        <f>E11*E6/90</f>
        <v>1640</v>
      </c>
      <c r="F10" s="27">
        <f>F11*F6/90</f>
        <v>776.66666666666652</v>
      </c>
      <c r="G10" s="27"/>
      <c r="I10" s="27">
        <f>I11*I6/90</f>
        <v>807.52086021505363</v>
      </c>
      <c r="J10" s="27">
        <f>J11*J6/90</f>
        <v>1888.3564731182796</v>
      </c>
      <c r="K10" s="27">
        <f>K11*K6/90</f>
        <v>2037.4372473118281</v>
      </c>
      <c r="L10" s="27">
        <f>L11*L6/90</f>
        <v>964.88389964157705</v>
      </c>
      <c r="M10" s="27"/>
      <c r="O10" s="11"/>
    </row>
    <row r="11" spans="2:15">
      <c r="B11" s="2" t="s">
        <v>80</v>
      </c>
      <c r="C11" s="2">
        <v>30</v>
      </c>
      <c r="D11" s="2">
        <v>30</v>
      </c>
      <c r="E11" s="2">
        <v>30</v>
      </c>
      <c r="F11" s="2">
        <v>30</v>
      </c>
      <c r="I11" s="2">
        <v>30</v>
      </c>
      <c r="J11" s="2">
        <v>30</v>
      </c>
      <c r="K11" s="2">
        <v>30</v>
      </c>
      <c r="L11" s="2">
        <v>30</v>
      </c>
    </row>
    <row r="13" spans="2:15">
      <c r="B13" s="2" t="s">
        <v>81</v>
      </c>
      <c r="C13" s="27">
        <f>-C14*C7/90</f>
        <v>288.16666666666669</v>
      </c>
      <c r="D13" s="27">
        <f>-D14*D7/90</f>
        <v>571.26888888888891</v>
      </c>
      <c r="E13" s="27">
        <f>-E14*E7/90</f>
        <v>550.30222222222233</v>
      </c>
      <c r="F13" s="27">
        <f>-F14*F7/90</f>
        <v>257.43925925925919</v>
      </c>
      <c r="G13" s="27"/>
      <c r="I13" s="27">
        <f>-I7*I14/90</f>
        <v>319.91326206690559</v>
      </c>
      <c r="J13" s="27">
        <f t="shared" ref="J13:L13" si="0">-J7*J14/90</f>
        <v>655.21082369175633</v>
      </c>
      <c r="K13" s="27">
        <f t="shared" si="0"/>
        <v>630.79108229390681</v>
      </c>
      <c r="L13" s="27">
        <f t="shared" si="0"/>
        <v>289.69547876941459</v>
      </c>
      <c r="M13" s="27"/>
      <c r="O13" s="11"/>
    </row>
    <row r="14" spans="2:15">
      <c r="B14" s="2" t="s">
        <v>82</v>
      </c>
      <c r="C14" s="2">
        <v>20</v>
      </c>
      <c r="D14" s="2">
        <v>20</v>
      </c>
      <c r="E14" s="2">
        <v>20</v>
      </c>
      <c r="F14" s="2">
        <v>20</v>
      </c>
      <c r="I14" s="2">
        <v>20</v>
      </c>
      <c r="J14" s="2">
        <v>20</v>
      </c>
      <c r="K14" s="2">
        <v>20</v>
      </c>
      <c r="L14" s="2">
        <v>20</v>
      </c>
    </row>
    <row r="16" spans="2:15">
      <c r="B16" s="2" t="s">
        <v>83</v>
      </c>
      <c r="C16" s="27">
        <f>'[1]Production &amp; Direct Materials'!C22+'[1]Production &amp; Direct Materials'!C23</f>
        <v>32</v>
      </c>
      <c r="D16" s="27">
        <f>'[1]Production &amp; Direct Materials'!D22+'[1]Production &amp; Direct Materials'!D23</f>
        <v>121.6</v>
      </c>
      <c r="E16" s="27">
        <f>'[1]Production &amp; Direct Materials'!E22+'[1]Production &amp; Direct Materials'!E23</f>
        <v>131.19999999999999</v>
      </c>
      <c r="F16" s="27">
        <f>'[1]Production &amp; Direct Materials'!F22+'[1]Production &amp; Direct Materials'!F23</f>
        <v>35.200000000000003</v>
      </c>
      <c r="I16" s="27">
        <f>'Production &amp; Direct Materials'!I22+'Production &amp; Direct Materials'!I23</f>
        <v>60.564064516129029</v>
      </c>
      <c r="J16" s="27">
        <f>'Production &amp; Direct Materials'!J22+'Production &amp; Direct Materials'!J23</f>
        <v>141.62673548387096</v>
      </c>
      <c r="K16" s="27">
        <f>'Production &amp; Direct Materials'!K22+'Production &amp; Direct Materials'!K23</f>
        <v>152.80779354838711</v>
      </c>
      <c r="L16" s="27">
        <f>'Production &amp; Direct Materials'!L22+'Production &amp; Direct Materials'!L23</f>
        <v>72.366292473118278</v>
      </c>
      <c r="M16" s="27"/>
      <c r="O16" s="11"/>
    </row>
    <row r="17" spans="2:15">
      <c r="B17" s="2" t="s">
        <v>84</v>
      </c>
      <c r="C17" s="27">
        <f>-C16/C7*90</f>
        <v>2.2209369577790632</v>
      </c>
      <c r="D17" s="27">
        <f>-D16/D7*90</f>
        <v>4.2571896479960785</v>
      </c>
      <c r="E17" s="27">
        <f>-E16/E7*90</f>
        <v>4.7682889402187074</v>
      </c>
      <c r="F17" s="27">
        <f>-F16/F7*90</f>
        <v>2.7346256434455598</v>
      </c>
      <c r="I17" s="27">
        <f>-I16/I7*90</f>
        <v>3.7862803264131548</v>
      </c>
      <c r="J17" s="27">
        <f>-J16/J7*90</f>
        <v>4.3230890077755868</v>
      </c>
      <c r="K17" s="27">
        <f>-K16/K7*90</f>
        <v>4.8449573190760118</v>
      </c>
      <c r="L17" s="27">
        <f>-L16/L7*90</f>
        <v>4.996024983235503</v>
      </c>
      <c r="M17" s="27"/>
      <c r="O17" s="11"/>
    </row>
    <row r="18" spans="2:15" ht="12.75" thickBot="1">
      <c r="B18" s="14" t="s">
        <v>78</v>
      </c>
      <c r="C18" s="50">
        <f>C10+C16-C13</f>
        <v>393.83333333333331</v>
      </c>
      <c r="D18" s="50">
        <f>D10+D16-D13</f>
        <v>1070.3311111111111</v>
      </c>
      <c r="E18" s="50">
        <f>E10+E16-E13</f>
        <v>1220.8977777777777</v>
      </c>
      <c r="F18" s="50">
        <f>F10+F16-F13</f>
        <v>554.42740740740737</v>
      </c>
      <c r="G18" s="52"/>
      <c r="H18" s="52"/>
      <c r="I18" s="50">
        <f t="shared" ref="I18:L18" si="1">I10+I16-I13</f>
        <v>548.17166266427716</v>
      </c>
      <c r="J18" s="50">
        <f t="shared" si="1"/>
        <v>1374.7723849103943</v>
      </c>
      <c r="K18" s="50">
        <f t="shared" si="1"/>
        <v>1559.4539585663085</v>
      </c>
      <c r="L18" s="50">
        <f t="shared" si="1"/>
        <v>747.55471334528079</v>
      </c>
      <c r="M18" s="52"/>
      <c r="N18" s="52"/>
      <c r="O18" s="52"/>
    </row>
    <row r="20" spans="2:15">
      <c r="I20" s="27"/>
      <c r="J20" s="27"/>
      <c r="K20" s="27"/>
      <c r="L20" s="27"/>
    </row>
    <row r="22" spans="2:15">
      <c r="C22" s="27"/>
      <c r="D22" s="27"/>
      <c r="E22" s="27"/>
      <c r="F22" s="27"/>
      <c r="I22" s="27"/>
      <c r="J22" s="27"/>
      <c r="K22" s="27"/>
      <c r="L22" s="27"/>
    </row>
  </sheetData>
  <mergeCells count="2">
    <mergeCell ref="C4:G4"/>
    <mergeCell ref="I4:O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1:P16"/>
  <sheetViews>
    <sheetView zoomScale="160" zoomScaleNormal="160" workbookViewId="0">
      <selection activeCell="I10" sqref="I10"/>
    </sheetView>
  </sheetViews>
  <sheetFormatPr defaultRowHeight="12"/>
  <cols>
    <col min="1" max="1" width="2" style="2" customWidth="1"/>
    <col min="2" max="2" width="26.85546875" style="2" customWidth="1"/>
    <col min="3" max="7" width="9.140625" style="2"/>
    <col min="8" max="8" width="1.28515625" style="2" customWidth="1"/>
    <col min="9" max="12" width="9.140625" style="2"/>
    <col min="13" max="13" width="9.140625" style="2" customWidth="1"/>
    <col min="14" max="14" width="1.140625" style="2" customWidth="1"/>
    <col min="15" max="16384" width="9.140625" style="2"/>
  </cols>
  <sheetData>
    <row r="1" spans="2:16" ht="15.75">
      <c r="B1" s="3" t="s">
        <v>86</v>
      </c>
    </row>
    <row r="4" spans="2:16">
      <c r="C4" s="65" t="s">
        <v>64</v>
      </c>
      <c r="D4" s="65"/>
      <c r="E4" s="65"/>
      <c r="F4" s="65"/>
      <c r="G4" s="65"/>
      <c r="H4" s="6"/>
      <c r="I4" s="65" t="s">
        <v>65</v>
      </c>
      <c r="J4" s="65"/>
      <c r="K4" s="65"/>
      <c r="L4" s="65"/>
      <c r="M4" s="65"/>
      <c r="N4" s="65"/>
      <c r="O4" s="65"/>
    </row>
    <row r="5" spans="2:16" ht="12.75" thickBot="1">
      <c r="B5" s="7" t="s">
        <v>4</v>
      </c>
      <c r="C5" s="8" t="s">
        <v>5</v>
      </c>
      <c r="D5" s="8" t="s">
        <v>6</v>
      </c>
      <c r="E5" s="8" t="s">
        <v>7</v>
      </c>
      <c r="F5" s="8" t="s">
        <v>8</v>
      </c>
      <c r="G5" s="8" t="s">
        <v>9</v>
      </c>
      <c r="H5" s="6"/>
      <c r="I5" s="8" t="s">
        <v>5</v>
      </c>
      <c r="J5" s="8" t="s">
        <v>6</v>
      </c>
      <c r="K5" s="8" t="s">
        <v>7</v>
      </c>
      <c r="L5" s="8" t="s">
        <v>8</v>
      </c>
      <c r="M5" s="8" t="s">
        <v>9</v>
      </c>
      <c r="N5" s="19"/>
      <c r="O5" s="17" t="s">
        <v>13</v>
      </c>
    </row>
    <row r="6" spans="2:16">
      <c r="B6" s="2" t="s">
        <v>66</v>
      </c>
      <c r="C6" s="10">
        <f>'Revenue Forecast'!C20</f>
        <v>1950</v>
      </c>
      <c r="D6" s="10">
        <f>'Revenue Forecast'!D20</f>
        <v>4560</v>
      </c>
      <c r="E6" s="10">
        <f>'Revenue Forecast'!E20</f>
        <v>4920</v>
      </c>
      <c r="F6" s="10">
        <f>'Revenue Forecast'!F20</f>
        <v>2329.9999999999995</v>
      </c>
      <c r="G6" s="10">
        <f>'Revenue Forecast'!G20</f>
        <v>13759.999999999998</v>
      </c>
      <c r="I6" s="10">
        <f>'Revenue Forecast'!I20</f>
        <v>2422.5625806451612</v>
      </c>
      <c r="J6" s="10">
        <f>'Revenue Forecast'!J20</f>
        <v>5665.0694193548388</v>
      </c>
      <c r="K6" s="10">
        <f>'Revenue Forecast'!K20</f>
        <v>6112.311741935484</v>
      </c>
      <c r="L6" s="10">
        <f>'Revenue Forecast'!L20</f>
        <v>2894.6516989247311</v>
      </c>
      <c r="M6" s="10">
        <f>'Revenue Forecast'!M20</f>
        <v>17094.595440860216</v>
      </c>
      <c r="N6" s="18"/>
      <c r="O6" s="11">
        <f>M6/G6-1</f>
        <v>0.24233978494623676</v>
      </c>
    </row>
    <row r="8" spans="2:16">
      <c r="B8" s="2" t="s">
        <v>87</v>
      </c>
      <c r="C8" s="2">
        <v>1000</v>
      </c>
      <c r="D8" s="2">
        <f>C16</f>
        <v>1047.5</v>
      </c>
      <c r="E8" s="27">
        <f t="shared" ref="E8:F8" si="0">D16</f>
        <v>1223.125</v>
      </c>
      <c r="F8" s="27">
        <f t="shared" si="0"/>
        <v>1407.96875</v>
      </c>
      <c r="I8" s="29">
        <f>F16</f>
        <v>1454.0703125</v>
      </c>
      <c r="J8" s="29">
        <f>I16</f>
        <v>1502.4949259072582</v>
      </c>
      <c r="K8" s="29">
        <f>J16</f>
        <v>1710.6236505796373</v>
      </c>
      <c r="L8" s="29">
        <f>K16</f>
        <v>1930.7080551474296</v>
      </c>
    </row>
    <row r="10" spans="2:16">
      <c r="B10" s="2" t="s">
        <v>88</v>
      </c>
      <c r="C10" s="27">
        <f>C11*C6</f>
        <v>97.5</v>
      </c>
      <c r="D10" s="27">
        <f t="shared" ref="D10:F10" si="1">D11*D6</f>
        <v>228</v>
      </c>
      <c r="E10" s="27">
        <f t="shared" si="1"/>
        <v>246</v>
      </c>
      <c r="F10" s="27">
        <f t="shared" si="1"/>
        <v>116.49999999999999</v>
      </c>
      <c r="G10" s="27">
        <f>SUM(C10:F10)</f>
        <v>688</v>
      </c>
      <c r="I10" s="27">
        <f>I6*I11</f>
        <v>121.12812903225807</v>
      </c>
      <c r="J10" s="27">
        <f t="shared" ref="J10:L10" si="2">J6*J11</f>
        <v>283.25347096774198</v>
      </c>
      <c r="K10" s="27">
        <f t="shared" si="2"/>
        <v>305.61558709677422</v>
      </c>
      <c r="L10" s="27">
        <f t="shared" si="2"/>
        <v>144.73258494623656</v>
      </c>
      <c r="M10" s="27">
        <f>SUM(I10:L10)</f>
        <v>854.72977204301083</v>
      </c>
      <c r="O10" s="11"/>
    </row>
    <row r="11" spans="2:16">
      <c r="B11" s="53" t="s">
        <v>89</v>
      </c>
      <c r="C11" s="54">
        <v>0.05</v>
      </c>
      <c r="D11" s="54">
        <v>0.05</v>
      </c>
      <c r="E11" s="54">
        <v>0.05</v>
      </c>
      <c r="F11" s="54">
        <v>0.05</v>
      </c>
      <c r="G11" s="54"/>
      <c r="H11" s="53"/>
      <c r="I11" s="54">
        <f>C11</f>
        <v>0.05</v>
      </c>
      <c r="J11" s="54">
        <f t="shared" ref="J11:L11" si="3">D11</f>
        <v>0.05</v>
      </c>
      <c r="K11" s="54">
        <f t="shared" si="3"/>
        <v>0.05</v>
      </c>
      <c r="L11" s="54">
        <f t="shared" si="3"/>
        <v>0.05</v>
      </c>
      <c r="M11" s="54"/>
      <c r="N11" s="53"/>
      <c r="O11" s="53"/>
      <c r="P11" s="53"/>
    </row>
    <row r="13" spans="2:16">
      <c r="B13" s="2" t="s">
        <v>92</v>
      </c>
      <c r="C13" s="27">
        <f>-C14*C8</f>
        <v>-50</v>
      </c>
      <c r="D13" s="27">
        <f t="shared" ref="D13:F13" si="4">-D14*D8</f>
        <v>-52.375</v>
      </c>
      <c r="E13" s="27">
        <f t="shared" si="4"/>
        <v>-61.15625</v>
      </c>
      <c r="F13" s="27">
        <f t="shared" si="4"/>
        <v>-70.3984375</v>
      </c>
      <c r="G13" s="27">
        <f>SUM(C13:F13)</f>
        <v>-233.9296875</v>
      </c>
      <c r="I13" s="27">
        <f>-I8*I14</f>
        <v>-72.703515625000009</v>
      </c>
      <c r="J13" s="27">
        <f>-J8*J14</f>
        <v>-75.124746295362911</v>
      </c>
      <c r="K13" s="27">
        <f>-K8*K14</f>
        <v>-85.531182528981873</v>
      </c>
      <c r="L13" s="27">
        <f>-L8*L14</f>
        <v>-96.535402757371486</v>
      </c>
      <c r="M13" s="27">
        <f>SUM(I13:L13)</f>
        <v>-329.89484720671629</v>
      </c>
    </row>
    <row r="14" spans="2:16">
      <c r="B14" s="53" t="s">
        <v>90</v>
      </c>
      <c r="C14" s="54">
        <v>0.05</v>
      </c>
      <c r="D14" s="54">
        <v>0.05</v>
      </c>
      <c r="E14" s="54">
        <v>0.05</v>
      </c>
      <c r="F14" s="54">
        <v>0.05</v>
      </c>
      <c r="G14" s="54"/>
      <c r="I14" s="54">
        <f>C14</f>
        <v>0.05</v>
      </c>
      <c r="J14" s="54">
        <f t="shared" ref="J14:L14" si="5">D14</f>
        <v>0.05</v>
      </c>
      <c r="K14" s="54">
        <f t="shared" si="5"/>
        <v>0.05</v>
      </c>
      <c r="L14" s="54">
        <f t="shared" si="5"/>
        <v>0.05</v>
      </c>
      <c r="M14" s="54"/>
    </row>
    <row r="16" spans="2:16" ht="12.75" thickBot="1">
      <c r="B16" s="14" t="s">
        <v>91</v>
      </c>
      <c r="C16" s="33">
        <f>C8+C10+C13</f>
        <v>1047.5</v>
      </c>
      <c r="D16" s="33">
        <f>D8+D10+D13</f>
        <v>1223.125</v>
      </c>
      <c r="E16" s="33">
        <f>E8+E10+E13</f>
        <v>1407.96875</v>
      </c>
      <c r="F16" s="33">
        <f>F8+F10+F13</f>
        <v>1454.0703125</v>
      </c>
      <c r="G16" s="14"/>
      <c r="H16" s="14"/>
      <c r="I16" s="33">
        <f>I8+I10+I13</f>
        <v>1502.4949259072582</v>
      </c>
      <c r="J16" s="33">
        <f>J8+J10+J13</f>
        <v>1710.6236505796373</v>
      </c>
      <c r="K16" s="33">
        <f>K8+K10+K13</f>
        <v>1930.7080551474296</v>
      </c>
      <c r="L16" s="33">
        <f>L8+L10+L13</f>
        <v>1978.9052373362945</v>
      </c>
      <c r="M16" s="14"/>
      <c r="N16" s="14"/>
      <c r="O16" s="14"/>
    </row>
  </sheetData>
  <mergeCells count="2">
    <mergeCell ref="C4:G4"/>
    <mergeCell ref="I4:O4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1" tint="4.9989318521683403E-2"/>
  </sheetPr>
  <dimension ref="B1:B11"/>
  <sheetViews>
    <sheetView zoomScale="160" zoomScaleNormal="160" workbookViewId="0">
      <selection activeCell="F11" sqref="F11"/>
    </sheetView>
  </sheetViews>
  <sheetFormatPr defaultRowHeight="12"/>
  <cols>
    <col min="1" max="1" width="2" style="2" customWidth="1"/>
    <col min="2" max="16384" width="9.140625" style="2"/>
  </cols>
  <sheetData>
    <row r="1" spans="2:2" ht="15.75">
      <c r="B1" s="3"/>
    </row>
    <row r="11" spans="2:2" ht="37.5">
      <c r="B11" s="4" t="s">
        <v>101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1:O15"/>
  <sheetViews>
    <sheetView zoomScale="160" zoomScaleNormal="160" workbookViewId="0">
      <selection activeCell="I15" sqref="I15"/>
    </sheetView>
  </sheetViews>
  <sheetFormatPr defaultRowHeight="12"/>
  <cols>
    <col min="1" max="1" width="2" style="2" customWidth="1"/>
    <col min="2" max="2" width="29.28515625" style="2" customWidth="1"/>
    <col min="3" max="7" width="9.140625" style="2"/>
    <col min="8" max="8" width="1.85546875" style="2" customWidth="1"/>
    <col min="9" max="13" width="9.140625" style="2"/>
    <col min="14" max="14" width="2" style="2" customWidth="1"/>
    <col min="15" max="16384" width="9.140625" style="2"/>
  </cols>
  <sheetData>
    <row r="1" spans="2:15" ht="15.75">
      <c r="B1" s="3" t="s">
        <v>93</v>
      </c>
    </row>
    <row r="4" spans="2:15">
      <c r="C4" s="65" t="s">
        <v>64</v>
      </c>
      <c r="D4" s="65"/>
      <c r="E4" s="65"/>
      <c r="F4" s="65"/>
      <c r="G4" s="65"/>
      <c r="I4" s="65" t="s">
        <v>65</v>
      </c>
      <c r="J4" s="65"/>
      <c r="K4" s="65"/>
      <c r="L4" s="65"/>
      <c r="M4" s="65"/>
      <c r="N4" s="65"/>
      <c r="O4" s="65"/>
    </row>
    <row r="5" spans="2:15" ht="12.75" thickBot="1">
      <c r="B5" s="7" t="s">
        <v>4</v>
      </c>
      <c r="C5" s="8" t="s">
        <v>5</v>
      </c>
      <c r="D5" s="8" t="s">
        <v>6</v>
      </c>
      <c r="E5" s="8" t="s">
        <v>7</v>
      </c>
      <c r="F5" s="8" t="s">
        <v>8</v>
      </c>
      <c r="G5" s="8" t="s">
        <v>9</v>
      </c>
      <c r="I5" s="8" t="s">
        <v>5</v>
      </c>
      <c r="J5" s="8" t="s">
        <v>6</v>
      </c>
      <c r="K5" s="8" t="s">
        <v>7</v>
      </c>
      <c r="L5" s="8" t="s">
        <v>8</v>
      </c>
      <c r="M5" s="8" t="s">
        <v>9</v>
      </c>
      <c r="O5" s="17" t="s">
        <v>13</v>
      </c>
    </row>
    <row r="6" spans="2:15">
      <c r="B6" s="2" t="s">
        <v>66</v>
      </c>
      <c r="C6" s="29">
        <f>'Revenue Forecast'!C20</f>
        <v>1950</v>
      </c>
      <c r="D6" s="29">
        <f>'Revenue Forecast'!D20</f>
        <v>4560</v>
      </c>
      <c r="E6" s="29">
        <f>'Revenue Forecast'!E20</f>
        <v>4920</v>
      </c>
      <c r="F6" s="29">
        <f>'Revenue Forecast'!F20</f>
        <v>2329.9999999999995</v>
      </c>
      <c r="G6" s="29">
        <f>'Revenue Forecast'!G20</f>
        <v>13759.999999999998</v>
      </c>
      <c r="I6" s="29">
        <f>'Revenue Forecast'!I20</f>
        <v>2422.5625806451612</v>
      </c>
      <c r="J6" s="29">
        <f>'Revenue Forecast'!J20</f>
        <v>5665.0694193548388</v>
      </c>
      <c r="K6" s="29">
        <f>'Revenue Forecast'!K20</f>
        <v>6112.311741935484</v>
      </c>
      <c r="L6" s="29">
        <f>'Revenue Forecast'!L20</f>
        <v>2894.6516989247311</v>
      </c>
      <c r="M6" s="29">
        <f>'Revenue Forecast'!M20</f>
        <v>17094.595440860216</v>
      </c>
      <c r="O6" s="11">
        <f>M6/G6-1</f>
        <v>0.24233978494623676</v>
      </c>
    </row>
    <row r="7" spans="2:15">
      <c r="B7" s="2" t="s">
        <v>58</v>
      </c>
      <c r="C7" s="29">
        <f>'Cost of Goods Sold'!C11</f>
        <v>-1296.75</v>
      </c>
      <c r="D7" s="29">
        <f>'Cost of Goods Sold'!D11</f>
        <v>-2570.71</v>
      </c>
      <c r="E7" s="29">
        <f>'Cost of Goods Sold'!E11</f>
        <v>-2476.36</v>
      </c>
      <c r="F7" s="29">
        <f>'Cost of Goods Sold'!F11</f>
        <v>-1158.4766666666665</v>
      </c>
      <c r="G7" s="29">
        <f>'Cost of Goods Sold'!G11</f>
        <v>-7502.2966666666662</v>
      </c>
      <c r="I7" s="29">
        <f>'Cost of Goods Sold'!I11</f>
        <v>-1439.6096793010752</v>
      </c>
      <c r="J7" s="29">
        <f>'Cost of Goods Sold'!J11</f>
        <v>-2948.4487066129032</v>
      </c>
      <c r="K7" s="29">
        <f>'Cost of Goods Sold'!K11</f>
        <v>-2838.5598703225805</v>
      </c>
      <c r="L7" s="29">
        <f>'Cost of Goods Sold'!L11</f>
        <v>-1303.6296544623656</v>
      </c>
      <c r="M7" s="29">
        <f>'Cost of Goods Sold'!M11</f>
        <v>-8530.2479106989249</v>
      </c>
      <c r="O7" s="11">
        <f t="shared" ref="O7:O15" si="0">M7/G7-1</f>
        <v>0.13701820785087482</v>
      </c>
    </row>
    <row r="8" spans="2:15">
      <c r="B8" s="23" t="s">
        <v>94</v>
      </c>
      <c r="C8" s="55">
        <f>SUM(C6:C7)</f>
        <v>653.25</v>
      </c>
      <c r="D8" s="55">
        <f t="shared" ref="D8:G8" si="1">SUM(D6:D7)</f>
        <v>1989.29</v>
      </c>
      <c r="E8" s="55">
        <f t="shared" si="1"/>
        <v>2443.64</v>
      </c>
      <c r="F8" s="55">
        <f t="shared" si="1"/>
        <v>1171.5233333333331</v>
      </c>
      <c r="G8" s="55">
        <f t="shared" si="1"/>
        <v>6257.703333333332</v>
      </c>
      <c r="I8" s="55">
        <f>I6+I7</f>
        <v>982.95290134408606</v>
      </c>
      <c r="J8" s="55">
        <f>J6+J7</f>
        <v>2716.6207127419357</v>
      </c>
      <c r="K8" s="55">
        <f>K6+K7</f>
        <v>3273.7518716129034</v>
      </c>
      <c r="L8" s="55">
        <f>L6+L7</f>
        <v>1591.0220444623656</v>
      </c>
      <c r="M8" s="55">
        <f>M6+M7</f>
        <v>8564.3475301612907</v>
      </c>
      <c r="O8" s="56">
        <f t="shared" si="0"/>
        <v>0.36860874892246831</v>
      </c>
    </row>
    <row r="9" spans="2:15">
      <c r="B9" s="2" t="s">
        <v>95</v>
      </c>
      <c r="C9" s="27">
        <f>'SG&amp;A'!C27</f>
        <v>-461</v>
      </c>
      <c r="D9" s="27">
        <f>'SG&amp;A'!D27</f>
        <v>-812</v>
      </c>
      <c r="E9" s="27">
        <f>'SG&amp;A'!E27</f>
        <v>-882</v>
      </c>
      <c r="F9" s="27">
        <f>'SG&amp;A'!F27</f>
        <v>-556</v>
      </c>
      <c r="G9" s="27">
        <f>'SG&amp;A'!G27</f>
        <v>-2711</v>
      </c>
      <c r="I9" s="27">
        <f>'SG&amp;A'!I27</f>
        <v>-521.41772313078263</v>
      </c>
      <c r="J9" s="27">
        <f>'SG&amp;A'!J27</f>
        <v>-890.15428337084279</v>
      </c>
      <c r="K9" s="27">
        <f>'SG&amp;A'!K27</f>
        <v>-974.2577976494124</v>
      </c>
      <c r="L9" s="27">
        <f>'SG&amp;A'!L27</f>
        <v>-652.57124531132786</v>
      </c>
      <c r="M9" s="27">
        <f>'SG&amp;A'!M27</f>
        <v>-3038.4010494623658</v>
      </c>
      <c r="O9" s="11">
        <f t="shared" si="0"/>
        <v>0.12076763167184268</v>
      </c>
    </row>
    <row r="10" spans="2:15">
      <c r="B10" s="23" t="s">
        <v>96</v>
      </c>
      <c r="C10" s="55">
        <f>SUM(C8:C9)</f>
        <v>192.25</v>
      </c>
      <c r="D10" s="55">
        <f t="shared" ref="D10:G10" si="2">SUM(D8:D9)</f>
        <v>1177.29</v>
      </c>
      <c r="E10" s="55">
        <f t="shared" si="2"/>
        <v>1561.6399999999999</v>
      </c>
      <c r="F10" s="55">
        <f t="shared" si="2"/>
        <v>615.52333333333308</v>
      </c>
      <c r="G10" s="55">
        <f t="shared" si="2"/>
        <v>3546.703333333332</v>
      </c>
      <c r="I10" s="55">
        <f>I8+I9</f>
        <v>461.53517821330342</v>
      </c>
      <c r="J10" s="55">
        <f>J8+J9</f>
        <v>1826.466429371093</v>
      </c>
      <c r="K10" s="55">
        <f>K8+K9</f>
        <v>2299.4940739634912</v>
      </c>
      <c r="L10" s="55">
        <f>L8+L9</f>
        <v>938.4507991510377</v>
      </c>
      <c r="M10" s="55">
        <f>M8+M9</f>
        <v>5525.9464806989254</v>
      </c>
      <c r="O10" s="56">
        <f t="shared" si="0"/>
        <v>0.55805150906304379</v>
      </c>
    </row>
    <row r="11" spans="2:15">
      <c r="B11" s="2" t="s">
        <v>92</v>
      </c>
      <c r="C11" s="57">
        <f>'Fixed Assets'!C13</f>
        <v>-50</v>
      </c>
      <c r="D11" s="57">
        <f>'Fixed Assets'!D13</f>
        <v>-52.375</v>
      </c>
      <c r="E11" s="57">
        <f>'Fixed Assets'!E13</f>
        <v>-61.15625</v>
      </c>
      <c r="F11" s="57">
        <f>'Fixed Assets'!F13</f>
        <v>-70.3984375</v>
      </c>
      <c r="G11" s="57">
        <f>SUM(C11:F11)</f>
        <v>-233.9296875</v>
      </c>
      <c r="I11" s="57">
        <f>'Fixed Assets'!I13</f>
        <v>-72.703515625000009</v>
      </c>
      <c r="J11" s="57">
        <f>'Fixed Assets'!J13</f>
        <v>-75.124746295362911</v>
      </c>
      <c r="K11" s="57">
        <f>'Fixed Assets'!K13</f>
        <v>-85.531182528981873</v>
      </c>
      <c r="L11" s="57">
        <f>'Fixed Assets'!L13</f>
        <v>-96.535402757371486</v>
      </c>
      <c r="M11" s="57">
        <f>'Fixed Assets'!M13</f>
        <v>-329.89484720671629</v>
      </c>
      <c r="O11" s="58">
        <f t="shared" si="0"/>
        <v>0.41023078657648493</v>
      </c>
    </row>
    <row r="12" spans="2:15">
      <c r="B12" s="23" t="s">
        <v>97</v>
      </c>
      <c r="C12" s="55">
        <f>SUM(C10:C11)</f>
        <v>142.25</v>
      </c>
      <c r="D12" s="55">
        <f t="shared" ref="D12:G12" si="3">SUM(D10:D11)</f>
        <v>1124.915</v>
      </c>
      <c r="E12" s="55">
        <f t="shared" si="3"/>
        <v>1500.4837499999999</v>
      </c>
      <c r="F12" s="55">
        <f t="shared" si="3"/>
        <v>545.12489583333308</v>
      </c>
      <c r="G12" s="55">
        <f t="shared" si="3"/>
        <v>3312.773645833332</v>
      </c>
      <c r="I12" s="55">
        <f>I10+I11</f>
        <v>388.8316625883034</v>
      </c>
      <c r="J12" s="55">
        <f>J10+J11</f>
        <v>1751.3416830757301</v>
      </c>
      <c r="K12" s="55">
        <f>K10+K11</f>
        <v>2213.9628914345094</v>
      </c>
      <c r="L12" s="55">
        <f>L10+L11</f>
        <v>841.91539639366624</v>
      </c>
      <c r="M12" s="55">
        <f>M10+M11</f>
        <v>5196.0516334922095</v>
      </c>
      <c r="O12" s="56">
        <f t="shared" si="0"/>
        <v>0.56848978801421746</v>
      </c>
    </row>
    <row r="13" spans="2:15">
      <c r="B13" s="2" t="s">
        <v>98</v>
      </c>
      <c r="C13" s="27">
        <f>-C14*C12</f>
        <v>-21.337499999999999</v>
      </c>
      <c r="D13" s="27">
        <f>-D14*D12</f>
        <v>-168.73724999999999</v>
      </c>
      <c r="E13" s="27">
        <f>-E14*E12</f>
        <v>-225.07256249999998</v>
      </c>
      <c r="F13" s="27">
        <f>-F14*F12</f>
        <v>-81.768734374999966</v>
      </c>
      <c r="G13" s="27">
        <f>SUM(C13:F13)</f>
        <v>-496.91604687499995</v>
      </c>
      <c r="I13" s="27">
        <f>-I12*I14</f>
        <v>-58.324749388245507</v>
      </c>
      <c r="J13" s="27">
        <f>-J12*J14</f>
        <v>-262.7012524613595</v>
      </c>
      <c r="K13" s="27">
        <f>-K12*K14</f>
        <v>-332.09443371517642</v>
      </c>
      <c r="L13" s="27">
        <f>-L12*L14</f>
        <v>-126.28730945904994</v>
      </c>
      <c r="M13" s="27">
        <f>-M12*M14</f>
        <v>-779.40774502383135</v>
      </c>
      <c r="O13" s="11">
        <f t="shared" si="0"/>
        <v>0.56848978801421701</v>
      </c>
    </row>
    <row r="14" spans="2:15">
      <c r="B14" s="46" t="s">
        <v>99</v>
      </c>
      <c r="C14" s="48">
        <v>0.15</v>
      </c>
      <c r="D14" s="48">
        <v>0.15</v>
      </c>
      <c r="E14" s="48">
        <v>0.15</v>
      </c>
      <c r="F14" s="48">
        <v>0.15</v>
      </c>
      <c r="G14" s="48">
        <v>0.15</v>
      </c>
      <c r="I14" s="48">
        <f>C14</f>
        <v>0.15</v>
      </c>
      <c r="J14" s="48">
        <f>D14</f>
        <v>0.15</v>
      </c>
      <c r="K14" s="48">
        <f>E14</f>
        <v>0.15</v>
      </c>
      <c r="L14" s="48">
        <f>F14</f>
        <v>0.15</v>
      </c>
      <c r="M14" s="48">
        <f>G14</f>
        <v>0.15</v>
      </c>
      <c r="O14" s="59">
        <f t="shared" si="0"/>
        <v>0</v>
      </c>
    </row>
    <row r="15" spans="2:15" ht="12.75" thickBot="1">
      <c r="B15" s="14" t="s">
        <v>100</v>
      </c>
      <c r="C15" s="33">
        <f>C12+C13</f>
        <v>120.91249999999999</v>
      </c>
      <c r="D15" s="33">
        <f t="shared" ref="D15:G15" si="4">D12+D13</f>
        <v>956.17774999999995</v>
      </c>
      <c r="E15" s="33">
        <f t="shared" si="4"/>
        <v>1275.4111874999999</v>
      </c>
      <c r="F15" s="33">
        <f t="shared" si="4"/>
        <v>463.35616145833313</v>
      </c>
      <c r="G15" s="33">
        <f t="shared" si="4"/>
        <v>2815.8575989583319</v>
      </c>
      <c r="I15" s="33">
        <f>I12+I13</f>
        <v>330.50691320005791</v>
      </c>
      <c r="J15" s="33">
        <f>J12+J13</f>
        <v>1488.6404306143706</v>
      </c>
      <c r="K15" s="33">
        <f>K12+K13</f>
        <v>1881.868457719333</v>
      </c>
      <c r="L15" s="33">
        <f>L12+L13</f>
        <v>715.62808693461625</v>
      </c>
      <c r="M15" s="33">
        <f>M12+M13</f>
        <v>4416.6438884683785</v>
      </c>
      <c r="O15" s="16">
        <f t="shared" si="0"/>
        <v>0.5684897880142179</v>
      </c>
    </row>
  </sheetData>
  <mergeCells count="2">
    <mergeCell ref="C4:G4"/>
    <mergeCell ref="I4:O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B1:L26"/>
  <sheetViews>
    <sheetView zoomScale="160" zoomScaleNormal="160" workbookViewId="0">
      <selection activeCell="D30" sqref="D30"/>
    </sheetView>
  </sheetViews>
  <sheetFormatPr defaultRowHeight="12" outlineLevelRow="1"/>
  <cols>
    <col min="1" max="1" width="2" style="2" customWidth="1"/>
    <col min="2" max="2" width="23.28515625" style="2" bestFit="1" customWidth="1"/>
    <col min="3" max="6" width="9.140625" style="2"/>
    <col min="7" max="7" width="1.5703125" style="2" customWidth="1"/>
    <col min="8" max="16384" width="9.140625" style="2"/>
  </cols>
  <sheetData>
    <row r="1" spans="2:11" ht="15.75">
      <c r="B1" s="3" t="s">
        <v>102</v>
      </c>
    </row>
    <row r="2" spans="2:11" ht="15.75">
      <c r="B2" s="3"/>
    </row>
    <row r="3" spans="2:11">
      <c r="C3" s="65" t="s">
        <v>64</v>
      </c>
      <c r="D3" s="65"/>
      <c r="E3" s="65"/>
      <c r="F3" s="65"/>
      <c r="H3" s="65" t="s">
        <v>65</v>
      </c>
      <c r="I3" s="65"/>
      <c r="J3" s="65"/>
      <c r="K3" s="65"/>
    </row>
    <row r="4" spans="2:11" ht="12.75" thickBot="1">
      <c r="B4" s="7" t="s">
        <v>4</v>
      </c>
      <c r="C4" s="8" t="s">
        <v>5</v>
      </c>
      <c r="D4" s="8" t="s">
        <v>6</v>
      </c>
      <c r="E4" s="8" t="s">
        <v>7</v>
      </c>
      <c r="F4" s="8" t="s">
        <v>8</v>
      </c>
      <c r="H4" s="8" t="s">
        <v>5</v>
      </c>
      <c r="I4" s="8" t="s">
        <v>6</v>
      </c>
      <c r="J4" s="8" t="s">
        <v>7</v>
      </c>
      <c r="K4" s="8" t="s">
        <v>8</v>
      </c>
    </row>
    <row r="5" spans="2:11">
      <c r="B5" s="2" t="s">
        <v>103</v>
      </c>
      <c r="C5" s="27">
        <f>478-346+121+72+435+113+0.11-146.3322+153-0.199</f>
        <v>879.57880000000011</v>
      </c>
      <c r="D5" s="29">
        <f>'Cash Flow'!D17+C5</f>
        <v>983.63377222222232</v>
      </c>
      <c r="E5" s="29">
        <f>'Cash Flow'!E17+D5</f>
        <v>1923.6345430555557</v>
      </c>
      <c r="F5" s="29">
        <f>'Cash Flow'!F17+E5</f>
        <v>3007.3595123842592</v>
      </c>
      <c r="H5" s="29"/>
      <c r="I5" s="29"/>
      <c r="J5" s="29"/>
      <c r="K5" s="29"/>
    </row>
    <row r="6" spans="2:11">
      <c r="B6" s="2" t="s">
        <v>79</v>
      </c>
      <c r="C6" s="27">
        <f>'Working Capital'!C10</f>
        <v>650</v>
      </c>
      <c r="D6" s="27">
        <f>'Working Capital'!D10</f>
        <v>1520</v>
      </c>
      <c r="E6" s="27">
        <f>'Working Capital'!E10</f>
        <v>1640</v>
      </c>
      <c r="F6" s="27">
        <f>'Working Capital'!F10</f>
        <v>776.66666666666652</v>
      </c>
      <c r="H6" s="27">
        <f>'Working Capital'!I10</f>
        <v>807.52086021505363</v>
      </c>
      <c r="I6" s="27">
        <f>'Working Capital'!J10</f>
        <v>1888.3564731182796</v>
      </c>
      <c r="J6" s="27">
        <f>'Working Capital'!K10</f>
        <v>2037.4372473118281</v>
      </c>
      <c r="K6" s="27">
        <f>'Working Capital'!L10</f>
        <v>964.88389964157705</v>
      </c>
    </row>
    <row r="7" spans="2:11">
      <c r="B7" s="2" t="s">
        <v>83</v>
      </c>
      <c r="C7" s="27">
        <f>'Working Capital'!C16</f>
        <v>32</v>
      </c>
      <c r="D7" s="27">
        <f>'Working Capital'!D16</f>
        <v>121.6</v>
      </c>
      <c r="E7" s="27">
        <f>'Working Capital'!E16</f>
        <v>131.19999999999999</v>
      </c>
      <c r="F7" s="27">
        <f>'Working Capital'!F16</f>
        <v>35.200000000000003</v>
      </c>
      <c r="H7" s="27">
        <f>'Working Capital'!I16</f>
        <v>60.564064516129029</v>
      </c>
      <c r="I7" s="27">
        <f>'Working Capital'!J16</f>
        <v>141.62673548387096</v>
      </c>
      <c r="J7" s="27">
        <f>'Working Capital'!K16</f>
        <v>152.80779354838711</v>
      </c>
      <c r="K7" s="27">
        <f>'Working Capital'!L16</f>
        <v>72.366292473118278</v>
      </c>
    </row>
    <row r="8" spans="2:11" ht="3.75" customHeight="1"/>
    <row r="9" spans="2:11">
      <c r="B9" s="2" t="s">
        <v>91</v>
      </c>
      <c r="C9" s="29">
        <f>'Fixed Assets'!C16</f>
        <v>1047.5</v>
      </c>
      <c r="D9" s="29">
        <f>'Fixed Assets'!D16</f>
        <v>1223.125</v>
      </c>
      <c r="E9" s="29">
        <f>'Fixed Assets'!E16</f>
        <v>1407.96875</v>
      </c>
      <c r="F9" s="29">
        <f>'Fixed Assets'!F16</f>
        <v>1454.0703125</v>
      </c>
      <c r="H9" s="29">
        <f>'Fixed Assets'!I16</f>
        <v>1502.4949259072582</v>
      </c>
      <c r="I9" s="29">
        <f>'Fixed Assets'!J16</f>
        <v>1710.6236505796373</v>
      </c>
      <c r="J9" s="29">
        <f>'Fixed Assets'!K16</f>
        <v>1930.7080551474296</v>
      </c>
      <c r="K9" s="29">
        <f>'Fixed Assets'!L16</f>
        <v>1978.9052373362945</v>
      </c>
    </row>
    <row r="10" spans="2:11" ht="3.75" customHeight="1"/>
    <row r="11" spans="2:11" ht="12.75" thickBot="1">
      <c r="B11" s="14" t="s">
        <v>104</v>
      </c>
      <c r="C11" s="33">
        <f>C9+C7+C6+C5</f>
        <v>2609.0788000000002</v>
      </c>
      <c r="D11" s="33">
        <f>D9+D7+D6+D5</f>
        <v>3848.3587722222223</v>
      </c>
      <c r="E11" s="33">
        <f>E9+E7+E6+E5</f>
        <v>5102.8032930555555</v>
      </c>
      <c r="F11" s="33">
        <f>F9+F7+F6+F5</f>
        <v>5273.2964915509256</v>
      </c>
      <c r="H11" s="33">
        <f t="shared" ref="H11:K11" si="0">H9+H7+H6+H5</f>
        <v>2370.5798506384408</v>
      </c>
      <c r="I11" s="33">
        <f t="shared" si="0"/>
        <v>3740.606859181788</v>
      </c>
      <c r="J11" s="33">
        <f t="shared" si="0"/>
        <v>4120.9530960076445</v>
      </c>
      <c r="K11" s="33">
        <f t="shared" si="0"/>
        <v>3016.1554294509897</v>
      </c>
    </row>
    <row r="13" spans="2:11">
      <c r="B13" s="2" t="s">
        <v>81</v>
      </c>
      <c r="C13" s="27">
        <f>'Working Capital'!C13</f>
        <v>288.16666666666669</v>
      </c>
      <c r="D13" s="27">
        <f>'Working Capital'!D13</f>
        <v>571.26888888888891</v>
      </c>
      <c r="E13" s="27">
        <f>'Working Capital'!E13</f>
        <v>550.30222222222233</v>
      </c>
      <c r="F13" s="27">
        <f>'Working Capital'!F13</f>
        <v>257.43925925925919</v>
      </c>
      <c r="H13" s="27">
        <f>'Working Capital'!I13</f>
        <v>319.91326206690559</v>
      </c>
      <c r="I13" s="27">
        <f>'Working Capital'!J13</f>
        <v>655.21082369175633</v>
      </c>
      <c r="J13" s="27">
        <f>'Working Capital'!K13</f>
        <v>630.79108229390681</v>
      </c>
      <c r="K13" s="27">
        <f>'Working Capital'!L13</f>
        <v>289.69547876941459</v>
      </c>
    </row>
    <row r="14" spans="2:11">
      <c r="B14" s="2" t="s">
        <v>105</v>
      </c>
      <c r="C14" s="2">
        <v>0</v>
      </c>
      <c r="D14" s="2">
        <v>0</v>
      </c>
      <c r="E14" s="2">
        <v>0</v>
      </c>
      <c r="F14" s="2">
        <v>0</v>
      </c>
      <c r="H14" s="2">
        <v>0</v>
      </c>
      <c r="I14" s="2">
        <v>0</v>
      </c>
      <c r="J14" s="2">
        <v>0</v>
      </c>
      <c r="K14" s="2">
        <v>0</v>
      </c>
    </row>
    <row r="15" spans="2:11">
      <c r="B15" s="2" t="s">
        <v>106</v>
      </c>
      <c r="C15" s="2">
        <v>0</v>
      </c>
      <c r="D15" s="2">
        <v>0</v>
      </c>
      <c r="E15" s="2">
        <v>0</v>
      </c>
      <c r="F15" s="2">
        <v>0</v>
      </c>
      <c r="H15" s="2">
        <v>0</v>
      </c>
      <c r="I15" s="2">
        <v>0</v>
      </c>
      <c r="J15" s="2">
        <v>0</v>
      </c>
      <c r="K15" s="2">
        <v>0</v>
      </c>
    </row>
    <row r="16" spans="2:11" ht="3.75" customHeight="1"/>
    <row r="17" spans="2:12">
      <c r="B17" s="2" t="s">
        <v>107</v>
      </c>
      <c r="C17" s="29">
        <f>2200+'Income Statement'!C15</f>
        <v>2320.9124999999999</v>
      </c>
      <c r="D17" s="29">
        <f>C17+'Income Statement'!D15</f>
        <v>3277.0902499999997</v>
      </c>
      <c r="E17" s="29">
        <f>D17+'Income Statement'!E15</f>
        <v>4552.5014374999992</v>
      </c>
      <c r="F17" s="29">
        <f>E17+'Income Statement'!F15</f>
        <v>5015.8575989583323</v>
      </c>
      <c r="H17" s="29">
        <f>F17+'Income Statement'!I15</f>
        <v>5346.3645121583904</v>
      </c>
      <c r="I17" s="29">
        <f>H17+'Income Statement'!J15</f>
        <v>6835.0049427727608</v>
      </c>
      <c r="J17" s="29">
        <f>I17+'Income Statement'!K15</f>
        <v>8716.8734004920934</v>
      </c>
      <c r="K17" s="29">
        <f>J17+'Income Statement'!L15</f>
        <v>9432.501487426709</v>
      </c>
    </row>
    <row r="18" spans="2:12" ht="3.75" customHeight="1"/>
    <row r="19" spans="2:12" ht="12.75" thickBot="1">
      <c r="B19" s="14" t="s">
        <v>108</v>
      </c>
      <c r="C19" s="33">
        <f>C17+C15+C14+C13</f>
        <v>2609.0791666666664</v>
      </c>
      <c r="D19" s="33">
        <f>D17+D15+D14+D13</f>
        <v>3848.3591388888885</v>
      </c>
      <c r="E19" s="33">
        <f>E17+E15+E14+E13</f>
        <v>5102.8036597222217</v>
      </c>
      <c r="F19" s="33">
        <f>F17+F15+F14+F13</f>
        <v>5273.2968582175918</v>
      </c>
      <c r="H19" s="33">
        <f t="shared" ref="H19:K19" si="1">H17+H15+H14+H13</f>
        <v>5666.2777742252956</v>
      </c>
      <c r="I19" s="33">
        <f t="shared" si="1"/>
        <v>7490.2157664645174</v>
      </c>
      <c r="J19" s="33">
        <f t="shared" si="1"/>
        <v>9347.664482786</v>
      </c>
      <c r="K19" s="33">
        <f t="shared" si="1"/>
        <v>9722.196966196123</v>
      </c>
    </row>
    <row r="21" spans="2:12" outlineLevel="1">
      <c r="B21" s="60" t="s">
        <v>109</v>
      </c>
      <c r="C21" s="62">
        <f>C11-C19</f>
        <v>-3.6666666619566968E-4</v>
      </c>
      <c r="D21" s="62">
        <f>D11-D19</f>
        <v>-3.6666666619566968E-4</v>
      </c>
      <c r="E21" s="62">
        <f>E11-E19</f>
        <v>-3.6666666619566968E-4</v>
      </c>
      <c r="F21" s="62">
        <f>F11-F19</f>
        <v>-3.6666666619566968E-4</v>
      </c>
      <c r="G21" s="63"/>
      <c r="H21" s="63">
        <f>H11-H19</f>
        <v>-3295.6979235868548</v>
      </c>
      <c r="I21" s="63">
        <f>I11-I19</f>
        <v>-3749.6089072827294</v>
      </c>
      <c r="J21" s="63">
        <f>J11-J19</f>
        <v>-5226.7113867783555</v>
      </c>
      <c r="K21" s="63">
        <f>K11-K19</f>
        <v>-6706.0415367451333</v>
      </c>
      <c r="L21" s="53"/>
    </row>
    <row r="22" spans="2:12">
      <c r="C22" s="64"/>
      <c r="D22" s="64"/>
      <c r="E22" s="64"/>
      <c r="F22" s="64"/>
      <c r="G22" s="64"/>
      <c r="H22" s="64"/>
      <c r="I22" s="64"/>
      <c r="J22" s="64"/>
      <c r="K22" s="64"/>
      <c r="L22" s="53"/>
    </row>
    <row r="23" spans="2:12">
      <c r="C23" s="53"/>
      <c r="D23" s="53"/>
      <c r="E23" s="53"/>
      <c r="F23" s="53"/>
      <c r="G23" s="53"/>
      <c r="H23" s="53"/>
      <c r="I23" s="53"/>
      <c r="J23" s="53"/>
      <c r="K23" s="53"/>
      <c r="L23" s="53"/>
    </row>
    <row r="24" spans="2:12">
      <c r="D24" s="29"/>
    </row>
    <row r="26" spans="2:12">
      <c r="D26" s="29"/>
    </row>
  </sheetData>
  <mergeCells count="2">
    <mergeCell ref="C3:F3"/>
    <mergeCell ref="H3:K3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B1:L24"/>
  <sheetViews>
    <sheetView zoomScale="160" zoomScaleNormal="160" workbookViewId="0">
      <selection activeCell="L23" sqref="L23"/>
    </sheetView>
  </sheetViews>
  <sheetFormatPr defaultRowHeight="12"/>
  <cols>
    <col min="1" max="1" width="2" style="2" customWidth="1"/>
    <col min="2" max="2" width="27.42578125" style="2" bestFit="1" customWidth="1"/>
    <col min="3" max="6" width="9.140625" style="2"/>
    <col min="7" max="7" width="2.140625" style="2" customWidth="1"/>
    <col min="8" max="16384" width="9.140625" style="2"/>
  </cols>
  <sheetData>
    <row r="1" spans="2:12" ht="15.75">
      <c r="B1" s="3" t="s">
        <v>110</v>
      </c>
    </row>
    <row r="4" spans="2:12">
      <c r="C4" s="65" t="s">
        <v>64</v>
      </c>
      <c r="D4" s="65"/>
      <c r="E4" s="65"/>
      <c r="F4" s="65"/>
      <c r="H4" s="65" t="s">
        <v>65</v>
      </c>
      <c r="I4" s="65"/>
      <c r="J4" s="65"/>
      <c r="K4" s="65"/>
      <c r="L4" s="65"/>
    </row>
    <row r="5" spans="2:12" ht="12.75" thickBot="1">
      <c r="B5" s="7" t="s">
        <v>4</v>
      </c>
      <c r="C5" s="8" t="s">
        <v>5</v>
      </c>
      <c r="D5" s="8" t="s">
        <v>6</v>
      </c>
      <c r="E5" s="8" t="s">
        <v>7</v>
      </c>
      <c r="F5" s="8" t="s">
        <v>8</v>
      </c>
      <c r="H5" s="8" t="s">
        <v>5</v>
      </c>
      <c r="I5" s="8" t="s">
        <v>6</v>
      </c>
      <c r="J5" s="8" t="s">
        <v>7</v>
      </c>
      <c r="K5" s="8" t="s">
        <v>8</v>
      </c>
      <c r="L5" s="8" t="s">
        <v>9</v>
      </c>
    </row>
    <row r="6" spans="2:12">
      <c r="B6" s="12" t="s">
        <v>96</v>
      </c>
      <c r="C6" s="34"/>
      <c r="D6" s="34">
        <f>'Income Statement'!D10</f>
        <v>1177.29</v>
      </c>
      <c r="E6" s="34">
        <f>'Income Statement'!E10</f>
        <v>1561.6399999999999</v>
      </c>
      <c r="F6" s="34">
        <f>'Income Statement'!F10</f>
        <v>615.52333333333308</v>
      </c>
      <c r="G6" s="12"/>
      <c r="H6" s="34">
        <f>'Income Statement'!I10</f>
        <v>461.53517821330342</v>
      </c>
      <c r="I6" s="34">
        <f>'Income Statement'!J10</f>
        <v>1826.466429371093</v>
      </c>
      <c r="J6" s="34">
        <f>'Income Statement'!K10</f>
        <v>2299.4940739634912</v>
      </c>
      <c r="K6" s="34">
        <f>'Income Statement'!L10</f>
        <v>938.4507991510377</v>
      </c>
      <c r="L6" s="34">
        <f>SUM(H6:K6)</f>
        <v>5525.9464806989254</v>
      </c>
    </row>
    <row r="7" spans="2:12" ht="3.75" customHeight="1"/>
    <row r="8" spans="2:12">
      <c r="B8" s="2" t="s">
        <v>98</v>
      </c>
      <c r="C8" s="27"/>
      <c r="D8" s="27">
        <f>'Income Statement'!D13</f>
        <v>-168.73724999999999</v>
      </c>
      <c r="E8" s="27">
        <f>'Income Statement'!E13</f>
        <v>-225.07256249999998</v>
      </c>
      <c r="F8" s="27">
        <f>'Income Statement'!F13</f>
        <v>-81.768734374999966</v>
      </c>
      <c r="G8" s="27"/>
      <c r="H8" s="27">
        <f>'Income Statement'!I13</f>
        <v>-58.324749388245507</v>
      </c>
      <c r="I8" s="27">
        <f>'Income Statement'!J13</f>
        <v>-262.7012524613595</v>
      </c>
      <c r="J8" s="27">
        <f>'Income Statement'!K13</f>
        <v>-332.09443371517642</v>
      </c>
      <c r="K8" s="27">
        <f>'Income Statement'!L13</f>
        <v>-126.28730945904994</v>
      </c>
      <c r="L8" s="27">
        <f>SUM(H8:K8)</f>
        <v>-779.40774502383147</v>
      </c>
    </row>
    <row r="9" spans="2:12" ht="3.75" customHeight="1"/>
    <row r="10" spans="2:12">
      <c r="B10" s="2" t="s">
        <v>111</v>
      </c>
      <c r="C10" s="27"/>
      <c r="D10" s="27">
        <f>-('Working Capital'!D10-'Working Capital'!C10)</f>
        <v>-870</v>
      </c>
      <c r="E10" s="27">
        <f>-('Working Capital'!E10-'Working Capital'!D10)</f>
        <v>-120</v>
      </c>
      <c r="F10" s="27">
        <f>-('Working Capital'!F10-'Working Capital'!E10)</f>
        <v>863.33333333333348</v>
      </c>
      <c r="H10" s="27">
        <f>-('Balance Sheet'!H6-'Balance Sheet'!F6)</f>
        <v>-30.854193548387116</v>
      </c>
      <c r="I10" s="27">
        <f>-('Balance Sheet'!I6-'Balance Sheet'!H6)</f>
        <v>-1080.8356129032259</v>
      </c>
      <c r="J10" s="27">
        <f>-('Balance Sheet'!J6-'Balance Sheet'!I6)</f>
        <v>-149.08077419354845</v>
      </c>
      <c r="K10" s="27">
        <f>-('Balance Sheet'!K6-'Balance Sheet'!J6)</f>
        <v>1072.553347670251</v>
      </c>
      <c r="L10" s="27">
        <f t="shared" ref="L10:L12" si="0">SUM(H10:K10)</f>
        <v>-188.21723297491053</v>
      </c>
    </row>
    <row r="11" spans="2:12">
      <c r="B11" s="2" t="s">
        <v>112</v>
      </c>
      <c r="C11" s="27"/>
      <c r="D11" s="27">
        <f>-('Working Capital'!D16-'Working Capital'!C16)</f>
        <v>-89.6</v>
      </c>
      <c r="E11" s="27">
        <f>-('Working Capital'!E16-'Working Capital'!D16)</f>
        <v>-9.5999999999999943</v>
      </c>
      <c r="F11" s="27">
        <f>-('Working Capital'!F16-'Working Capital'!E16)</f>
        <v>95.999999999999986</v>
      </c>
      <c r="H11" s="27">
        <f>-('Balance Sheet'!H7-'Balance Sheet'!F7)</f>
        <v>-25.364064516129027</v>
      </c>
      <c r="I11" s="27">
        <f>-('Balance Sheet'!I7-'Balance Sheet'!H7)</f>
        <v>-81.062670967741923</v>
      </c>
      <c r="J11" s="27">
        <f>-('Balance Sheet'!J7-'Balance Sheet'!I7)</f>
        <v>-11.181058064516151</v>
      </c>
      <c r="K11" s="27">
        <f>-('Balance Sheet'!K7-'Balance Sheet'!J7)</f>
        <v>80.441501075268832</v>
      </c>
      <c r="L11" s="27">
        <f t="shared" si="0"/>
        <v>-37.166292473118261</v>
      </c>
    </row>
    <row r="12" spans="2:12">
      <c r="B12" s="2" t="s">
        <v>113</v>
      </c>
      <c r="C12" s="27"/>
      <c r="D12" s="27">
        <f>'Working Capital'!D13-'Working Capital'!C13</f>
        <v>283.10222222222222</v>
      </c>
      <c r="E12" s="27">
        <f>'Working Capital'!E13-'Working Capital'!D13</f>
        <v>-20.966666666666583</v>
      </c>
      <c r="F12" s="27">
        <f>'Working Capital'!F13-'Working Capital'!E13</f>
        <v>-292.86296296296314</v>
      </c>
      <c r="H12" s="27">
        <f>'Balance Sheet'!H13-'Balance Sheet'!F13</f>
        <v>62.4740028076464</v>
      </c>
      <c r="I12" s="27">
        <f>'Balance Sheet'!I13-'Balance Sheet'!H13</f>
        <v>335.29756162485074</v>
      </c>
      <c r="J12" s="27">
        <f>'Balance Sheet'!J13-'Balance Sheet'!I13</f>
        <v>-24.419741397849521</v>
      </c>
      <c r="K12" s="27">
        <f>'Balance Sheet'!K13-'Balance Sheet'!J13</f>
        <v>-341.09560352449222</v>
      </c>
      <c r="L12" s="27">
        <f t="shared" si="0"/>
        <v>32.256219510155404</v>
      </c>
    </row>
    <row r="14" spans="2:12">
      <c r="B14" s="2" t="s">
        <v>88</v>
      </c>
      <c r="D14" s="27">
        <f>-'Fixed Assets'!D10</f>
        <v>-228</v>
      </c>
      <c r="E14" s="27">
        <f>-'Fixed Assets'!E10</f>
        <v>-246</v>
      </c>
      <c r="F14" s="27">
        <f>-'Fixed Assets'!F10</f>
        <v>-116.49999999999999</v>
      </c>
      <c r="H14" s="27">
        <f>-'Fixed Assets'!I10</f>
        <v>-121.12812903225807</v>
      </c>
      <c r="I14" s="27">
        <f>-'Fixed Assets'!J10</f>
        <v>-283.25347096774198</v>
      </c>
      <c r="J14" s="27">
        <f>-'Fixed Assets'!K10</f>
        <v>-305.61558709677422</v>
      </c>
      <c r="K14" s="27">
        <f>-'Fixed Assets'!L10</f>
        <v>-144.73258494623656</v>
      </c>
      <c r="L14" s="27">
        <f t="shared" ref="L14:L15" si="1">SUM(H14:K14)</f>
        <v>-854.72977204301083</v>
      </c>
    </row>
    <row r="15" spans="2:12">
      <c r="B15" s="2" t="s">
        <v>114</v>
      </c>
      <c r="D15" s="29">
        <f>'Balance Sheet'!D17-'Balance Sheet'!C17-'Income Statement'!D15</f>
        <v>0</v>
      </c>
      <c r="E15" s="29">
        <f>'Balance Sheet'!E17-'Balance Sheet'!D17-'Income Statement'!E15</f>
        <v>0</v>
      </c>
      <c r="F15" s="29">
        <f>'Balance Sheet'!F17-'Balance Sheet'!E17-'Income Statement'!F15</f>
        <v>0</v>
      </c>
      <c r="H15" s="29">
        <f>'Balance Sheet'!H17-'Balance Sheet'!F17-'Income Statement'!I15</f>
        <v>0</v>
      </c>
      <c r="I15" s="29">
        <f>'Balance Sheet'!I17-'Balance Sheet'!H17-'Income Statement'!J15</f>
        <v>0</v>
      </c>
      <c r="J15" s="29">
        <f>'Balance Sheet'!J17-'Balance Sheet'!I17-'Income Statement'!K15</f>
        <v>0</v>
      </c>
      <c r="K15" s="29">
        <f>'Balance Sheet'!K17-'Balance Sheet'!J17-'Income Statement'!L15</f>
        <v>0</v>
      </c>
      <c r="L15" s="29">
        <f t="shared" si="1"/>
        <v>0</v>
      </c>
    </row>
    <row r="16" spans="2:12" ht="3.75" customHeight="1"/>
    <row r="17" spans="2:12" ht="12.75" thickBot="1">
      <c r="B17" s="14" t="s">
        <v>115</v>
      </c>
      <c r="C17" s="33"/>
      <c r="D17" s="33">
        <f>SUM(D6:D15)</f>
        <v>104.0549722222222</v>
      </c>
      <c r="E17" s="33">
        <f>SUM(E6:E15)</f>
        <v>940.00077083333326</v>
      </c>
      <c r="F17" s="33">
        <f>SUM(F6:F15)</f>
        <v>1083.7249693287035</v>
      </c>
      <c r="H17" s="33">
        <f>SUM(H6:H15)</f>
        <v>288.33804453593012</v>
      </c>
      <c r="I17" s="33">
        <f>SUM(I6:I15)</f>
        <v>453.91098369587445</v>
      </c>
      <c r="J17" s="33">
        <f>SUM(J6:J15)</f>
        <v>1477.1024794956265</v>
      </c>
      <c r="K17" s="33">
        <f>SUM(K6:K15)</f>
        <v>1479.3301499667789</v>
      </c>
      <c r="L17" s="33">
        <f>SUM(L6:L15)</f>
        <v>3698.681657694211</v>
      </c>
    </row>
    <row r="19" spans="2:12">
      <c r="D19" s="61"/>
      <c r="E19" s="61"/>
      <c r="F19" s="61"/>
    </row>
    <row r="20" spans="2:12">
      <c r="D20" s="61"/>
      <c r="E20" s="61"/>
      <c r="F20" s="61"/>
    </row>
    <row r="21" spans="2:12">
      <c r="D21" s="61"/>
      <c r="E21" s="61"/>
      <c r="F21" s="61"/>
    </row>
    <row r="22" spans="2:12">
      <c r="D22" s="27"/>
    </row>
    <row r="24" spans="2:12">
      <c r="D24" s="29"/>
    </row>
  </sheetData>
  <mergeCells count="2">
    <mergeCell ref="C4:F4"/>
    <mergeCell ref="H4:L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002060"/>
  </sheetPr>
  <dimension ref="B11"/>
  <sheetViews>
    <sheetView workbookViewId="0"/>
  </sheetViews>
  <sheetFormatPr defaultRowHeight="15"/>
  <cols>
    <col min="1" max="1" width="2" style="1" customWidth="1"/>
    <col min="2" max="16384" width="9.140625" style="1"/>
  </cols>
  <sheetData>
    <row r="11" spans="2:2" ht="37.5">
      <c r="B11" s="4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1:O38"/>
  <sheetViews>
    <sheetView tabSelected="1" zoomScale="120" zoomScaleNormal="120" workbookViewId="0">
      <selection activeCell="I26" sqref="I26"/>
    </sheetView>
  </sheetViews>
  <sheetFormatPr defaultRowHeight="12"/>
  <cols>
    <col min="1" max="1" width="2" style="2" customWidth="1"/>
    <col min="2" max="2" width="24.28515625" style="2" customWidth="1"/>
    <col min="3" max="3" width="13.7109375" style="2" bestFit="1" customWidth="1"/>
    <col min="4" max="4" width="12.7109375" style="2" bestFit="1" customWidth="1"/>
    <col min="5" max="5" width="11.28515625" style="2" bestFit="1" customWidth="1"/>
    <col min="6" max="7" width="12.7109375" style="2" bestFit="1" customWidth="1"/>
    <col min="8" max="8" width="1.5703125" style="2" customWidth="1"/>
    <col min="9" max="9" width="12.7109375" style="2" bestFit="1" customWidth="1"/>
    <col min="10" max="11" width="11.28515625" style="2" bestFit="1" customWidth="1"/>
    <col min="12" max="13" width="12.7109375" style="2" bestFit="1" customWidth="1"/>
    <col min="14" max="14" width="3.140625" style="18" customWidth="1"/>
    <col min="15" max="16384" width="9.140625" style="2"/>
  </cols>
  <sheetData>
    <row r="1" spans="2:15" ht="15.75">
      <c r="B1" s="3" t="s">
        <v>2</v>
      </c>
    </row>
    <row r="3" spans="2:15" ht="12.75">
      <c r="B3" s="28" t="s">
        <v>12</v>
      </c>
    </row>
    <row r="4" spans="2:15">
      <c r="B4" s="5"/>
    </row>
    <row r="5" spans="2:15">
      <c r="C5" s="65" t="s">
        <v>3</v>
      </c>
      <c r="D5" s="65"/>
      <c r="E5" s="65"/>
      <c r="F5" s="65"/>
      <c r="G5" s="65"/>
      <c r="H5" s="6"/>
      <c r="I5" s="65" t="s">
        <v>11</v>
      </c>
      <c r="J5" s="65"/>
      <c r="K5" s="65"/>
      <c r="L5" s="65"/>
      <c r="M5" s="65"/>
      <c r="N5" s="65"/>
      <c r="O5" s="65"/>
    </row>
    <row r="6" spans="2:15" ht="12.75" thickBot="1">
      <c r="B6" s="7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6"/>
      <c r="I6" s="8" t="s">
        <v>5</v>
      </c>
      <c r="J6" s="8" t="s">
        <v>6</v>
      </c>
      <c r="K6" s="8" t="s">
        <v>7</v>
      </c>
      <c r="L6" s="8" t="s">
        <v>8</v>
      </c>
      <c r="M6" s="8" t="s">
        <v>9</v>
      </c>
      <c r="N6" s="19"/>
      <c r="O6" s="17" t="s">
        <v>13</v>
      </c>
    </row>
    <row r="7" spans="2:15">
      <c r="B7" s="2" t="s">
        <v>116</v>
      </c>
      <c r="C7" s="10">
        <v>125</v>
      </c>
      <c r="D7" s="10">
        <v>175</v>
      </c>
      <c r="E7" s="10">
        <v>160</v>
      </c>
      <c r="F7" s="10">
        <v>200</v>
      </c>
      <c r="G7" s="10">
        <f>SUM(C7:F7)</f>
        <v>660</v>
      </c>
      <c r="H7" s="9"/>
      <c r="I7" s="10">
        <f>(1+$O7)*C7</f>
        <v>143.75</v>
      </c>
      <c r="J7" s="10">
        <f t="shared" ref="J7:J9" si="0">(1+$O7)*D7</f>
        <v>201.24999999999997</v>
      </c>
      <c r="K7" s="10">
        <f t="shared" ref="K7:K9" si="1">(1+$O7)*E7</f>
        <v>184</v>
      </c>
      <c r="L7" s="10">
        <f t="shared" ref="L7:L9" si="2">(1+$O7)*F7</f>
        <v>229.99999999999997</v>
      </c>
      <c r="M7" s="10">
        <f t="shared" ref="M7:M9" si="3">(1+$O7)*G7</f>
        <v>758.99999999999989</v>
      </c>
      <c r="N7" s="20"/>
      <c r="O7" s="11">
        <v>0.15</v>
      </c>
    </row>
    <row r="8" spans="2:15">
      <c r="B8" s="2" t="s">
        <v>117</v>
      </c>
      <c r="C8" s="10">
        <v>40</v>
      </c>
      <c r="D8" s="10">
        <v>130</v>
      </c>
      <c r="E8" s="10">
        <v>160</v>
      </c>
      <c r="F8" s="10">
        <v>65</v>
      </c>
      <c r="G8" s="10">
        <f t="shared" ref="G8:G12" si="4">SUM(C8:F8)</f>
        <v>395</v>
      </c>
      <c r="H8" s="9"/>
      <c r="I8" s="10">
        <f>(1+$O8)*C8</f>
        <v>44.800000000000004</v>
      </c>
      <c r="J8" s="10">
        <f t="shared" si="0"/>
        <v>145.60000000000002</v>
      </c>
      <c r="K8" s="10">
        <f t="shared" si="1"/>
        <v>179.20000000000002</v>
      </c>
      <c r="L8" s="10">
        <f t="shared" si="2"/>
        <v>72.800000000000011</v>
      </c>
      <c r="M8" s="10">
        <f t="shared" si="3"/>
        <v>442.40000000000003</v>
      </c>
      <c r="N8" s="20"/>
      <c r="O8" s="11">
        <v>0.12</v>
      </c>
    </row>
    <row r="9" spans="2:15">
      <c r="B9" s="2" t="s">
        <v>118</v>
      </c>
      <c r="C9" s="10">
        <v>15</v>
      </c>
      <c r="D9" s="10">
        <v>25</v>
      </c>
      <c r="E9" s="10">
        <v>60</v>
      </c>
      <c r="F9" s="10">
        <v>70</v>
      </c>
      <c r="G9" s="10">
        <f t="shared" si="4"/>
        <v>170</v>
      </c>
      <c r="H9" s="9"/>
      <c r="I9" s="10">
        <f t="shared" ref="I9" si="5">(1+$O9)*C9</f>
        <v>16.5</v>
      </c>
      <c r="J9" s="10">
        <f t="shared" si="0"/>
        <v>27.500000000000004</v>
      </c>
      <c r="K9" s="10">
        <f t="shared" si="1"/>
        <v>66</v>
      </c>
      <c r="L9" s="10">
        <f t="shared" si="2"/>
        <v>77</v>
      </c>
      <c r="M9" s="10">
        <f t="shared" si="3"/>
        <v>187.00000000000003</v>
      </c>
      <c r="N9" s="20"/>
      <c r="O9" s="11">
        <v>0.1</v>
      </c>
    </row>
    <row r="10" spans="2:15">
      <c r="B10" s="2" t="s">
        <v>119</v>
      </c>
      <c r="C10" s="10">
        <v>5</v>
      </c>
      <c r="D10" s="10">
        <v>20</v>
      </c>
      <c r="E10" s="10">
        <v>45</v>
      </c>
      <c r="F10" s="10">
        <v>110</v>
      </c>
      <c r="G10" s="10">
        <f t="shared" si="4"/>
        <v>180</v>
      </c>
      <c r="H10" s="9"/>
      <c r="I10" s="10">
        <f>(1+$O10)*C10</f>
        <v>5.5</v>
      </c>
      <c r="J10" s="10">
        <f t="shared" ref="J10:J12" si="6">(1+$O10)*D10</f>
        <v>22</v>
      </c>
      <c r="K10" s="10">
        <f t="shared" ref="K10:K12" si="7">(1+$O10)*E10</f>
        <v>49.500000000000007</v>
      </c>
      <c r="L10" s="10">
        <f t="shared" ref="L10:L12" si="8">(1+$O10)*F10</f>
        <v>121.00000000000001</v>
      </c>
      <c r="M10" s="10">
        <f t="shared" ref="M10:M12" si="9">(1+$O10)*G10</f>
        <v>198.00000000000003</v>
      </c>
      <c r="N10" s="20"/>
      <c r="O10" s="11">
        <v>0.1</v>
      </c>
    </row>
    <row r="11" spans="2:15">
      <c r="B11" s="2" t="s">
        <v>120</v>
      </c>
      <c r="C11" s="10">
        <v>10</v>
      </c>
      <c r="D11" s="10">
        <v>25</v>
      </c>
      <c r="E11" s="10">
        <v>80</v>
      </c>
      <c r="F11" s="10">
        <v>150</v>
      </c>
      <c r="G11" s="10">
        <f t="shared" si="4"/>
        <v>265</v>
      </c>
      <c r="H11" s="9"/>
      <c r="I11" s="10">
        <f>(1+$O11)*C11</f>
        <v>12.2</v>
      </c>
      <c r="J11" s="10">
        <f t="shared" si="6"/>
        <v>30.5</v>
      </c>
      <c r="K11" s="10">
        <f t="shared" si="7"/>
        <v>97.6</v>
      </c>
      <c r="L11" s="10">
        <f t="shared" si="8"/>
        <v>183</v>
      </c>
      <c r="M11" s="10">
        <f t="shared" si="9"/>
        <v>323.3</v>
      </c>
      <c r="N11" s="20"/>
      <c r="O11" s="11">
        <v>0.22</v>
      </c>
    </row>
    <row r="12" spans="2:15">
      <c r="B12" s="2" t="s">
        <v>121</v>
      </c>
      <c r="C12" s="10">
        <v>25</v>
      </c>
      <c r="D12" s="10">
        <v>35</v>
      </c>
      <c r="E12" s="10">
        <v>55</v>
      </c>
      <c r="F12" s="10">
        <v>75</v>
      </c>
      <c r="G12" s="10">
        <f t="shared" si="4"/>
        <v>190</v>
      </c>
      <c r="H12" s="9"/>
      <c r="I12" s="10">
        <f>(1+$O12)*C12</f>
        <v>31</v>
      </c>
      <c r="J12" s="10">
        <f t="shared" si="6"/>
        <v>43.4</v>
      </c>
      <c r="K12" s="10">
        <f t="shared" si="7"/>
        <v>68.2</v>
      </c>
      <c r="L12" s="10">
        <f t="shared" si="8"/>
        <v>93</v>
      </c>
      <c r="M12" s="10">
        <f t="shared" si="9"/>
        <v>235.6</v>
      </c>
      <c r="N12" s="20"/>
      <c r="O12" s="11">
        <v>0.24</v>
      </c>
    </row>
    <row r="13" spans="2:15" ht="12.75" thickBot="1">
      <c r="B13" s="14" t="s">
        <v>10</v>
      </c>
      <c r="C13" s="15">
        <f>SUM(C7:C12)</f>
        <v>220</v>
      </c>
      <c r="D13" s="15">
        <f>SUM(D7:D12)</f>
        <v>410</v>
      </c>
      <c r="E13" s="15">
        <f>SUM(E7:E12)</f>
        <v>560</v>
      </c>
      <c r="F13" s="15">
        <f>SUM(F7:F12)</f>
        <v>670</v>
      </c>
      <c r="G13" s="15">
        <f>C13+D13+E13+F13</f>
        <v>1860</v>
      </c>
      <c r="H13" s="13"/>
      <c r="I13" s="15">
        <f>SUM(I7:I12)</f>
        <v>253.75</v>
      </c>
      <c r="J13" s="15">
        <f t="shared" ref="J13:M13" si="10">SUM(J7:J12)</f>
        <v>470.25</v>
      </c>
      <c r="K13" s="15">
        <f t="shared" si="10"/>
        <v>644.50000000000011</v>
      </c>
      <c r="L13" s="15">
        <f t="shared" si="10"/>
        <v>776.8</v>
      </c>
      <c r="M13" s="15">
        <f t="shared" si="10"/>
        <v>2145.2999999999997</v>
      </c>
      <c r="N13" s="21"/>
      <c r="O13" s="16">
        <f>M13/G13-1</f>
        <v>0.15338709677419349</v>
      </c>
    </row>
    <row r="15" spans="2:15" ht="12.75">
      <c r="B15" s="28" t="s">
        <v>14</v>
      </c>
    </row>
    <row r="17" spans="2:15">
      <c r="C17" s="65" t="s">
        <v>3</v>
      </c>
      <c r="D17" s="65"/>
      <c r="E17" s="65"/>
      <c r="F17" s="65"/>
      <c r="G17" s="65"/>
      <c r="H17" s="6"/>
      <c r="I17" s="65" t="s">
        <v>15</v>
      </c>
      <c r="J17" s="65"/>
      <c r="K17" s="65"/>
      <c r="L17" s="65"/>
      <c r="M17" s="65"/>
      <c r="N17" s="65"/>
      <c r="O17" s="65"/>
    </row>
    <row r="18" spans="2:15" ht="12.75" thickBot="1">
      <c r="B18" s="7" t="s">
        <v>4</v>
      </c>
      <c r="C18" s="8" t="s">
        <v>5</v>
      </c>
      <c r="D18" s="8" t="s">
        <v>6</v>
      </c>
      <c r="E18" s="8" t="s">
        <v>7</v>
      </c>
      <c r="F18" s="8" t="s">
        <v>8</v>
      </c>
      <c r="G18" s="8" t="s">
        <v>9</v>
      </c>
      <c r="H18" s="6"/>
      <c r="I18" s="8" t="s">
        <v>5</v>
      </c>
      <c r="J18" s="8" t="s">
        <v>6</v>
      </c>
      <c r="K18" s="8" t="s">
        <v>7</v>
      </c>
      <c r="L18" s="8" t="s">
        <v>8</v>
      </c>
      <c r="M18" s="8" t="s">
        <v>9</v>
      </c>
      <c r="N18" s="19"/>
      <c r="O18" s="17" t="s">
        <v>13</v>
      </c>
    </row>
    <row r="19" spans="2:15">
      <c r="B19" s="2" t="s">
        <v>16</v>
      </c>
      <c r="C19" s="10">
        <v>500000000</v>
      </c>
      <c r="D19" s="10">
        <v>600000000</v>
      </c>
      <c r="E19" s="10">
        <v>800000000</v>
      </c>
      <c r="F19" s="10">
        <v>1000000000</v>
      </c>
      <c r="G19" s="10">
        <f>SUM(C19:F19)</f>
        <v>2900000000</v>
      </c>
      <c r="I19" s="10">
        <f>(1+$O$19)*C19</f>
        <v>560000000</v>
      </c>
      <c r="J19" s="10">
        <f>(1+$O$19)*D19</f>
        <v>672000000.00000012</v>
      </c>
      <c r="K19" s="10">
        <f t="shared" ref="K19" si="11">(1+$O$19)*E19</f>
        <v>896000000.00000012</v>
      </c>
      <c r="L19" s="10">
        <f>(1+$O$19)*F19</f>
        <v>1120000000</v>
      </c>
      <c r="M19" s="10">
        <f>(1+$O$19)*G19</f>
        <v>3248000000.0000005</v>
      </c>
      <c r="O19" s="11">
        <v>0.12</v>
      </c>
    </row>
    <row r="20" spans="2:15">
      <c r="B20" s="2" t="s">
        <v>122</v>
      </c>
      <c r="C20" s="22">
        <v>5.0000000000000001E-4</v>
      </c>
      <c r="D20" s="22">
        <v>5.9999999999999995E-4</v>
      </c>
      <c r="E20" s="22">
        <v>8.0000000000000004E-4</v>
      </c>
      <c r="F20" s="22">
        <v>8.9999999999999998E-4</v>
      </c>
      <c r="G20" s="22">
        <f>SUM(C20:F20)</f>
        <v>2.7999999999999995E-3</v>
      </c>
      <c r="I20" s="22">
        <f>C20*(1+0.05)</f>
        <v>5.2500000000000008E-4</v>
      </c>
      <c r="J20" s="22">
        <f t="shared" ref="J20:M20" si="12">D20*(1+0.05)</f>
        <v>6.2999999999999992E-4</v>
      </c>
      <c r="K20" s="22">
        <f t="shared" si="12"/>
        <v>8.4000000000000003E-4</v>
      </c>
      <c r="L20" s="22">
        <f t="shared" si="12"/>
        <v>9.4499999999999998E-4</v>
      </c>
      <c r="M20" s="22">
        <f t="shared" si="12"/>
        <v>2.9399999999999995E-3</v>
      </c>
      <c r="O20" s="22"/>
    </row>
    <row r="21" spans="2:15" ht="12.75" thickBot="1">
      <c r="B21" s="14" t="s">
        <v>10</v>
      </c>
      <c r="C21" s="15">
        <f>C19*C20</f>
        <v>250000</v>
      </c>
      <c r="D21" s="15">
        <f t="shared" ref="D21:F21" si="13">D19*D20</f>
        <v>359999.99999999994</v>
      </c>
      <c r="E21" s="15">
        <f t="shared" si="13"/>
        <v>640000</v>
      </c>
      <c r="F21" s="15">
        <f t="shared" si="13"/>
        <v>900000</v>
      </c>
      <c r="G21" s="15">
        <f>G19*G20</f>
        <v>8119999.9999999991</v>
      </c>
      <c r="H21" s="13"/>
      <c r="I21" s="15">
        <f>I19*I20</f>
        <v>294000.00000000006</v>
      </c>
      <c r="J21" s="15">
        <f t="shared" ref="J21:L21" si="14">J19*J20</f>
        <v>423360</v>
      </c>
      <c r="K21" s="15">
        <f t="shared" si="14"/>
        <v>752640.00000000012</v>
      </c>
      <c r="L21" s="15">
        <f t="shared" si="14"/>
        <v>1058400</v>
      </c>
      <c r="M21" s="15">
        <f>M19*M20</f>
        <v>9549120</v>
      </c>
      <c r="N21" s="21"/>
      <c r="O21" s="16">
        <f>M21/G21-1</f>
        <v>0.17600000000000016</v>
      </c>
    </row>
    <row r="23" spans="2:15">
      <c r="B23" s="12" t="s">
        <v>17</v>
      </c>
    </row>
    <row r="24" spans="2:15">
      <c r="B24" s="2" t="s">
        <v>18</v>
      </c>
      <c r="C24" s="22">
        <f>O13</f>
        <v>0.15338709677419349</v>
      </c>
    </row>
    <row r="25" spans="2:15">
      <c r="B25" s="2" t="s">
        <v>14</v>
      </c>
      <c r="C25" s="22">
        <f>O21</f>
        <v>0.17600000000000016</v>
      </c>
    </row>
    <row r="26" spans="2:15">
      <c r="B26" s="23" t="s">
        <v>19</v>
      </c>
      <c r="C26" s="24">
        <f>AVERAGE(C24:C25)</f>
        <v>0.16469354838709682</v>
      </c>
    </row>
    <row r="27" spans="2:15">
      <c r="B27" s="25"/>
      <c r="C27" s="26"/>
    </row>
    <row r="28" spans="2:15" ht="12.75">
      <c r="B28" s="28" t="s">
        <v>20</v>
      </c>
    </row>
    <row r="30" spans="2:15">
      <c r="C30" s="65" t="s">
        <v>3</v>
      </c>
      <c r="D30" s="65"/>
      <c r="E30" s="65"/>
      <c r="F30" s="65"/>
      <c r="G30" s="65"/>
      <c r="H30" s="6"/>
      <c r="I30" s="65" t="s">
        <v>20</v>
      </c>
      <c r="J30" s="65"/>
      <c r="K30" s="65"/>
      <c r="L30" s="65"/>
      <c r="M30" s="65"/>
      <c r="N30" s="65"/>
      <c r="O30" s="65"/>
    </row>
    <row r="31" spans="2:15" ht="12.75" thickBot="1">
      <c r="B31" s="7" t="s">
        <v>4</v>
      </c>
      <c r="C31" s="8" t="s">
        <v>5</v>
      </c>
      <c r="D31" s="8" t="s">
        <v>6</v>
      </c>
      <c r="E31" s="8" t="s">
        <v>7</v>
      </c>
      <c r="F31" s="8" t="s">
        <v>8</v>
      </c>
      <c r="G31" s="8" t="s">
        <v>9</v>
      </c>
      <c r="H31" s="6"/>
      <c r="I31" s="8" t="s">
        <v>5</v>
      </c>
      <c r="J31" s="8" t="s">
        <v>6</v>
      </c>
      <c r="K31" s="8" t="s">
        <v>7</v>
      </c>
      <c r="L31" s="8" t="s">
        <v>8</v>
      </c>
      <c r="M31" s="8" t="s">
        <v>9</v>
      </c>
      <c r="N31" s="19"/>
      <c r="O31" s="17" t="s">
        <v>13</v>
      </c>
    </row>
    <row r="32" spans="2:15">
      <c r="B32" s="2" t="s">
        <v>23</v>
      </c>
      <c r="C32" s="10">
        <v>195</v>
      </c>
      <c r="D32" s="10">
        <v>456</v>
      </c>
      <c r="E32" s="10">
        <v>492</v>
      </c>
      <c r="F32" s="10">
        <v>233</v>
      </c>
      <c r="G32" s="10">
        <v>1376</v>
      </c>
      <c r="I32" s="10">
        <f>(1+$C$26)*C32</f>
        <v>227.11524193548388</v>
      </c>
      <c r="J32" s="10">
        <f t="shared" ref="J32:M32" si="15">(1+$C$26)*D32</f>
        <v>531.1002580645162</v>
      </c>
      <c r="K32" s="10">
        <f t="shared" si="15"/>
        <v>573.02922580645168</v>
      </c>
      <c r="L32" s="10">
        <f t="shared" si="15"/>
        <v>271.37359677419357</v>
      </c>
      <c r="M32" s="10">
        <f t="shared" si="15"/>
        <v>1602.6183225806453</v>
      </c>
      <c r="O32" s="11">
        <f>M32/G32-1</f>
        <v>0.16469354838709682</v>
      </c>
    </row>
    <row r="33" spans="2:13">
      <c r="C33" s="40"/>
      <c r="D33" s="40"/>
      <c r="E33" s="40"/>
      <c r="F33" s="40"/>
      <c r="G33" s="40"/>
    </row>
    <row r="34" spans="2:13">
      <c r="B34" s="2" t="s">
        <v>21</v>
      </c>
      <c r="C34" s="40">
        <v>130</v>
      </c>
      <c r="D34" s="40">
        <v>304</v>
      </c>
      <c r="E34" s="40">
        <v>328</v>
      </c>
      <c r="F34" s="40">
        <v>155.33333333333331</v>
      </c>
      <c r="G34" s="10">
        <v>917.33333333333326</v>
      </c>
      <c r="I34" s="27">
        <f>I32*I37</f>
        <v>151.41016129032258</v>
      </c>
      <c r="J34" s="27">
        <f t="shared" ref="J34:M34" si="16">J32*J37</f>
        <v>354.06683870967743</v>
      </c>
      <c r="K34" s="27">
        <f t="shared" si="16"/>
        <v>382.01948387096775</v>
      </c>
      <c r="L34" s="27">
        <f t="shared" si="16"/>
        <v>180.9157311827957</v>
      </c>
      <c r="M34" s="27">
        <f t="shared" si="16"/>
        <v>1068.4122150537635</v>
      </c>
    </row>
    <row r="35" spans="2:13">
      <c r="B35" s="2" t="s">
        <v>22</v>
      </c>
      <c r="C35" s="40">
        <v>65</v>
      </c>
      <c r="D35" s="40">
        <v>152</v>
      </c>
      <c r="E35" s="40">
        <v>164</v>
      </c>
      <c r="F35" s="40">
        <v>77.666666666666657</v>
      </c>
      <c r="G35" s="10">
        <v>458.66666666666663</v>
      </c>
      <c r="I35" s="27">
        <f>I38*I32</f>
        <v>75.705080645161289</v>
      </c>
      <c r="J35" s="27">
        <f t="shared" ref="J35:M35" si="17">J38*J32</f>
        <v>177.03341935483871</v>
      </c>
      <c r="K35" s="27">
        <f t="shared" si="17"/>
        <v>191.00974193548387</v>
      </c>
      <c r="L35" s="27">
        <f t="shared" si="17"/>
        <v>90.457865591397848</v>
      </c>
      <c r="M35" s="27">
        <f t="shared" si="17"/>
        <v>534.20610752688174</v>
      </c>
    </row>
    <row r="37" spans="2:13">
      <c r="B37" s="2" t="s">
        <v>21</v>
      </c>
      <c r="C37" s="11">
        <f>C34/C$32</f>
        <v>0.66666666666666663</v>
      </c>
      <c r="D37" s="11">
        <f t="shared" ref="D37:G37" si="18">D34/D$32</f>
        <v>0.66666666666666663</v>
      </c>
      <c r="E37" s="11">
        <f t="shared" si="18"/>
        <v>0.66666666666666663</v>
      </c>
      <c r="F37" s="11">
        <f t="shared" si="18"/>
        <v>0.66666666666666663</v>
      </c>
      <c r="G37" s="11">
        <f t="shared" si="18"/>
        <v>0.66666666666666663</v>
      </c>
      <c r="I37" s="22">
        <f>C37</f>
        <v>0.66666666666666663</v>
      </c>
      <c r="J37" s="22">
        <f t="shared" ref="J37:J38" si="19">D37</f>
        <v>0.66666666666666663</v>
      </c>
      <c r="K37" s="22">
        <f t="shared" ref="K37:K38" si="20">E37</f>
        <v>0.66666666666666663</v>
      </c>
      <c r="L37" s="22">
        <f t="shared" ref="L37:L38" si="21">F37</f>
        <v>0.66666666666666663</v>
      </c>
      <c r="M37" s="22">
        <f t="shared" ref="M37:M38" si="22">G37</f>
        <v>0.66666666666666663</v>
      </c>
    </row>
    <row r="38" spans="2:13">
      <c r="B38" s="2" t="s">
        <v>22</v>
      </c>
      <c r="C38" s="11">
        <f t="shared" ref="C38:G38" si="23">C35/C$32</f>
        <v>0.33333333333333331</v>
      </c>
      <c r="D38" s="11">
        <f t="shared" si="23"/>
        <v>0.33333333333333331</v>
      </c>
      <c r="E38" s="11">
        <f t="shared" si="23"/>
        <v>0.33333333333333331</v>
      </c>
      <c r="F38" s="11">
        <f t="shared" si="23"/>
        <v>0.33333333333333331</v>
      </c>
      <c r="G38" s="11">
        <f t="shared" si="23"/>
        <v>0.33333333333333331</v>
      </c>
      <c r="I38" s="22">
        <f t="shared" ref="I38" si="24">C38</f>
        <v>0.33333333333333331</v>
      </c>
      <c r="J38" s="22">
        <f t="shared" si="19"/>
        <v>0.33333333333333331</v>
      </c>
      <c r="K38" s="22">
        <f t="shared" si="20"/>
        <v>0.33333333333333331</v>
      </c>
      <c r="L38" s="22">
        <f t="shared" si="21"/>
        <v>0.33333333333333331</v>
      </c>
      <c r="M38" s="22">
        <f t="shared" si="22"/>
        <v>0.33333333333333331</v>
      </c>
    </row>
  </sheetData>
  <mergeCells count="6">
    <mergeCell ref="C5:G5"/>
    <mergeCell ref="I5:O5"/>
    <mergeCell ref="C17:G17"/>
    <mergeCell ref="I17:O17"/>
    <mergeCell ref="C30:G30"/>
    <mergeCell ref="I30:O3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1:O20"/>
  <sheetViews>
    <sheetView zoomScale="160" zoomScaleNormal="160" workbookViewId="0">
      <selection activeCell="I20" sqref="I20"/>
    </sheetView>
  </sheetViews>
  <sheetFormatPr defaultRowHeight="12"/>
  <cols>
    <col min="1" max="1" width="2" style="2" customWidth="1"/>
    <col min="2" max="2" width="18.42578125" style="2" customWidth="1"/>
    <col min="3" max="7" width="9.140625" style="2"/>
    <col min="8" max="8" width="1.5703125" style="2" customWidth="1"/>
    <col min="9" max="16384" width="9.140625" style="2"/>
  </cols>
  <sheetData>
    <row r="1" spans="2:15" ht="15.75">
      <c r="B1" s="3" t="s">
        <v>24</v>
      </c>
    </row>
    <row r="4" spans="2:15">
      <c r="C4" s="65" t="s">
        <v>3</v>
      </c>
      <c r="D4" s="65"/>
      <c r="E4" s="65"/>
      <c r="F4" s="65"/>
      <c r="G4" s="65"/>
      <c r="H4" s="6"/>
      <c r="I4" s="65" t="s">
        <v>20</v>
      </c>
      <c r="J4" s="65"/>
      <c r="K4" s="65"/>
      <c r="L4" s="65"/>
      <c r="M4" s="65"/>
      <c r="N4" s="65"/>
      <c r="O4" s="65"/>
    </row>
    <row r="5" spans="2:15" ht="12.75" thickBot="1">
      <c r="B5" s="7" t="s">
        <v>4</v>
      </c>
      <c r="C5" s="8" t="s">
        <v>5</v>
      </c>
      <c r="D5" s="8" t="s">
        <v>6</v>
      </c>
      <c r="E5" s="8" t="s">
        <v>7</v>
      </c>
      <c r="F5" s="8" t="s">
        <v>8</v>
      </c>
      <c r="G5" s="8" t="s">
        <v>9</v>
      </c>
      <c r="H5" s="6"/>
      <c r="I5" s="8" t="s">
        <v>5</v>
      </c>
      <c r="J5" s="8" t="s">
        <v>6</v>
      </c>
      <c r="K5" s="8" t="s">
        <v>7</v>
      </c>
      <c r="L5" s="8" t="s">
        <v>8</v>
      </c>
      <c r="M5" s="8" t="s">
        <v>9</v>
      </c>
      <c r="N5" s="19"/>
      <c r="O5" s="17" t="s">
        <v>13</v>
      </c>
    </row>
    <row r="6" spans="2:15">
      <c r="B6" s="2" t="s">
        <v>23</v>
      </c>
      <c r="C6" s="10">
        <f>'Volume Forecast'!C32</f>
        <v>195</v>
      </c>
      <c r="D6" s="10">
        <f>'Volume Forecast'!D32</f>
        <v>456</v>
      </c>
      <c r="E6" s="10">
        <f>'Volume Forecast'!E32</f>
        <v>492</v>
      </c>
      <c r="F6" s="10">
        <f>'Volume Forecast'!F32</f>
        <v>233</v>
      </c>
      <c r="G6" s="10">
        <f>'Volume Forecast'!G32</f>
        <v>1376</v>
      </c>
      <c r="I6" s="10">
        <f>'Volume Forecast'!I32</f>
        <v>227.11524193548388</v>
      </c>
      <c r="J6" s="10">
        <f>'Volume Forecast'!J32</f>
        <v>531.1002580645162</v>
      </c>
      <c r="K6" s="10">
        <f>'Volume Forecast'!K32</f>
        <v>573.02922580645168</v>
      </c>
      <c r="L6" s="10">
        <f>'Volume Forecast'!L32</f>
        <v>271.37359677419357</v>
      </c>
      <c r="M6" s="10">
        <f>'Volume Forecast'!M32</f>
        <v>1602.6183225806453</v>
      </c>
      <c r="N6" s="18"/>
      <c r="O6" s="11">
        <f>M6/G6-1</f>
        <v>0.16469354838709682</v>
      </c>
    </row>
    <row r="7" spans="2:15">
      <c r="C7" s="10"/>
      <c r="D7" s="10"/>
      <c r="E7" s="10"/>
      <c r="F7" s="10"/>
      <c r="G7" s="10"/>
      <c r="N7" s="18"/>
    </row>
    <row r="8" spans="2:15">
      <c r="B8" s="2" t="s">
        <v>21</v>
      </c>
      <c r="C8" s="10">
        <f>'Volume Forecast'!C34</f>
        <v>130</v>
      </c>
      <c r="D8" s="10">
        <f>'Volume Forecast'!D34</f>
        <v>304</v>
      </c>
      <c r="E8" s="10">
        <f>'Volume Forecast'!E34</f>
        <v>328</v>
      </c>
      <c r="F8" s="10">
        <f>'Volume Forecast'!F34</f>
        <v>155.33333333333331</v>
      </c>
      <c r="G8" s="10">
        <f>'Volume Forecast'!G34</f>
        <v>917.33333333333326</v>
      </c>
      <c r="I8" s="27">
        <f>'Volume Forecast'!I34</f>
        <v>151.41016129032258</v>
      </c>
      <c r="J8" s="27">
        <f>'Volume Forecast'!J34</f>
        <v>354.06683870967743</v>
      </c>
      <c r="K8" s="27">
        <f>'Volume Forecast'!K34</f>
        <v>382.01948387096775</v>
      </c>
      <c r="L8" s="27">
        <f>'Volume Forecast'!L34</f>
        <v>180.9157311827957</v>
      </c>
      <c r="M8" s="27">
        <f>'Volume Forecast'!M34</f>
        <v>1068.4122150537635</v>
      </c>
      <c r="N8" s="18"/>
    </row>
    <row r="9" spans="2:15">
      <c r="B9" s="2" t="s">
        <v>22</v>
      </c>
      <c r="C9" s="10">
        <f>'Volume Forecast'!C35</f>
        <v>65</v>
      </c>
      <c r="D9" s="10">
        <f>'Volume Forecast'!D35</f>
        <v>152</v>
      </c>
      <c r="E9" s="10">
        <f>'Volume Forecast'!E35</f>
        <v>164</v>
      </c>
      <c r="F9" s="10">
        <f>'Volume Forecast'!F35</f>
        <v>77.666666666666657</v>
      </c>
      <c r="G9" s="10">
        <f>'Volume Forecast'!G35</f>
        <v>458.66666666666663</v>
      </c>
      <c r="I9" s="27">
        <f>'Volume Forecast'!I35</f>
        <v>75.705080645161289</v>
      </c>
      <c r="J9" s="27">
        <f>'Volume Forecast'!J35</f>
        <v>177.03341935483871</v>
      </c>
      <c r="K9" s="27">
        <f>'Volume Forecast'!K35</f>
        <v>191.00974193548387</v>
      </c>
      <c r="L9" s="27">
        <f>'Volume Forecast'!L35</f>
        <v>90.457865591397848</v>
      </c>
      <c r="M9" s="27">
        <f>'Volume Forecast'!M35</f>
        <v>534.20610752688174</v>
      </c>
      <c r="N9" s="18"/>
    </row>
    <row r="11" spans="2:15">
      <c r="B11" s="2" t="s">
        <v>21</v>
      </c>
      <c r="C11" s="11">
        <f>C8/C$6</f>
        <v>0.66666666666666663</v>
      </c>
      <c r="D11" s="11">
        <f t="shared" ref="D11:G11" si="0">D8/D$6</f>
        <v>0.66666666666666663</v>
      </c>
      <c r="E11" s="11">
        <f t="shared" si="0"/>
        <v>0.66666666666666663</v>
      </c>
      <c r="F11" s="11">
        <f t="shared" si="0"/>
        <v>0.66666666666666663</v>
      </c>
      <c r="G11" s="11">
        <f t="shared" si="0"/>
        <v>0.66666666666666663</v>
      </c>
      <c r="I11" s="22">
        <f>'Volume Forecast'!I37</f>
        <v>0.66666666666666663</v>
      </c>
      <c r="J11" s="22">
        <f>'Volume Forecast'!J37</f>
        <v>0.66666666666666663</v>
      </c>
      <c r="K11" s="22">
        <f>'Volume Forecast'!K37</f>
        <v>0.66666666666666663</v>
      </c>
      <c r="L11" s="22">
        <f>'Volume Forecast'!L37</f>
        <v>0.66666666666666663</v>
      </c>
      <c r="M11" s="22">
        <f>'Volume Forecast'!M37</f>
        <v>0.66666666666666663</v>
      </c>
    </row>
    <row r="12" spans="2:15">
      <c r="B12" s="2" t="s">
        <v>22</v>
      </c>
      <c r="C12" s="11">
        <f t="shared" ref="C12:G12" si="1">C9/C$6</f>
        <v>0.33333333333333331</v>
      </c>
      <c r="D12" s="11">
        <f t="shared" si="1"/>
        <v>0.33333333333333331</v>
      </c>
      <c r="E12" s="11">
        <f t="shared" si="1"/>
        <v>0.33333333333333331</v>
      </c>
      <c r="F12" s="11">
        <f t="shared" si="1"/>
        <v>0.33333333333333331</v>
      </c>
      <c r="G12" s="11">
        <f t="shared" si="1"/>
        <v>0.33333333333333331</v>
      </c>
      <c r="I12" s="22">
        <f>'Volume Forecast'!I38</f>
        <v>0.33333333333333331</v>
      </c>
      <c r="J12" s="22">
        <f>'Volume Forecast'!J38</f>
        <v>0.33333333333333331</v>
      </c>
      <c r="K12" s="22">
        <f>'Volume Forecast'!K38</f>
        <v>0.33333333333333331</v>
      </c>
      <c r="L12" s="22">
        <f>'Volume Forecast'!L38</f>
        <v>0.33333333333333331</v>
      </c>
      <c r="M12" s="22">
        <f>'Volume Forecast'!M38</f>
        <v>0.33333333333333331</v>
      </c>
    </row>
    <row r="14" spans="2:15">
      <c r="B14" s="2" t="s">
        <v>25</v>
      </c>
      <c r="C14" s="2">
        <v>10</v>
      </c>
      <c r="D14" s="2">
        <v>10</v>
      </c>
      <c r="E14" s="2">
        <v>10</v>
      </c>
      <c r="F14" s="2">
        <v>10</v>
      </c>
      <c r="G14" s="2">
        <v>10</v>
      </c>
      <c r="I14" s="2">
        <v>10</v>
      </c>
      <c r="J14" s="2">
        <v>10</v>
      </c>
      <c r="K14" s="2">
        <v>10</v>
      </c>
      <c r="L14" s="2">
        <v>10</v>
      </c>
      <c r="M14" s="2">
        <v>10</v>
      </c>
    </row>
    <row r="15" spans="2:15">
      <c r="B15" s="2" t="s">
        <v>26</v>
      </c>
      <c r="C15" s="2">
        <v>10</v>
      </c>
      <c r="D15" s="2">
        <v>10</v>
      </c>
      <c r="E15" s="2">
        <v>10</v>
      </c>
      <c r="F15" s="2">
        <v>10</v>
      </c>
      <c r="G15" s="2">
        <v>10</v>
      </c>
      <c r="I15" s="2">
        <v>12</v>
      </c>
      <c r="J15" s="2">
        <v>12</v>
      </c>
      <c r="K15" s="2">
        <v>12</v>
      </c>
      <c r="L15" s="2">
        <v>12</v>
      </c>
      <c r="M15" s="2">
        <v>12</v>
      </c>
    </row>
    <row r="17" spans="2:15">
      <c r="B17" s="30" t="s">
        <v>27</v>
      </c>
      <c r="C17" s="31">
        <f>C8*C14</f>
        <v>1300</v>
      </c>
      <c r="D17" s="31">
        <f t="shared" ref="D17:G17" si="2">D8*D14</f>
        <v>3040</v>
      </c>
      <c r="E17" s="31">
        <f t="shared" si="2"/>
        <v>3280</v>
      </c>
      <c r="F17" s="31">
        <f t="shared" si="2"/>
        <v>1553.333333333333</v>
      </c>
      <c r="G17" s="31">
        <f t="shared" si="2"/>
        <v>9173.3333333333321</v>
      </c>
      <c r="H17" s="29"/>
      <c r="I17" s="31">
        <f>I8*I14</f>
        <v>1514.1016129032257</v>
      </c>
      <c r="J17" s="31">
        <f t="shared" ref="J17:M17" si="3">J8*J14</f>
        <v>3540.6683870967745</v>
      </c>
      <c r="K17" s="31">
        <f t="shared" si="3"/>
        <v>3820.1948387096772</v>
      </c>
      <c r="L17" s="31">
        <f t="shared" si="3"/>
        <v>1809.1573118279571</v>
      </c>
      <c r="M17" s="31">
        <f t="shared" si="3"/>
        <v>10684.122150537634</v>
      </c>
    </row>
    <row r="18" spans="2:15">
      <c r="B18" s="5" t="s">
        <v>28</v>
      </c>
      <c r="C18" s="32">
        <f>C9*C15</f>
        <v>650</v>
      </c>
      <c r="D18" s="32">
        <f t="shared" ref="D18:G18" si="4">D9*D15</f>
        <v>1520</v>
      </c>
      <c r="E18" s="32">
        <f t="shared" si="4"/>
        <v>1640</v>
      </c>
      <c r="F18" s="32">
        <f t="shared" si="4"/>
        <v>776.66666666666652</v>
      </c>
      <c r="G18" s="32">
        <f t="shared" si="4"/>
        <v>4586.6666666666661</v>
      </c>
      <c r="H18" s="29"/>
      <c r="I18" s="32">
        <f>I9*I15</f>
        <v>908.46096774193552</v>
      </c>
      <c r="J18" s="32">
        <f t="shared" ref="J18:M18" si="5">J9*J15</f>
        <v>2124.4010322580643</v>
      </c>
      <c r="K18" s="32">
        <f t="shared" si="5"/>
        <v>2292.1169032258067</v>
      </c>
      <c r="L18" s="32">
        <f t="shared" si="5"/>
        <v>1085.4943870967741</v>
      </c>
      <c r="M18" s="32">
        <f t="shared" si="5"/>
        <v>6410.4732903225813</v>
      </c>
    </row>
    <row r="20" spans="2:15" ht="12.75" thickBot="1">
      <c r="B20" s="14" t="s">
        <v>29</v>
      </c>
      <c r="C20" s="33">
        <f>C17+C18</f>
        <v>1950</v>
      </c>
      <c r="D20" s="33">
        <f t="shared" ref="D20:G20" si="6">D17+D18</f>
        <v>4560</v>
      </c>
      <c r="E20" s="33">
        <f t="shared" si="6"/>
        <v>4920</v>
      </c>
      <c r="F20" s="33">
        <f t="shared" si="6"/>
        <v>2329.9999999999995</v>
      </c>
      <c r="G20" s="33">
        <f t="shared" si="6"/>
        <v>13759.999999999998</v>
      </c>
      <c r="H20" s="34"/>
      <c r="I20" s="33">
        <f>I17+I18</f>
        <v>2422.5625806451612</v>
      </c>
      <c r="J20" s="33">
        <f t="shared" ref="J20:M20" si="7">J17+J18</f>
        <v>5665.0694193548388</v>
      </c>
      <c r="K20" s="33">
        <f t="shared" si="7"/>
        <v>6112.311741935484</v>
      </c>
      <c r="L20" s="33">
        <f t="shared" si="7"/>
        <v>2894.6516989247311</v>
      </c>
      <c r="M20" s="33">
        <f t="shared" si="7"/>
        <v>17094.595440860216</v>
      </c>
      <c r="O20" s="11"/>
    </row>
  </sheetData>
  <mergeCells count="2">
    <mergeCell ref="C4:G4"/>
    <mergeCell ref="I4:O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2060"/>
  </sheetPr>
  <dimension ref="B1:B11"/>
  <sheetViews>
    <sheetView workbookViewId="0">
      <selection activeCell="K11" sqref="K11"/>
    </sheetView>
  </sheetViews>
  <sheetFormatPr defaultRowHeight="12"/>
  <cols>
    <col min="1" max="1" width="2" style="2" customWidth="1"/>
    <col min="2" max="16384" width="9.140625" style="2"/>
  </cols>
  <sheetData>
    <row r="1" spans="2:2" ht="15.75">
      <c r="B1" s="3"/>
    </row>
    <row r="11" spans="2:2" ht="37.5">
      <c r="B11" s="4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O58"/>
  <sheetViews>
    <sheetView zoomScale="160" zoomScaleNormal="160" workbookViewId="0">
      <selection activeCell="I22" sqref="I22"/>
    </sheetView>
  </sheetViews>
  <sheetFormatPr defaultRowHeight="12"/>
  <cols>
    <col min="1" max="1" width="2" style="2" customWidth="1"/>
    <col min="2" max="2" width="11.42578125" style="2" customWidth="1"/>
    <col min="3" max="7" width="9.140625" style="2"/>
    <col min="8" max="8" width="1.5703125" style="2" customWidth="1"/>
    <col min="9" max="13" width="9.140625" style="2"/>
    <col min="14" max="14" width="1.5703125" style="2" customWidth="1"/>
    <col min="15" max="16384" width="9.140625" style="2"/>
  </cols>
  <sheetData>
    <row r="1" spans="2:15" ht="15.75">
      <c r="B1" s="3" t="s">
        <v>31</v>
      </c>
    </row>
    <row r="3" spans="2:15" ht="12.75">
      <c r="B3" s="28"/>
    </row>
    <row r="5" spans="2:15">
      <c r="C5" s="65" t="s">
        <v>3</v>
      </c>
      <c r="D5" s="65"/>
      <c r="E5" s="65"/>
      <c r="F5" s="65"/>
      <c r="G5" s="65"/>
      <c r="H5" s="6"/>
      <c r="I5" s="65" t="s">
        <v>20</v>
      </c>
      <c r="J5" s="65"/>
      <c r="K5" s="65"/>
      <c r="L5" s="65"/>
      <c r="M5" s="65"/>
      <c r="N5" s="65"/>
      <c r="O5" s="65"/>
    </row>
    <row r="6" spans="2:15" ht="12.75" thickBot="1">
      <c r="B6" s="7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6"/>
      <c r="I6" s="8" t="s">
        <v>5</v>
      </c>
      <c r="J6" s="8" t="s">
        <v>6</v>
      </c>
      <c r="K6" s="8" t="s">
        <v>7</v>
      </c>
      <c r="L6" s="8" t="s">
        <v>8</v>
      </c>
      <c r="M6" s="8" t="s">
        <v>9</v>
      </c>
      <c r="N6" s="19"/>
      <c r="O6" s="17" t="s">
        <v>13</v>
      </c>
    </row>
    <row r="7" spans="2:15">
      <c r="B7" s="2" t="s">
        <v>23</v>
      </c>
      <c r="C7" s="10">
        <f>'Revenue Forecast'!C6</f>
        <v>195</v>
      </c>
      <c r="D7" s="10">
        <f>'Revenue Forecast'!D6</f>
        <v>456</v>
      </c>
      <c r="E7" s="10">
        <f>'Revenue Forecast'!E6</f>
        <v>492</v>
      </c>
      <c r="F7" s="10">
        <f>'Revenue Forecast'!F6</f>
        <v>233</v>
      </c>
      <c r="G7" s="10">
        <f>'Revenue Forecast'!G6</f>
        <v>1376</v>
      </c>
      <c r="I7" s="10">
        <f>'Revenue Forecast'!I6</f>
        <v>227.11524193548388</v>
      </c>
      <c r="J7" s="10">
        <f>'Revenue Forecast'!J6</f>
        <v>531.1002580645162</v>
      </c>
      <c r="K7" s="10">
        <f>'Revenue Forecast'!K6</f>
        <v>573.02922580645168</v>
      </c>
      <c r="L7" s="10">
        <f>'Revenue Forecast'!L6</f>
        <v>271.37359677419357</v>
      </c>
      <c r="M7" s="10">
        <f>'Revenue Forecast'!M6</f>
        <v>1602.6183225806453</v>
      </c>
      <c r="N7" s="18"/>
      <c r="O7" s="9">
        <f>'Revenue Forecast'!O6</f>
        <v>0.16469354838709682</v>
      </c>
    </row>
    <row r="9" spans="2:15">
      <c r="B9" s="2" t="s">
        <v>21</v>
      </c>
      <c r="C9" s="10">
        <f>'Revenue Forecast'!C8</f>
        <v>130</v>
      </c>
      <c r="D9" s="10">
        <f>'Revenue Forecast'!D8</f>
        <v>304</v>
      </c>
      <c r="E9" s="10">
        <f>'Revenue Forecast'!E8</f>
        <v>328</v>
      </c>
      <c r="F9" s="10">
        <f>'Revenue Forecast'!F8</f>
        <v>155.33333333333331</v>
      </c>
      <c r="G9" s="10">
        <f>'Revenue Forecast'!G8</f>
        <v>917.33333333333326</v>
      </c>
      <c r="H9" s="27"/>
      <c r="I9" s="10">
        <f>'Revenue Forecast'!I8</f>
        <v>151.41016129032258</v>
      </c>
      <c r="J9" s="10">
        <f>'Revenue Forecast'!J8</f>
        <v>354.06683870967743</v>
      </c>
      <c r="K9" s="10">
        <f>'Revenue Forecast'!K8</f>
        <v>382.01948387096775</v>
      </c>
      <c r="L9" s="10">
        <f>'Revenue Forecast'!L8</f>
        <v>180.9157311827957</v>
      </c>
      <c r="M9" s="10">
        <f>'Revenue Forecast'!M8</f>
        <v>1068.4122150537635</v>
      </c>
    </row>
    <row r="10" spans="2:15">
      <c r="B10" s="2" t="s">
        <v>22</v>
      </c>
      <c r="C10" s="10">
        <f>'Revenue Forecast'!C9</f>
        <v>65</v>
      </c>
      <c r="D10" s="10">
        <f>'Revenue Forecast'!D9</f>
        <v>152</v>
      </c>
      <c r="E10" s="10">
        <f>'Revenue Forecast'!E9</f>
        <v>164</v>
      </c>
      <c r="F10" s="10">
        <f>'Revenue Forecast'!F9</f>
        <v>77.666666666666657</v>
      </c>
      <c r="G10" s="10">
        <f>'Revenue Forecast'!G9</f>
        <v>458.66666666666663</v>
      </c>
      <c r="H10" s="27"/>
      <c r="I10" s="10">
        <f>'Revenue Forecast'!I9</f>
        <v>75.705080645161289</v>
      </c>
      <c r="J10" s="10">
        <f>'Revenue Forecast'!J9</f>
        <v>177.03341935483871</v>
      </c>
      <c r="K10" s="10">
        <f>'Revenue Forecast'!K9</f>
        <v>191.00974193548387</v>
      </c>
      <c r="L10" s="10">
        <f>'Revenue Forecast'!L9</f>
        <v>90.457865591397848</v>
      </c>
      <c r="M10" s="10">
        <f>'Revenue Forecast'!M9</f>
        <v>534.20610752688174</v>
      </c>
    </row>
    <row r="13" spans="2:15">
      <c r="B13" s="35" t="s">
        <v>32</v>
      </c>
    </row>
    <row r="14" spans="2:15">
      <c r="B14" s="2" t="s">
        <v>21</v>
      </c>
      <c r="C14" s="9">
        <v>0.25</v>
      </c>
      <c r="D14" s="9">
        <v>0.25</v>
      </c>
      <c r="E14" s="9">
        <v>0.25</v>
      </c>
      <c r="F14" s="9">
        <v>0.25</v>
      </c>
      <c r="I14" s="9">
        <v>0.25</v>
      </c>
      <c r="J14" s="9">
        <v>0.25</v>
      </c>
      <c r="K14" s="9">
        <v>0.25</v>
      </c>
      <c r="L14" s="9">
        <v>0.25</v>
      </c>
    </row>
    <row r="15" spans="2:15">
      <c r="B15" s="2" t="s">
        <v>22</v>
      </c>
      <c r="C15" s="9">
        <v>0.3</v>
      </c>
      <c r="D15" s="9">
        <v>0.3</v>
      </c>
      <c r="E15" s="9">
        <v>0.3</v>
      </c>
      <c r="F15" s="9">
        <v>0.3</v>
      </c>
      <c r="I15" s="9">
        <v>0.3</v>
      </c>
      <c r="J15" s="9">
        <v>0.3</v>
      </c>
      <c r="K15" s="9">
        <v>0.3</v>
      </c>
      <c r="L15" s="9">
        <v>0.3</v>
      </c>
    </row>
    <row r="17" spans="2:15">
      <c r="B17" s="35" t="s">
        <v>33</v>
      </c>
    </row>
    <row r="18" spans="2:15">
      <c r="B18" s="2" t="s">
        <v>21</v>
      </c>
      <c r="C18" s="27">
        <v>32</v>
      </c>
      <c r="D18" s="27">
        <f t="shared" ref="D18:F19" si="0">C22</f>
        <v>32.5</v>
      </c>
      <c r="E18" s="27">
        <f t="shared" si="0"/>
        <v>76</v>
      </c>
      <c r="F18" s="27">
        <f t="shared" si="0"/>
        <v>82</v>
      </c>
      <c r="I18" s="27">
        <f>F22</f>
        <v>38.833333333333329</v>
      </c>
      <c r="J18" s="27">
        <f>I22</f>
        <v>37.852540322580644</v>
      </c>
      <c r="K18" s="27">
        <f t="shared" ref="K18:L18" si="1">J22</f>
        <v>88.516709677419357</v>
      </c>
      <c r="L18" s="27">
        <f t="shared" si="1"/>
        <v>95.504870967741937</v>
      </c>
    </row>
    <row r="19" spans="2:15">
      <c r="B19" s="2" t="s">
        <v>22</v>
      </c>
      <c r="C19" s="27">
        <v>16</v>
      </c>
      <c r="D19" s="27">
        <f t="shared" si="0"/>
        <v>19.5</v>
      </c>
      <c r="E19" s="27">
        <f t="shared" si="0"/>
        <v>45.6</v>
      </c>
      <c r="F19" s="27">
        <f t="shared" si="0"/>
        <v>49.199999999999996</v>
      </c>
      <c r="I19" s="27">
        <f>F23</f>
        <v>23.299999999999997</v>
      </c>
      <c r="J19" s="27">
        <f>I23</f>
        <v>22.711524193548385</v>
      </c>
      <c r="K19" s="27">
        <f t="shared" ref="K19:L19" si="2">J23</f>
        <v>53.11002580645161</v>
      </c>
      <c r="L19" s="27">
        <f t="shared" si="2"/>
        <v>57.302922580645159</v>
      </c>
    </row>
    <row r="21" spans="2:15">
      <c r="B21" s="35" t="s">
        <v>34</v>
      </c>
    </row>
    <row r="22" spans="2:15">
      <c r="B22" s="2" t="s">
        <v>21</v>
      </c>
      <c r="C22" s="27">
        <f>C14*C9</f>
        <v>32.5</v>
      </c>
      <c r="D22" s="27">
        <f t="shared" ref="C22:F23" si="3">D14*D9</f>
        <v>76</v>
      </c>
      <c r="E22" s="27">
        <f t="shared" si="3"/>
        <v>82</v>
      </c>
      <c r="F22" s="27">
        <f t="shared" si="3"/>
        <v>38.833333333333329</v>
      </c>
      <c r="I22" s="27">
        <f>I14*I9</f>
        <v>37.852540322580644</v>
      </c>
      <c r="J22" s="27">
        <f t="shared" ref="J22:L22" si="4">J14*J9</f>
        <v>88.516709677419357</v>
      </c>
      <c r="K22" s="27">
        <f t="shared" si="4"/>
        <v>95.504870967741937</v>
      </c>
      <c r="L22" s="27">
        <f t="shared" si="4"/>
        <v>45.228932795698924</v>
      </c>
    </row>
    <row r="23" spans="2:15">
      <c r="B23" s="2" t="s">
        <v>22</v>
      </c>
      <c r="C23" s="27">
        <f t="shared" si="3"/>
        <v>19.5</v>
      </c>
      <c r="D23" s="27">
        <f t="shared" si="3"/>
        <v>45.6</v>
      </c>
      <c r="E23" s="27">
        <f t="shared" si="3"/>
        <v>49.199999999999996</v>
      </c>
      <c r="F23" s="27">
        <f t="shared" si="3"/>
        <v>23.299999999999997</v>
      </c>
      <c r="I23" s="27">
        <f t="shared" ref="I23:L23" si="5">I15*I10</f>
        <v>22.711524193548385</v>
      </c>
      <c r="J23" s="27">
        <f t="shared" si="5"/>
        <v>53.11002580645161</v>
      </c>
      <c r="K23" s="27">
        <f t="shared" si="5"/>
        <v>57.302922580645159</v>
      </c>
      <c r="L23" s="27">
        <f t="shared" si="5"/>
        <v>27.137359677419354</v>
      </c>
    </row>
    <row r="25" spans="2:15">
      <c r="B25" s="36" t="s">
        <v>35</v>
      </c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</row>
    <row r="26" spans="2:15">
      <c r="B26" s="37" t="s">
        <v>21</v>
      </c>
      <c r="C26" s="38">
        <f t="shared" ref="C26:F27" si="6">C9+C22-C18</f>
        <v>130.5</v>
      </c>
      <c r="D26" s="38">
        <f t="shared" si="6"/>
        <v>347.5</v>
      </c>
      <c r="E26" s="38">
        <f t="shared" si="6"/>
        <v>334</v>
      </c>
      <c r="F26" s="38">
        <f t="shared" si="6"/>
        <v>112.16666666666663</v>
      </c>
      <c r="G26" s="39">
        <f>SUM(C26:F26)</f>
        <v>924.16666666666663</v>
      </c>
      <c r="H26" s="37"/>
      <c r="I26" s="38">
        <f>I9+I22-I18</f>
        <v>150.42936827956987</v>
      </c>
      <c r="J26" s="38">
        <f t="shared" ref="J26:L26" si="7">J9+J22-J18</f>
        <v>404.73100806451617</v>
      </c>
      <c r="K26" s="38">
        <f t="shared" si="7"/>
        <v>389.00764516129027</v>
      </c>
      <c r="L26" s="38">
        <f t="shared" si="7"/>
        <v>130.6397930107527</v>
      </c>
      <c r="M26" s="39">
        <f>SUM(I26:L26)</f>
        <v>1074.8078145161289</v>
      </c>
    </row>
    <row r="27" spans="2:15">
      <c r="B27" s="37" t="s">
        <v>22</v>
      </c>
      <c r="C27" s="38">
        <f t="shared" si="6"/>
        <v>68.5</v>
      </c>
      <c r="D27" s="38">
        <f t="shared" si="6"/>
        <v>178.1</v>
      </c>
      <c r="E27" s="38">
        <f t="shared" si="6"/>
        <v>167.6</v>
      </c>
      <c r="F27" s="38">
        <f t="shared" si="6"/>
        <v>51.766666666666659</v>
      </c>
      <c r="G27" s="39">
        <f>SUM(C27:F27)</f>
        <v>465.96666666666664</v>
      </c>
      <c r="H27" s="37"/>
      <c r="I27" s="38">
        <f>I10+I23-I19</f>
        <v>75.116604838709677</v>
      </c>
      <c r="J27" s="38">
        <f t="shared" ref="J27:L27" si="8">J10+J23-J19</f>
        <v>207.43192096774192</v>
      </c>
      <c r="K27" s="38">
        <f t="shared" si="8"/>
        <v>195.20263870967742</v>
      </c>
      <c r="L27" s="38">
        <f t="shared" si="8"/>
        <v>60.292302688172043</v>
      </c>
      <c r="M27" s="39">
        <f>SUM(I27:L27)</f>
        <v>538.04346720430112</v>
      </c>
    </row>
    <row r="29" spans="2:15" ht="15.75">
      <c r="B29" s="3" t="s">
        <v>36</v>
      </c>
    </row>
    <row r="30" spans="2:15" ht="12.75" customHeight="1"/>
    <row r="31" spans="2:15" ht="12" customHeight="1">
      <c r="C31" s="65" t="s">
        <v>47</v>
      </c>
      <c r="D31" s="65"/>
      <c r="E31" s="65"/>
      <c r="F31" s="65"/>
      <c r="G31" s="65"/>
      <c r="H31" s="6"/>
      <c r="I31" s="65" t="s">
        <v>48</v>
      </c>
      <c r="J31" s="65"/>
      <c r="K31" s="65"/>
      <c r="L31" s="65"/>
      <c r="M31" s="65"/>
      <c r="N31" s="65"/>
      <c r="O31" s="65"/>
    </row>
    <row r="32" spans="2:15" ht="12" customHeight="1">
      <c r="B32" s="35" t="str">
        <f>B25</f>
        <v>Production:</v>
      </c>
    </row>
    <row r="33" spans="2:14" ht="12" customHeight="1">
      <c r="B33" s="2" t="str">
        <f t="shared" ref="B33:F34" si="9">B26</f>
        <v>White Hats</v>
      </c>
      <c r="C33" s="27">
        <f t="shared" si="9"/>
        <v>130.5</v>
      </c>
      <c r="D33" s="27">
        <f t="shared" si="9"/>
        <v>347.5</v>
      </c>
      <c r="E33" s="27">
        <f t="shared" si="9"/>
        <v>334</v>
      </c>
      <c r="F33" s="27">
        <f t="shared" si="9"/>
        <v>112.16666666666663</v>
      </c>
      <c r="G33" s="41">
        <f>G26</f>
        <v>924.16666666666663</v>
      </c>
      <c r="H33" s="27"/>
      <c r="I33" s="27">
        <f>I26</f>
        <v>150.42936827956987</v>
      </c>
      <c r="J33" s="27">
        <f t="shared" ref="J33:M33" si="10">J26</f>
        <v>404.73100806451617</v>
      </c>
      <c r="K33" s="27">
        <f t="shared" si="10"/>
        <v>389.00764516129027</v>
      </c>
      <c r="L33" s="27">
        <f t="shared" si="10"/>
        <v>130.6397930107527</v>
      </c>
      <c r="M33" s="41">
        <f t="shared" si="10"/>
        <v>1074.8078145161289</v>
      </c>
    </row>
    <row r="34" spans="2:14" ht="12" customHeight="1">
      <c r="B34" s="2" t="str">
        <f t="shared" si="9"/>
        <v>Red Hats</v>
      </c>
      <c r="C34" s="27">
        <f t="shared" si="9"/>
        <v>68.5</v>
      </c>
      <c r="D34" s="27">
        <f t="shared" si="9"/>
        <v>178.1</v>
      </c>
      <c r="E34" s="27">
        <f t="shared" si="9"/>
        <v>167.6</v>
      </c>
      <c r="F34" s="27">
        <f t="shared" si="9"/>
        <v>51.766666666666659</v>
      </c>
      <c r="G34" s="41">
        <f>G27</f>
        <v>465.96666666666664</v>
      </c>
      <c r="H34" s="27"/>
      <c r="I34" s="27">
        <f t="shared" ref="I34:M34" si="11">I27</f>
        <v>75.116604838709677</v>
      </c>
      <c r="J34" s="27">
        <f t="shared" si="11"/>
        <v>207.43192096774192</v>
      </c>
      <c r="K34" s="27">
        <f t="shared" si="11"/>
        <v>195.20263870967742</v>
      </c>
      <c r="L34" s="27">
        <f t="shared" si="11"/>
        <v>60.292302688172043</v>
      </c>
      <c r="M34" s="41">
        <f t="shared" si="11"/>
        <v>538.04346720430112</v>
      </c>
    </row>
    <row r="35" spans="2:14" ht="12" customHeight="1"/>
    <row r="36" spans="2:14" ht="12" customHeight="1">
      <c r="B36" s="35" t="s">
        <v>39</v>
      </c>
    </row>
    <row r="37" spans="2:14" ht="12" customHeight="1">
      <c r="B37" s="2" t="s">
        <v>21</v>
      </c>
      <c r="C37" s="2">
        <v>0.3</v>
      </c>
      <c r="D37" s="2">
        <v>0.3</v>
      </c>
      <c r="E37" s="2">
        <v>0.3</v>
      </c>
      <c r="F37" s="2">
        <v>0.3</v>
      </c>
      <c r="G37" s="2">
        <f>F37</f>
        <v>0.3</v>
      </c>
      <c r="I37" s="2">
        <f>C37</f>
        <v>0.3</v>
      </c>
      <c r="J37" s="2">
        <f t="shared" ref="J37:J38" si="12">D37</f>
        <v>0.3</v>
      </c>
      <c r="K37" s="2">
        <f t="shared" ref="K37:K38" si="13">E37</f>
        <v>0.3</v>
      </c>
      <c r="L37" s="2">
        <f t="shared" ref="L37:M38" si="14">F37</f>
        <v>0.3</v>
      </c>
      <c r="M37" s="2">
        <f t="shared" si="14"/>
        <v>0.3</v>
      </c>
    </row>
    <row r="38" spans="2:14" ht="12" customHeight="1">
      <c r="B38" s="2" t="s">
        <v>22</v>
      </c>
      <c r="C38" s="2">
        <v>0.3</v>
      </c>
      <c r="D38" s="2">
        <v>0.3</v>
      </c>
      <c r="E38" s="2">
        <v>0.3</v>
      </c>
      <c r="F38" s="2">
        <v>0.3</v>
      </c>
      <c r="G38" s="2">
        <f>F38</f>
        <v>0.3</v>
      </c>
      <c r="I38" s="2">
        <f t="shared" ref="I38" si="15">C38</f>
        <v>0.3</v>
      </c>
      <c r="J38" s="2">
        <f t="shared" si="12"/>
        <v>0.3</v>
      </c>
      <c r="K38" s="2">
        <f t="shared" si="13"/>
        <v>0.3</v>
      </c>
      <c r="L38" s="2">
        <f t="shared" si="14"/>
        <v>0.3</v>
      </c>
      <c r="M38" s="2">
        <f t="shared" si="14"/>
        <v>0.3</v>
      </c>
    </row>
    <row r="39" spans="2:14" ht="12" customHeight="1"/>
    <row r="40" spans="2:14" ht="12" customHeight="1">
      <c r="B40" s="35" t="s">
        <v>37</v>
      </c>
    </row>
    <row r="41" spans="2:14" ht="12" customHeight="1">
      <c r="B41" s="2" t="s">
        <v>21</v>
      </c>
      <c r="C41" s="2">
        <v>-4</v>
      </c>
      <c r="D41" s="2">
        <v>-4</v>
      </c>
      <c r="E41" s="2">
        <v>-4</v>
      </c>
      <c r="F41" s="2">
        <v>-4</v>
      </c>
      <c r="G41" s="2">
        <v>-4</v>
      </c>
      <c r="I41" s="2">
        <f t="shared" ref="I41:I42" si="16">C41</f>
        <v>-4</v>
      </c>
      <c r="J41" s="2">
        <f t="shared" ref="J41:J42" si="17">D41</f>
        <v>-4</v>
      </c>
      <c r="K41" s="2">
        <f t="shared" ref="K41:K42" si="18">E41</f>
        <v>-4</v>
      </c>
      <c r="L41" s="2">
        <f t="shared" ref="L41:M42" si="19">F41</f>
        <v>-4</v>
      </c>
      <c r="M41" s="2">
        <f t="shared" si="19"/>
        <v>-4</v>
      </c>
    </row>
    <row r="42" spans="2:14" ht="12" customHeight="1">
      <c r="B42" s="2" t="s">
        <v>22</v>
      </c>
      <c r="C42" s="2">
        <v>-5</v>
      </c>
      <c r="D42" s="2">
        <v>-5</v>
      </c>
      <c r="E42" s="2">
        <v>-5</v>
      </c>
      <c r="F42" s="2">
        <v>-5</v>
      </c>
      <c r="G42" s="2">
        <v>-5</v>
      </c>
      <c r="I42" s="2">
        <f t="shared" si="16"/>
        <v>-5</v>
      </c>
      <c r="J42" s="2">
        <f t="shared" si="17"/>
        <v>-5</v>
      </c>
      <c r="K42" s="2">
        <f t="shared" si="18"/>
        <v>-5</v>
      </c>
      <c r="L42" s="2">
        <f t="shared" si="19"/>
        <v>-5</v>
      </c>
      <c r="M42" s="2">
        <f t="shared" si="19"/>
        <v>-5</v>
      </c>
    </row>
    <row r="43" spans="2:14" ht="12" customHeight="1"/>
    <row r="44" spans="2:14" ht="12" customHeight="1">
      <c r="B44" s="36" t="s">
        <v>38</v>
      </c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</row>
    <row r="45" spans="2:14" ht="12" customHeight="1">
      <c r="B45" s="37" t="s">
        <v>21</v>
      </c>
      <c r="C45" s="38">
        <f>C41*C37*C33</f>
        <v>-156.6</v>
      </c>
      <c r="D45" s="38">
        <f t="shared" ref="D45:F45" si="20">D41*D37*D33</f>
        <v>-417</v>
      </c>
      <c r="E45" s="38">
        <f t="shared" si="20"/>
        <v>-400.8</v>
      </c>
      <c r="F45" s="38">
        <f t="shared" si="20"/>
        <v>-134.59999999999994</v>
      </c>
      <c r="G45" s="39">
        <f>SUM(C45:F45)</f>
        <v>-1109</v>
      </c>
      <c r="H45" s="38"/>
      <c r="I45" s="38">
        <f>I33*I37*I41</f>
        <v>-180.51524193548383</v>
      </c>
      <c r="J45" s="38">
        <f t="shared" ref="J45:M45" si="21">J33*J37*J41</f>
        <v>-485.6772096774194</v>
      </c>
      <c r="K45" s="38">
        <f t="shared" si="21"/>
        <v>-466.8091741935483</v>
      </c>
      <c r="L45" s="38">
        <f t="shared" si="21"/>
        <v>-156.76775161290323</v>
      </c>
      <c r="M45" s="39">
        <f t="shared" si="21"/>
        <v>-1289.7693774193547</v>
      </c>
      <c r="N45" s="37"/>
    </row>
    <row r="46" spans="2:14" ht="12" customHeight="1">
      <c r="B46" s="37" t="s">
        <v>22</v>
      </c>
      <c r="C46" s="38">
        <f t="shared" ref="C46:F46" si="22">C42*C38*C34</f>
        <v>-102.75</v>
      </c>
      <c r="D46" s="38">
        <f t="shared" si="22"/>
        <v>-267.14999999999998</v>
      </c>
      <c r="E46" s="38">
        <f t="shared" si="22"/>
        <v>-251.39999999999998</v>
      </c>
      <c r="F46" s="38">
        <f t="shared" si="22"/>
        <v>-77.649999999999991</v>
      </c>
      <c r="G46" s="39">
        <f>SUM(C46:F46)</f>
        <v>-698.94999999999993</v>
      </c>
      <c r="H46" s="38"/>
      <c r="I46" s="38">
        <f t="shared" ref="I46:M46" si="23">I34*I38*I42</f>
        <v>-112.67490725806452</v>
      </c>
      <c r="J46" s="38">
        <f t="shared" si="23"/>
        <v>-311.14788145161288</v>
      </c>
      <c r="K46" s="38">
        <f t="shared" si="23"/>
        <v>-292.80395806451611</v>
      </c>
      <c r="L46" s="38">
        <f t="shared" si="23"/>
        <v>-90.438454032258051</v>
      </c>
      <c r="M46" s="39">
        <f t="shared" si="23"/>
        <v>-807.06520080645168</v>
      </c>
      <c r="N46" s="37"/>
    </row>
    <row r="47" spans="2:14" ht="12" customHeight="1"/>
    <row r="48" spans="2:14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</sheetData>
  <mergeCells count="4">
    <mergeCell ref="C5:G5"/>
    <mergeCell ref="I5:O5"/>
    <mergeCell ref="C31:G31"/>
    <mergeCell ref="I31:O3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O28"/>
  <sheetViews>
    <sheetView zoomScale="160" zoomScaleNormal="160" workbookViewId="0">
      <selection activeCell="C27" sqref="C27"/>
    </sheetView>
  </sheetViews>
  <sheetFormatPr defaultRowHeight="12"/>
  <cols>
    <col min="1" max="1" width="2" style="2" customWidth="1"/>
    <col min="2" max="2" width="16.28515625" style="2" bestFit="1" customWidth="1"/>
    <col min="3" max="7" width="9.140625" style="2"/>
    <col min="8" max="8" width="1" style="2" customWidth="1"/>
    <col min="9" max="13" width="9.140625" style="2"/>
    <col min="14" max="14" width="1.42578125" style="2" customWidth="1"/>
    <col min="15" max="16384" width="9.140625" style="2"/>
  </cols>
  <sheetData>
    <row r="1" spans="2:15" ht="15.75">
      <c r="B1" s="3" t="s">
        <v>40</v>
      </c>
    </row>
    <row r="3" spans="2:15">
      <c r="C3" s="65" t="s">
        <v>3</v>
      </c>
      <c r="D3" s="65"/>
      <c r="E3" s="65"/>
      <c r="F3" s="65"/>
      <c r="G3" s="65"/>
      <c r="H3" s="6"/>
      <c r="I3" s="65" t="s">
        <v>20</v>
      </c>
      <c r="J3" s="65"/>
      <c r="K3" s="65"/>
      <c r="L3" s="65"/>
      <c r="M3" s="65"/>
      <c r="N3" s="65"/>
      <c r="O3" s="65"/>
    </row>
    <row r="4" spans="2:15" ht="12.75" thickBot="1">
      <c r="B4" s="7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6"/>
      <c r="I4" s="8" t="s">
        <v>5</v>
      </c>
      <c r="J4" s="8" t="s">
        <v>6</v>
      </c>
      <c r="K4" s="8" t="s">
        <v>7</v>
      </c>
      <c r="L4" s="8" t="s">
        <v>8</v>
      </c>
      <c r="M4" s="8" t="s">
        <v>9</v>
      </c>
      <c r="N4" s="19"/>
      <c r="O4" s="17" t="s">
        <v>13</v>
      </c>
    </row>
    <row r="5" spans="2:15">
      <c r="B5" s="2" t="s">
        <v>23</v>
      </c>
      <c r="C5" s="10">
        <f>'Volume Forecast'!C32</f>
        <v>195</v>
      </c>
      <c r="D5" s="10">
        <f>'Volume Forecast'!D32</f>
        <v>456</v>
      </c>
      <c r="E5" s="10">
        <f>'Volume Forecast'!E32</f>
        <v>492</v>
      </c>
      <c r="F5" s="10">
        <f>'Volume Forecast'!F32</f>
        <v>233</v>
      </c>
      <c r="G5" s="10">
        <f>'Volume Forecast'!G32</f>
        <v>1376</v>
      </c>
      <c r="I5" s="10">
        <f>'Volume Forecast'!I32</f>
        <v>227.11524193548388</v>
      </c>
      <c r="J5" s="10">
        <f>'Volume Forecast'!J32</f>
        <v>531.1002580645162</v>
      </c>
      <c r="K5" s="10">
        <f>'Volume Forecast'!K32</f>
        <v>573.02922580645168</v>
      </c>
      <c r="L5" s="10">
        <f>'Volume Forecast'!L32</f>
        <v>271.37359677419357</v>
      </c>
      <c r="M5" s="10">
        <f>'Volume Forecast'!M32</f>
        <v>1602.6183225806453</v>
      </c>
      <c r="N5" s="18"/>
      <c r="O5" s="11">
        <f>M5/G5-1</f>
        <v>0.16469354838709682</v>
      </c>
    </row>
    <row r="7" spans="2:15">
      <c r="B7" s="2" t="s">
        <v>21</v>
      </c>
      <c r="C7" s="10">
        <f>'Volume Forecast'!C34</f>
        <v>130</v>
      </c>
      <c r="D7" s="10">
        <f>'Volume Forecast'!D34</f>
        <v>304</v>
      </c>
      <c r="E7" s="10">
        <f>'Volume Forecast'!E34</f>
        <v>328</v>
      </c>
      <c r="F7" s="10">
        <f>'Volume Forecast'!F34</f>
        <v>155.33333333333331</v>
      </c>
      <c r="G7" s="10">
        <f>'Volume Forecast'!G34</f>
        <v>917.33333333333326</v>
      </c>
      <c r="H7" s="27"/>
      <c r="I7" s="10">
        <f>'Volume Forecast'!I34</f>
        <v>151.41016129032258</v>
      </c>
      <c r="J7" s="10">
        <f>'Volume Forecast'!J34</f>
        <v>354.06683870967743</v>
      </c>
      <c r="K7" s="10">
        <f>'Volume Forecast'!K34</f>
        <v>382.01948387096775</v>
      </c>
      <c r="L7" s="10">
        <f>'Volume Forecast'!L34</f>
        <v>180.9157311827957</v>
      </c>
      <c r="M7" s="10">
        <f>'Volume Forecast'!M34</f>
        <v>1068.4122150537635</v>
      </c>
    </row>
    <row r="8" spans="2:15">
      <c r="B8" s="2" t="s">
        <v>22</v>
      </c>
      <c r="C8" s="10">
        <f>'Volume Forecast'!C35</f>
        <v>65</v>
      </c>
      <c r="D8" s="10">
        <f>'Volume Forecast'!D35</f>
        <v>152</v>
      </c>
      <c r="E8" s="10">
        <f>'Volume Forecast'!E35</f>
        <v>164</v>
      </c>
      <c r="F8" s="10">
        <f>'Volume Forecast'!F35</f>
        <v>77.666666666666657</v>
      </c>
      <c r="G8" s="10">
        <f>'Volume Forecast'!G35</f>
        <v>458.66666666666663</v>
      </c>
      <c r="H8" s="27"/>
      <c r="I8" s="10">
        <f>'Volume Forecast'!I35</f>
        <v>75.705080645161289</v>
      </c>
      <c r="J8" s="10">
        <f>'Volume Forecast'!J35</f>
        <v>177.03341935483871</v>
      </c>
      <c r="K8" s="10">
        <f>'Volume Forecast'!K35</f>
        <v>191.00974193548387</v>
      </c>
      <c r="L8" s="10">
        <f>'Volume Forecast'!L35</f>
        <v>90.457865591397848</v>
      </c>
      <c r="M8" s="10">
        <f>'Volume Forecast'!M35</f>
        <v>534.20610752688174</v>
      </c>
    </row>
    <row r="10" spans="2:15">
      <c r="B10" s="36" t="str">
        <f>'[1]Production &amp; Direct Materials'!B25</f>
        <v>Production: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</row>
    <row r="11" spans="2:15">
      <c r="B11" s="37" t="str">
        <f>'[1]Production &amp; Direct Materials'!B26</f>
        <v>White Hats</v>
      </c>
      <c r="C11" s="38">
        <f>'Production &amp; Direct Materials'!C26</f>
        <v>130.5</v>
      </c>
      <c r="D11" s="38">
        <f>'Production &amp; Direct Materials'!D26</f>
        <v>347.5</v>
      </c>
      <c r="E11" s="38">
        <f>'Production &amp; Direct Materials'!E26</f>
        <v>334</v>
      </c>
      <c r="F11" s="38">
        <f>'Production &amp; Direct Materials'!F26</f>
        <v>112.16666666666663</v>
      </c>
      <c r="G11" s="39">
        <f>'Production &amp; Direct Materials'!G26</f>
        <v>924.16666666666663</v>
      </c>
      <c r="H11" s="38"/>
      <c r="I11" s="38">
        <f>'Production &amp; Direct Materials'!I26</f>
        <v>150.42936827956987</v>
      </c>
      <c r="J11" s="38">
        <f>'Production &amp; Direct Materials'!J26</f>
        <v>404.73100806451617</v>
      </c>
      <c r="K11" s="38">
        <f>'Production &amp; Direct Materials'!K26</f>
        <v>389.00764516129027</v>
      </c>
      <c r="L11" s="38">
        <f>'Production &amp; Direct Materials'!L26</f>
        <v>130.6397930107527</v>
      </c>
      <c r="M11" s="39">
        <f>'Production &amp; Direct Materials'!M26</f>
        <v>1074.8078145161289</v>
      </c>
      <c r="N11" s="27">
        <f>'Production &amp; Direct Materials'!N26</f>
        <v>0</v>
      </c>
    </row>
    <row r="12" spans="2:15">
      <c r="B12" s="37" t="str">
        <f>'[1]Production &amp; Direct Materials'!B27</f>
        <v>Red Hats</v>
      </c>
      <c r="C12" s="38">
        <f>'Production &amp; Direct Materials'!C27</f>
        <v>68.5</v>
      </c>
      <c r="D12" s="38">
        <f>'Production &amp; Direct Materials'!D27</f>
        <v>178.1</v>
      </c>
      <c r="E12" s="38">
        <f>'Production &amp; Direct Materials'!E27</f>
        <v>167.6</v>
      </c>
      <c r="F12" s="38">
        <f>'Production &amp; Direct Materials'!F27</f>
        <v>51.766666666666659</v>
      </c>
      <c r="G12" s="39">
        <f>'Production &amp; Direct Materials'!G27</f>
        <v>465.96666666666664</v>
      </c>
      <c r="H12" s="38"/>
      <c r="I12" s="38">
        <f>'Production &amp; Direct Materials'!I27</f>
        <v>75.116604838709677</v>
      </c>
      <c r="J12" s="38">
        <f>'Production &amp; Direct Materials'!J27</f>
        <v>207.43192096774192</v>
      </c>
      <c r="K12" s="38">
        <f>'Production &amp; Direct Materials'!K27</f>
        <v>195.20263870967742</v>
      </c>
      <c r="L12" s="38">
        <f>'Production &amp; Direct Materials'!L27</f>
        <v>60.292302688172043</v>
      </c>
      <c r="M12" s="39">
        <f>'Production &amp; Direct Materials'!M27</f>
        <v>538.04346720430112</v>
      </c>
      <c r="N12" s="27">
        <f>'Production &amp; Direct Materials'!N27</f>
        <v>0</v>
      </c>
    </row>
    <row r="14" spans="2:15">
      <c r="B14" s="35" t="s">
        <v>41</v>
      </c>
    </row>
    <row r="15" spans="2:15">
      <c r="B15" s="2" t="s">
        <v>21</v>
      </c>
      <c r="C15" s="2">
        <v>0.25</v>
      </c>
      <c r="D15" s="2">
        <v>0.25</v>
      </c>
      <c r="E15" s="2">
        <v>0.25</v>
      </c>
      <c r="F15" s="2">
        <v>0.25</v>
      </c>
      <c r="I15" s="2">
        <v>0.25</v>
      </c>
      <c r="J15" s="2">
        <v>0.25</v>
      </c>
      <c r="K15" s="2">
        <v>0.25</v>
      </c>
      <c r="L15" s="2">
        <v>0.25</v>
      </c>
    </row>
    <row r="16" spans="2:15">
      <c r="B16" s="2" t="s">
        <v>22</v>
      </c>
      <c r="C16" s="2">
        <v>0.25</v>
      </c>
      <c r="D16" s="2">
        <v>0.25</v>
      </c>
      <c r="E16" s="2">
        <v>0.25</v>
      </c>
      <c r="F16" s="2">
        <v>0.25</v>
      </c>
      <c r="I16" s="2">
        <v>0.25</v>
      </c>
      <c r="J16" s="2">
        <v>0.25</v>
      </c>
      <c r="K16" s="2">
        <v>0.25</v>
      </c>
      <c r="L16" s="2">
        <v>0.25</v>
      </c>
    </row>
    <row r="18" spans="2:13">
      <c r="B18" s="35" t="s">
        <v>42</v>
      </c>
    </row>
    <row r="19" spans="2:13">
      <c r="B19" s="2" t="s">
        <v>43</v>
      </c>
      <c r="C19" s="27">
        <f t="shared" ref="C19:F20" si="0">C15*C11</f>
        <v>32.625</v>
      </c>
      <c r="D19" s="27">
        <f t="shared" si="0"/>
        <v>86.875</v>
      </c>
      <c r="E19" s="27">
        <f t="shared" si="0"/>
        <v>83.5</v>
      </c>
      <c r="F19" s="27">
        <f t="shared" si="0"/>
        <v>28.041666666666657</v>
      </c>
      <c r="I19" s="27">
        <f>I11*I15</f>
        <v>37.607342069892468</v>
      </c>
      <c r="J19" s="27">
        <f t="shared" ref="J19:L19" si="1">J11*J15</f>
        <v>101.18275201612904</v>
      </c>
      <c r="K19" s="27">
        <f t="shared" si="1"/>
        <v>97.251911290322568</v>
      </c>
      <c r="L19" s="27">
        <f t="shared" si="1"/>
        <v>32.659948252688174</v>
      </c>
    </row>
    <row r="20" spans="2:13">
      <c r="B20" s="2" t="s">
        <v>44</v>
      </c>
      <c r="C20" s="27">
        <f t="shared" si="0"/>
        <v>17.125</v>
      </c>
      <c r="D20" s="27">
        <f t="shared" si="0"/>
        <v>44.524999999999999</v>
      </c>
      <c r="E20" s="27">
        <f t="shared" si="0"/>
        <v>41.9</v>
      </c>
      <c r="F20" s="27">
        <f t="shared" si="0"/>
        <v>12.941666666666665</v>
      </c>
      <c r="I20" s="27">
        <f t="shared" ref="I20:L20" si="2">I12*I16</f>
        <v>18.779151209677419</v>
      </c>
      <c r="J20" s="27">
        <f t="shared" si="2"/>
        <v>51.857980241935479</v>
      </c>
      <c r="K20" s="27">
        <f t="shared" si="2"/>
        <v>48.800659677419354</v>
      </c>
      <c r="L20" s="27">
        <f t="shared" si="2"/>
        <v>15.073075672043011</v>
      </c>
    </row>
    <row r="22" spans="2:13">
      <c r="B22" s="35" t="s">
        <v>45</v>
      </c>
    </row>
    <row r="23" spans="2:13">
      <c r="B23" s="2" t="s">
        <v>21</v>
      </c>
      <c r="C23" s="2">
        <v>-10</v>
      </c>
      <c r="D23" s="2">
        <v>-10</v>
      </c>
      <c r="E23" s="2">
        <v>-10</v>
      </c>
      <c r="F23" s="2">
        <v>-10</v>
      </c>
      <c r="I23" s="2">
        <v>-10</v>
      </c>
      <c r="J23" s="2">
        <v>-10</v>
      </c>
      <c r="K23" s="2">
        <v>-10</v>
      </c>
      <c r="L23" s="2">
        <v>-10</v>
      </c>
    </row>
    <row r="24" spans="2:13">
      <c r="B24" s="2" t="s">
        <v>22</v>
      </c>
      <c r="C24" s="2">
        <v>-10</v>
      </c>
      <c r="D24" s="2">
        <v>-10</v>
      </c>
      <c r="E24" s="2">
        <v>-10</v>
      </c>
      <c r="F24" s="2">
        <v>-10</v>
      </c>
      <c r="I24" s="2">
        <v>-10</v>
      </c>
      <c r="J24" s="2">
        <v>-10</v>
      </c>
      <c r="K24" s="2">
        <v>-10</v>
      </c>
      <c r="L24" s="2">
        <v>-10</v>
      </c>
    </row>
    <row r="26" spans="2:13">
      <c r="B26" s="36" t="s">
        <v>46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</row>
    <row r="27" spans="2:13">
      <c r="B27" s="37" t="s">
        <v>21</v>
      </c>
      <c r="C27" s="38">
        <f>C19*C23</f>
        <v>-326.25</v>
      </c>
      <c r="D27" s="38">
        <f t="shared" ref="D27:F27" si="3">D19*D23</f>
        <v>-868.75</v>
      </c>
      <c r="E27" s="38">
        <f t="shared" si="3"/>
        <v>-835</v>
      </c>
      <c r="F27" s="38">
        <f t="shared" si="3"/>
        <v>-280.41666666666657</v>
      </c>
      <c r="G27" s="39">
        <f>SUM(C27:F27)</f>
        <v>-2310.4166666666665</v>
      </c>
      <c r="H27" s="37"/>
      <c r="I27" s="38">
        <f>I19*I23</f>
        <v>-376.07342069892468</v>
      </c>
      <c r="J27" s="38">
        <f t="shared" ref="J27:L27" si="4">J19*J23</f>
        <v>-1011.8275201612904</v>
      </c>
      <c r="K27" s="38">
        <f t="shared" si="4"/>
        <v>-972.51911290322573</v>
      </c>
      <c r="L27" s="38">
        <f t="shared" si="4"/>
        <v>-326.59948252688173</v>
      </c>
      <c r="M27" s="39">
        <f>SUM(I27:L27)</f>
        <v>-2687.0195362903223</v>
      </c>
    </row>
    <row r="28" spans="2:13">
      <c r="B28" s="37" t="s">
        <v>22</v>
      </c>
      <c r="C28" s="38">
        <f t="shared" ref="C28:F28" si="5">C20*C24</f>
        <v>-171.25</v>
      </c>
      <c r="D28" s="38">
        <f t="shared" si="5"/>
        <v>-445.25</v>
      </c>
      <c r="E28" s="38">
        <f t="shared" si="5"/>
        <v>-419</v>
      </c>
      <c r="F28" s="38">
        <f t="shared" si="5"/>
        <v>-129.41666666666666</v>
      </c>
      <c r="G28" s="39">
        <f>SUM(C28:F28)</f>
        <v>-1164.9166666666667</v>
      </c>
      <c r="H28" s="37"/>
      <c r="I28" s="38">
        <f t="shared" ref="I28:L28" si="6">I20*I24</f>
        <v>-187.7915120967742</v>
      </c>
      <c r="J28" s="38">
        <f t="shared" si="6"/>
        <v>-518.57980241935479</v>
      </c>
      <c r="K28" s="38">
        <f t="shared" si="6"/>
        <v>-488.00659677419355</v>
      </c>
      <c r="L28" s="38">
        <f t="shared" si="6"/>
        <v>-150.73075672043012</v>
      </c>
      <c r="M28" s="39">
        <f>SUM(I28:L28)</f>
        <v>-1345.1086680107528</v>
      </c>
    </row>
  </sheetData>
  <mergeCells count="2">
    <mergeCell ref="C3:G3"/>
    <mergeCell ref="I3:O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O22"/>
  <sheetViews>
    <sheetView zoomScale="160" zoomScaleNormal="160" workbookViewId="0">
      <selection activeCell="D29" sqref="D29"/>
    </sheetView>
  </sheetViews>
  <sheetFormatPr defaultRowHeight="12"/>
  <cols>
    <col min="1" max="1" width="2" style="2" customWidth="1"/>
    <col min="2" max="2" width="35.140625" style="2" bestFit="1" customWidth="1"/>
    <col min="3" max="3" width="9.140625" style="2" customWidth="1"/>
    <col min="4" max="7" width="9.140625" style="2"/>
    <col min="8" max="8" width="2" style="2" customWidth="1"/>
    <col min="9" max="10" width="9.140625" style="2"/>
    <col min="11" max="11" width="9.140625" style="2" customWidth="1"/>
    <col min="12" max="13" width="9.140625" style="2"/>
    <col min="14" max="14" width="1.42578125" style="2" customWidth="1"/>
    <col min="15" max="16384" width="9.140625" style="2"/>
  </cols>
  <sheetData>
    <row r="1" spans="2:15" ht="15.75">
      <c r="B1" s="3" t="s">
        <v>49</v>
      </c>
    </row>
    <row r="4" spans="2:15">
      <c r="C4" s="65" t="s">
        <v>3</v>
      </c>
      <c r="D4" s="65"/>
      <c r="E4" s="65"/>
      <c r="F4" s="65"/>
      <c r="G4" s="65"/>
      <c r="H4" s="6"/>
      <c r="I4" s="65" t="s">
        <v>20</v>
      </c>
      <c r="J4" s="65"/>
      <c r="K4" s="65"/>
      <c r="L4" s="65"/>
      <c r="M4" s="65"/>
      <c r="N4" s="65"/>
      <c r="O4" s="65"/>
    </row>
    <row r="5" spans="2:15" ht="12.75" thickBot="1">
      <c r="B5" s="7" t="s">
        <v>4</v>
      </c>
      <c r="C5" s="8" t="s">
        <v>5</v>
      </c>
      <c r="D5" s="8" t="s">
        <v>6</v>
      </c>
      <c r="E5" s="8" t="s">
        <v>7</v>
      </c>
      <c r="F5" s="8" t="s">
        <v>8</v>
      </c>
      <c r="G5" s="8" t="s">
        <v>9</v>
      </c>
      <c r="H5" s="6"/>
      <c r="I5" s="8" t="s">
        <v>5</v>
      </c>
      <c r="J5" s="8" t="s">
        <v>6</v>
      </c>
      <c r="K5" s="8" t="s">
        <v>7</v>
      </c>
      <c r="L5" s="8" t="s">
        <v>8</v>
      </c>
      <c r="M5" s="8" t="s">
        <v>9</v>
      </c>
      <c r="N5" s="19"/>
      <c r="O5" s="17" t="s">
        <v>13</v>
      </c>
    </row>
    <row r="6" spans="2:15">
      <c r="B6" s="36" t="str">
        <f>'[1]Production &amp; Direct Materials'!B25</f>
        <v>Production: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</row>
    <row r="7" spans="2:15">
      <c r="B7" s="37" t="str">
        <f>'[1]Production &amp; Direct Materials'!B26</f>
        <v>White Hats</v>
      </c>
      <c r="C7" s="38">
        <f>'Production &amp; Direct Materials'!C26</f>
        <v>130.5</v>
      </c>
      <c r="D7" s="38">
        <f>'Production &amp; Direct Materials'!D26</f>
        <v>347.5</v>
      </c>
      <c r="E7" s="38">
        <f>'Production &amp; Direct Materials'!E26</f>
        <v>334</v>
      </c>
      <c r="F7" s="38">
        <f>'Production &amp; Direct Materials'!F26</f>
        <v>112.16666666666663</v>
      </c>
      <c r="G7" s="39">
        <f>'Production &amp; Direct Materials'!G26</f>
        <v>924.16666666666663</v>
      </c>
      <c r="H7" s="38"/>
      <c r="I7" s="38">
        <f>'Production &amp; Direct Materials'!I26</f>
        <v>150.42936827956987</v>
      </c>
      <c r="J7" s="38">
        <f>'Production &amp; Direct Materials'!J26</f>
        <v>404.73100806451617</v>
      </c>
      <c r="K7" s="38">
        <f>'Production &amp; Direct Materials'!K26</f>
        <v>389.00764516129027</v>
      </c>
      <c r="L7" s="38">
        <f>'Production &amp; Direct Materials'!L26</f>
        <v>130.6397930107527</v>
      </c>
      <c r="M7" s="39">
        <f>'Production &amp; Direct Materials'!M26</f>
        <v>1074.8078145161289</v>
      </c>
      <c r="N7" s="38"/>
    </row>
    <row r="8" spans="2:15">
      <c r="B8" s="37" t="str">
        <f>'[1]Production &amp; Direct Materials'!B27</f>
        <v>Red Hats</v>
      </c>
      <c r="C8" s="38">
        <f>'Production &amp; Direct Materials'!C27</f>
        <v>68.5</v>
      </c>
      <c r="D8" s="38">
        <f>'Production &amp; Direct Materials'!D27</f>
        <v>178.1</v>
      </c>
      <c r="E8" s="38">
        <f>'Production &amp; Direct Materials'!E27</f>
        <v>167.6</v>
      </c>
      <c r="F8" s="38">
        <f>'Production &amp; Direct Materials'!F27</f>
        <v>51.766666666666659</v>
      </c>
      <c r="G8" s="39">
        <f>'Production &amp; Direct Materials'!G27</f>
        <v>465.96666666666664</v>
      </c>
      <c r="H8" s="38"/>
      <c r="I8" s="38">
        <f>'Production &amp; Direct Materials'!I27</f>
        <v>75.116604838709677</v>
      </c>
      <c r="J8" s="38">
        <f>'Production &amp; Direct Materials'!J27</f>
        <v>207.43192096774192</v>
      </c>
      <c r="K8" s="38">
        <f>'Production &amp; Direct Materials'!K27</f>
        <v>195.20263870967742</v>
      </c>
      <c r="L8" s="38">
        <f>'Production &amp; Direct Materials'!L27</f>
        <v>60.292302688172043</v>
      </c>
      <c r="M8" s="39">
        <f>'Production &amp; Direct Materials'!M27</f>
        <v>538.04346720430112</v>
      </c>
      <c r="N8" s="38"/>
    </row>
    <row r="10" spans="2:15">
      <c r="B10" s="2" t="s">
        <v>50</v>
      </c>
      <c r="C10" s="2">
        <v>3</v>
      </c>
      <c r="D10" s="2">
        <v>3</v>
      </c>
      <c r="E10" s="2">
        <v>3</v>
      </c>
      <c r="F10" s="2">
        <v>3</v>
      </c>
      <c r="I10" s="2">
        <v>4</v>
      </c>
      <c r="J10" s="2">
        <v>4</v>
      </c>
      <c r="K10" s="2">
        <v>4</v>
      </c>
      <c r="L10" s="2">
        <v>4</v>
      </c>
    </row>
    <row r="11" spans="2:15">
      <c r="B11" s="2" t="s">
        <v>51</v>
      </c>
      <c r="C11" s="2">
        <v>-40</v>
      </c>
      <c r="D11" s="2">
        <v>-40</v>
      </c>
      <c r="E11" s="2">
        <v>-40</v>
      </c>
      <c r="F11" s="2">
        <v>-40</v>
      </c>
      <c r="I11" s="2">
        <f>C11</f>
        <v>-40</v>
      </c>
      <c r="J11" s="2">
        <f t="shared" ref="J11:L11" si="0">D11</f>
        <v>-40</v>
      </c>
      <c r="K11" s="2">
        <f t="shared" si="0"/>
        <v>-40</v>
      </c>
      <c r="L11" s="2">
        <f t="shared" si="0"/>
        <v>-40</v>
      </c>
    </row>
    <row r="13" spans="2:15">
      <c r="B13" s="36" t="s">
        <v>52</v>
      </c>
      <c r="C13" s="37">
        <f>C10*C11</f>
        <v>-120</v>
      </c>
      <c r="D13" s="37">
        <f t="shared" ref="D13:F13" si="1">D10*D11</f>
        <v>-120</v>
      </c>
      <c r="E13" s="37">
        <f t="shared" si="1"/>
        <v>-120</v>
      </c>
      <c r="F13" s="37">
        <f t="shared" si="1"/>
        <v>-120</v>
      </c>
      <c r="G13" s="42">
        <f>SUM(C13:F13)</f>
        <v>-480</v>
      </c>
      <c r="H13" s="37"/>
      <c r="I13" s="37">
        <f>I10*I11</f>
        <v>-160</v>
      </c>
      <c r="J13" s="37">
        <f t="shared" ref="J13:L13" si="2">J10*J11</f>
        <v>-160</v>
      </c>
      <c r="K13" s="37">
        <f t="shared" si="2"/>
        <v>-160</v>
      </c>
      <c r="L13" s="37">
        <f t="shared" si="2"/>
        <v>-160</v>
      </c>
      <c r="M13" s="42">
        <f>SUM(I13:L13)</f>
        <v>-640</v>
      </c>
    </row>
    <row r="15" spans="2:15">
      <c r="B15" s="2" t="s">
        <v>53</v>
      </c>
      <c r="C15" s="27">
        <f>C7+C8</f>
        <v>199</v>
      </c>
      <c r="D15" s="27">
        <f>D7+D8</f>
        <v>525.6</v>
      </c>
      <c r="E15" s="27">
        <f>E7+E8</f>
        <v>501.6</v>
      </c>
      <c r="F15" s="27">
        <f>F7+F8</f>
        <v>163.93333333333328</v>
      </c>
      <c r="I15" s="27">
        <f>I7+I8</f>
        <v>225.54597311827956</v>
      </c>
      <c r="J15" s="27">
        <f>J7+J8</f>
        <v>612.16292903225803</v>
      </c>
      <c r="K15" s="27">
        <f>K7+K8</f>
        <v>584.21028387096771</v>
      </c>
      <c r="L15" s="27">
        <f>L7+L8</f>
        <v>190.93209569892474</v>
      </c>
    </row>
    <row r="16" spans="2:15">
      <c r="B16" s="2" t="s">
        <v>54</v>
      </c>
      <c r="C16" s="2">
        <v>-0.1</v>
      </c>
      <c r="D16" s="2">
        <v>-0.1</v>
      </c>
      <c r="E16" s="2">
        <v>-0.1</v>
      </c>
      <c r="F16" s="2">
        <v>-0.1</v>
      </c>
      <c r="I16" s="2">
        <f>C16</f>
        <v>-0.1</v>
      </c>
      <c r="J16" s="2">
        <f>D16</f>
        <v>-0.1</v>
      </c>
      <c r="K16" s="2">
        <f>E16</f>
        <v>-0.1</v>
      </c>
      <c r="L16" s="2">
        <f>F16</f>
        <v>-0.1</v>
      </c>
    </row>
    <row r="18" spans="2:13">
      <c r="B18" s="36" t="s">
        <v>55</v>
      </c>
      <c r="C18" s="38">
        <f>C15*C16</f>
        <v>-19.900000000000002</v>
      </c>
      <c r="D18" s="38">
        <f t="shared" ref="D18:F18" si="3">D15*D16</f>
        <v>-52.56</v>
      </c>
      <c r="E18" s="38">
        <f t="shared" si="3"/>
        <v>-50.160000000000004</v>
      </c>
      <c r="F18" s="38">
        <f t="shared" si="3"/>
        <v>-16.393333333333327</v>
      </c>
      <c r="G18" s="39">
        <f>SUM(C18:F18)</f>
        <v>-139.01333333333332</v>
      </c>
      <c r="H18" s="38"/>
      <c r="I18" s="38">
        <f>I15*I16</f>
        <v>-22.554597311827958</v>
      </c>
      <c r="J18" s="38">
        <f>J15*J16</f>
        <v>-61.216292903225806</v>
      </c>
      <c r="K18" s="38">
        <f>K15*K16</f>
        <v>-58.421028387096776</v>
      </c>
      <c r="L18" s="38">
        <f>L15*L16</f>
        <v>-19.093209569892476</v>
      </c>
      <c r="M18" s="39">
        <f>SUM(I18:L18)</f>
        <v>-161.28512817204302</v>
      </c>
    </row>
    <row r="20" spans="2:13">
      <c r="B20" s="36" t="s">
        <v>56</v>
      </c>
      <c r="C20" s="37">
        <v>-400</v>
      </c>
      <c r="D20" s="37">
        <v>-400</v>
      </c>
      <c r="E20" s="37">
        <v>-400</v>
      </c>
      <c r="F20" s="37">
        <v>-400</v>
      </c>
      <c r="G20" s="42">
        <f>SUM(C20:F20)</f>
        <v>-1600</v>
      </c>
      <c r="H20" s="37"/>
      <c r="I20" s="37">
        <f>C20</f>
        <v>-400</v>
      </c>
      <c r="J20" s="37">
        <f t="shared" ref="J20:L20" si="4">D20</f>
        <v>-400</v>
      </c>
      <c r="K20" s="37">
        <f t="shared" si="4"/>
        <v>-400</v>
      </c>
      <c r="L20" s="37">
        <f t="shared" si="4"/>
        <v>-400</v>
      </c>
      <c r="M20" s="42">
        <f>SUM(I20:L20)</f>
        <v>-1600</v>
      </c>
    </row>
    <row r="22" spans="2:13">
      <c r="B22" s="36" t="s">
        <v>57</v>
      </c>
      <c r="C22" s="38">
        <f>'[1]Fixed Assets'!C13</f>
        <v>-50</v>
      </c>
      <c r="D22" s="38">
        <f>'[1]Fixed Assets'!D13</f>
        <v>-50.5</v>
      </c>
      <c r="E22" s="38">
        <f>'[1]Fixed Assets'!E13</f>
        <v>-59.375</v>
      </c>
      <c r="F22" s="38">
        <f>'[1]Fixed Assets'!F13</f>
        <v>-68.706249999999997</v>
      </c>
      <c r="G22" s="39">
        <f>'[1]Fixed Assets'!G13</f>
        <v>-228.58125000000001</v>
      </c>
      <c r="H22" s="37"/>
      <c r="I22" s="38"/>
      <c r="J22" s="38"/>
      <c r="K22" s="38"/>
      <c r="L22" s="38"/>
      <c r="M22" s="39"/>
    </row>
  </sheetData>
  <mergeCells count="2">
    <mergeCell ref="C4:G4"/>
    <mergeCell ref="I4:O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O11"/>
  <sheetViews>
    <sheetView zoomScale="160" zoomScaleNormal="160" workbookViewId="0">
      <selection activeCell="K26" sqref="K26"/>
    </sheetView>
  </sheetViews>
  <sheetFormatPr defaultRowHeight="12"/>
  <cols>
    <col min="1" max="1" width="2" style="2" customWidth="1"/>
    <col min="2" max="2" width="23" style="2" bestFit="1" customWidth="1"/>
    <col min="3" max="7" width="9.140625" style="2"/>
    <col min="8" max="8" width="1.5703125" style="2" customWidth="1"/>
    <col min="9" max="13" width="9.140625" style="2"/>
    <col min="14" max="14" width="2.28515625" style="2" customWidth="1"/>
    <col min="15" max="16384" width="9.140625" style="2"/>
  </cols>
  <sheetData>
    <row r="1" spans="2:15" ht="15.75">
      <c r="B1" s="3" t="s">
        <v>58</v>
      </c>
    </row>
    <row r="4" spans="2:15">
      <c r="C4" s="65" t="s">
        <v>3</v>
      </c>
      <c r="D4" s="65"/>
      <c r="E4" s="65"/>
      <c r="F4" s="65"/>
      <c r="G4" s="65"/>
      <c r="H4" s="6"/>
      <c r="I4" s="65" t="s">
        <v>20</v>
      </c>
      <c r="J4" s="65"/>
      <c r="K4" s="65"/>
      <c r="L4" s="65"/>
      <c r="M4" s="65"/>
      <c r="N4" s="65"/>
      <c r="O4" s="65"/>
    </row>
    <row r="5" spans="2:15" ht="12.75" thickBot="1">
      <c r="B5" s="7" t="s">
        <v>4</v>
      </c>
      <c r="C5" s="8" t="s">
        <v>5</v>
      </c>
      <c r="D5" s="8" t="s">
        <v>6</v>
      </c>
      <c r="E5" s="8" t="s">
        <v>7</v>
      </c>
      <c r="F5" s="8" t="s">
        <v>8</v>
      </c>
      <c r="G5" s="8" t="s">
        <v>9</v>
      </c>
      <c r="H5" s="6"/>
      <c r="I5" s="8" t="s">
        <v>5</v>
      </c>
      <c r="J5" s="8" t="s">
        <v>6</v>
      </c>
      <c r="K5" s="8" t="s">
        <v>7</v>
      </c>
      <c r="L5" s="8" t="s">
        <v>8</v>
      </c>
      <c r="M5" s="8" t="s">
        <v>9</v>
      </c>
      <c r="N5" s="19"/>
      <c r="O5" s="17" t="s">
        <v>13</v>
      </c>
    </row>
    <row r="6" spans="2:15">
      <c r="B6" s="2" t="str">
        <f>'[1]Production &amp; Direct Materials'!B44</f>
        <v>Fabric Purchases</v>
      </c>
      <c r="C6" s="27">
        <f>'Production &amp; Direct Materials'!C45+'Production &amp; Direct Materials'!C46</f>
        <v>-259.35000000000002</v>
      </c>
      <c r="D6" s="27">
        <f>'Production &amp; Direct Materials'!D45+'Production &amp; Direct Materials'!D46</f>
        <v>-684.15</v>
      </c>
      <c r="E6" s="27">
        <f>'Production &amp; Direct Materials'!E45+'Production &amp; Direct Materials'!E46</f>
        <v>-652.20000000000005</v>
      </c>
      <c r="F6" s="27">
        <f>'Production &amp; Direct Materials'!F45+'Production &amp; Direct Materials'!F46</f>
        <v>-212.24999999999994</v>
      </c>
      <c r="G6" s="27">
        <f>'Production &amp; Direct Materials'!G45+'Production &amp; Direct Materials'!G46</f>
        <v>-1807.9499999999998</v>
      </c>
      <c r="I6" s="27">
        <f>'Production &amp; Direct Materials'!I45+'Production &amp; Direct Materials'!I46</f>
        <v>-293.19014919354834</v>
      </c>
      <c r="J6" s="27">
        <f>'Production &amp; Direct Materials'!J45+'Production &amp; Direct Materials'!J46</f>
        <v>-796.82509112903222</v>
      </c>
      <c r="K6" s="27">
        <f>'Production &amp; Direct Materials'!K45+'Production &amp; Direct Materials'!K46</f>
        <v>-759.61313225806441</v>
      </c>
      <c r="L6" s="27">
        <f>'Production &amp; Direct Materials'!L45+'Production &amp; Direct Materials'!L46</f>
        <v>-247.20620564516128</v>
      </c>
      <c r="M6" s="27">
        <f>'Production &amp; Direct Materials'!M45+'Production &amp; Direct Materials'!M46</f>
        <v>-2096.8345782258066</v>
      </c>
      <c r="N6" s="18"/>
      <c r="O6" s="9"/>
    </row>
    <row r="7" spans="2:15">
      <c r="B7" s="2" t="s">
        <v>40</v>
      </c>
      <c r="C7" s="27">
        <f>'Direct Labour'!C27+'Direct Labour'!C28</f>
        <v>-497.5</v>
      </c>
      <c r="D7" s="27">
        <f>'Direct Labour'!D27+'Direct Labour'!D28</f>
        <v>-1314</v>
      </c>
      <c r="E7" s="27">
        <f>'Direct Labour'!E27+'Direct Labour'!E28</f>
        <v>-1254</v>
      </c>
      <c r="F7" s="27">
        <f>'Direct Labour'!F27+'Direct Labour'!F28</f>
        <v>-409.83333333333326</v>
      </c>
      <c r="G7" s="27">
        <f>'Direct Labour'!G27+'Direct Labour'!G28</f>
        <v>-3475.333333333333</v>
      </c>
      <c r="I7" s="27">
        <f>'Direct Labour'!I27+'Direct Labour'!I28</f>
        <v>-563.86493279569891</v>
      </c>
      <c r="J7" s="27">
        <f>'Direct Labour'!J27+'Direct Labour'!J28</f>
        <v>-1530.4073225806451</v>
      </c>
      <c r="K7" s="27">
        <f>'Direct Labour'!K27+'Direct Labour'!K28</f>
        <v>-1460.5257096774194</v>
      </c>
      <c r="L7" s="27">
        <f>'Direct Labour'!L27+'Direct Labour'!L28</f>
        <v>-477.33023924731185</v>
      </c>
      <c r="M7" s="27">
        <f>'Direct Labour'!M27+'Direct Labour'!M28</f>
        <v>-4032.1282043010751</v>
      </c>
      <c r="O7" s="9"/>
    </row>
    <row r="8" spans="2:15">
      <c r="B8" s="2" t="s">
        <v>59</v>
      </c>
      <c r="C8" s="2">
        <f>Overhead!C13</f>
        <v>-120</v>
      </c>
      <c r="D8" s="2">
        <f>Overhead!D13</f>
        <v>-120</v>
      </c>
      <c r="E8" s="2">
        <f>Overhead!E13</f>
        <v>-120</v>
      </c>
      <c r="F8" s="2">
        <f>Overhead!F13</f>
        <v>-120</v>
      </c>
      <c r="G8" s="2">
        <f>Overhead!G13</f>
        <v>-480</v>
      </c>
      <c r="I8" s="2">
        <f>Overhead!I13</f>
        <v>-160</v>
      </c>
      <c r="J8" s="2">
        <f>Overhead!J13</f>
        <v>-160</v>
      </c>
      <c r="K8" s="2">
        <f>Overhead!K13</f>
        <v>-160</v>
      </c>
      <c r="L8" s="2">
        <f>Overhead!L13</f>
        <v>-160</v>
      </c>
      <c r="M8" s="2">
        <f>Overhead!M13</f>
        <v>-640</v>
      </c>
      <c r="O8" s="9"/>
    </row>
    <row r="9" spans="2:15">
      <c r="B9" s="2" t="s">
        <v>60</v>
      </c>
      <c r="C9" s="27">
        <f>Overhead!C18</f>
        <v>-19.900000000000002</v>
      </c>
      <c r="D9" s="27">
        <f>Overhead!D18</f>
        <v>-52.56</v>
      </c>
      <c r="E9" s="27">
        <f>Overhead!E18</f>
        <v>-50.160000000000004</v>
      </c>
      <c r="F9" s="27">
        <f>Overhead!F18</f>
        <v>-16.393333333333327</v>
      </c>
      <c r="G9" s="27">
        <f>Overhead!G18</f>
        <v>-139.01333333333332</v>
      </c>
      <c r="I9" s="27">
        <f>Overhead!I18</f>
        <v>-22.554597311827958</v>
      </c>
      <c r="J9" s="27">
        <f>Overhead!J18</f>
        <v>-61.216292903225806</v>
      </c>
      <c r="K9" s="27">
        <f>Overhead!K18</f>
        <v>-58.421028387096776</v>
      </c>
      <c r="L9" s="27">
        <f>Overhead!L18</f>
        <v>-19.093209569892476</v>
      </c>
      <c r="M9" s="27">
        <f>Overhead!M18</f>
        <v>-161.28512817204302</v>
      </c>
      <c r="O9" s="9"/>
    </row>
    <row r="10" spans="2:15">
      <c r="B10" s="2" t="s">
        <v>61</v>
      </c>
      <c r="C10" s="2">
        <f>Overhead!C20</f>
        <v>-400</v>
      </c>
      <c r="D10" s="2">
        <f>Overhead!D20</f>
        <v>-400</v>
      </c>
      <c r="E10" s="2">
        <f>Overhead!E20</f>
        <v>-400</v>
      </c>
      <c r="F10" s="2">
        <f>Overhead!F20</f>
        <v>-400</v>
      </c>
      <c r="G10" s="2">
        <f>Overhead!G20</f>
        <v>-1600</v>
      </c>
      <c r="I10" s="2">
        <f>Overhead!I20</f>
        <v>-400</v>
      </c>
      <c r="J10" s="2">
        <f>Overhead!J20</f>
        <v>-400</v>
      </c>
      <c r="K10" s="2">
        <f>Overhead!K20</f>
        <v>-400</v>
      </c>
      <c r="L10" s="2">
        <f>Overhead!L20</f>
        <v>-400</v>
      </c>
      <c r="M10" s="2">
        <f>Overhead!M20</f>
        <v>-1600</v>
      </c>
      <c r="O10" s="9"/>
    </row>
    <row r="11" spans="2:15" ht="12.75" thickBot="1">
      <c r="B11" s="14" t="s">
        <v>58</v>
      </c>
      <c r="C11" s="33">
        <f>SUM(C6:C10)</f>
        <v>-1296.75</v>
      </c>
      <c r="D11" s="33">
        <f>SUM(D6:D10)</f>
        <v>-2570.71</v>
      </c>
      <c r="E11" s="33">
        <f>SUM(E6:E10)</f>
        <v>-2476.36</v>
      </c>
      <c r="F11" s="33">
        <f>SUM(F6:F10)</f>
        <v>-1158.4766666666665</v>
      </c>
      <c r="G11" s="33">
        <f>SUM(G6:G10)</f>
        <v>-7502.2966666666662</v>
      </c>
      <c r="H11" s="43"/>
      <c r="I11" s="33">
        <f>SUM(I6:I10)</f>
        <v>-1439.6096793010752</v>
      </c>
      <c r="J11" s="33">
        <f t="shared" ref="J11:M11" si="0">SUM(J6:J10)</f>
        <v>-2948.4487066129032</v>
      </c>
      <c r="K11" s="33">
        <f t="shared" si="0"/>
        <v>-2838.5598703225805</v>
      </c>
      <c r="L11" s="33">
        <f t="shared" si="0"/>
        <v>-1303.6296544623656</v>
      </c>
      <c r="M11" s="33">
        <f t="shared" si="0"/>
        <v>-8530.2479106989249</v>
      </c>
      <c r="N11" s="43"/>
      <c r="O11" s="16"/>
    </row>
  </sheetData>
  <mergeCells count="2">
    <mergeCell ref="C4:G4"/>
    <mergeCell ref="I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P&amp;L Budgeting</vt:lpstr>
      <vt:lpstr>Sales Budget --&gt;</vt:lpstr>
      <vt:lpstr>Volume Forecast</vt:lpstr>
      <vt:lpstr>Revenue Forecast</vt:lpstr>
      <vt:lpstr>Production Budget --&gt;</vt:lpstr>
      <vt:lpstr>Production &amp; Direct Materials</vt:lpstr>
      <vt:lpstr>Direct Labour</vt:lpstr>
      <vt:lpstr>Overhead</vt:lpstr>
      <vt:lpstr>Cost of Goods Sold</vt:lpstr>
      <vt:lpstr>SG&amp;A Budget --&gt;</vt:lpstr>
      <vt:lpstr>SG&amp;A</vt:lpstr>
      <vt:lpstr>Balance Sheet Budgeting</vt:lpstr>
      <vt:lpstr>Working Capital</vt:lpstr>
      <vt:lpstr>Fixed Assets</vt:lpstr>
      <vt:lpstr>Financial Statements</vt:lpstr>
      <vt:lpstr>Income Statement</vt:lpstr>
      <vt:lpstr>Balance Sheet</vt:lpstr>
      <vt:lpstr>Cash Flow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Admin</cp:lastModifiedBy>
  <dcterms:created xsi:type="dcterms:W3CDTF">2016-04-07T21:15:22Z</dcterms:created>
  <dcterms:modified xsi:type="dcterms:W3CDTF">2019-08-15T11:24:44Z</dcterms:modified>
</cp:coreProperties>
</file>