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000" windowHeight="9735" activeTab="6"/>
  </bookViews>
  <sheets>
    <sheet name="Assumptions" sheetId="2" r:id="rId1"/>
    <sheet name="Summary" sheetId="9" r:id="rId2"/>
    <sheet name="P&amp;L" sheetId="4" r:id="rId3"/>
    <sheet name="Bal Sheet" sheetId="5" r:id="rId4"/>
    <sheet name="Cash Flow" sheetId="6" r:id="rId5"/>
    <sheet name="Inventory" sheetId="7" r:id="rId6"/>
    <sheet name="Variance Analysis" sheetId="8" r:id="rId7"/>
  </sheets>
  <definedNames>
    <definedName name="PriceWidgetA">Assumptions!$C$17</definedName>
    <definedName name="PriceWidgetB">Assumptions!$C$18</definedName>
    <definedName name="PriceWidgetC">Assumptions!$C$19</definedName>
    <definedName name="TotEmployees">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8"/>
  <c r="J24"/>
  <c r="J23"/>
  <c r="J22"/>
  <c r="J15"/>
  <c r="J14"/>
  <c r="J13"/>
  <c r="J9"/>
  <c r="J8"/>
  <c r="J7"/>
  <c r="F25"/>
  <c r="F24"/>
  <c r="F23"/>
  <c r="F22"/>
  <c r="F15"/>
  <c r="F14"/>
  <c r="F13"/>
  <c r="F9"/>
  <c r="F8"/>
  <c r="F7"/>
  <c r="D29" i="7"/>
  <c r="E29" s="1"/>
  <c r="F29" s="1"/>
  <c r="G29" s="1"/>
  <c r="H29" s="1"/>
  <c r="I29" s="1"/>
  <c r="J29" s="1"/>
  <c r="K29" s="1"/>
  <c r="L29" s="1"/>
  <c r="M29" s="1"/>
  <c r="N29" s="1"/>
  <c r="O29" s="1"/>
  <c r="D27"/>
  <c r="O26"/>
  <c r="N26"/>
  <c r="M26"/>
  <c r="L26"/>
  <c r="K26"/>
  <c r="J26"/>
  <c r="I26"/>
  <c r="H26"/>
  <c r="G26"/>
  <c r="F26"/>
  <c r="E26"/>
  <c r="D26"/>
  <c r="D20"/>
  <c r="E20" s="1"/>
  <c r="F20" s="1"/>
  <c r="G20" s="1"/>
  <c r="H20" s="1"/>
  <c r="I20" s="1"/>
  <c r="J20" s="1"/>
  <c r="K20" s="1"/>
  <c r="L20" s="1"/>
  <c r="M20" s="1"/>
  <c r="N20" s="1"/>
  <c r="O20" s="1"/>
  <c r="D18"/>
  <c r="O17"/>
  <c r="N17"/>
  <c r="M17"/>
  <c r="L17"/>
  <c r="K17"/>
  <c r="J17"/>
  <c r="I17"/>
  <c r="H17"/>
  <c r="G17"/>
  <c r="F17"/>
  <c r="E17"/>
  <c r="D17"/>
  <c r="D19" s="1"/>
  <c r="E16" s="1"/>
  <c r="O9"/>
  <c r="N9"/>
  <c r="M9"/>
  <c r="L9"/>
  <c r="K9"/>
  <c r="J9"/>
  <c r="I9"/>
  <c r="H9"/>
  <c r="G9"/>
  <c r="F9"/>
  <c r="E9"/>
  <c r="D12"/>
  <c r="E12" s="1"/>
  <c r="F12" s="1"/>
  <c r="G12" s="1"/>
  <c r="H12" s="1"/>
  <c r="I12" s="1"/>
  <c r="J12" s="1"/>
  <c r="K12" s="1"/>
  <c r="L12" s="1"/>
  <c r="M12" s="1"/>
  <c r="N12" s="1"/>
  <c r="O12" s="1"/>
  <c r="D9"/>
  <c r="D10"/>
  <c r="D35" l="1"/>
  <c r="D28"/>
  <c r="E25" s="1"/>
  <c r="D21"/>
  <c r="D11"/>
  <c r="Q14" i="6"/>
  <c r="P14"/>
  <c r="O14"/>
  <c r="N14"/>
  <c r="L14"/>
  <c r="K14"/>
  <c r="J14"/>
  <c r="I14"/>
  <c r="G14"/>
  <c r="F14"/>
  <c r="E14"/>
  <c r="D14"/>
  <c r="N89" i="2"/>
  <c r="O18" i="5" s="1"/>
  <c r="M89" i="2"/>
  <c r="N18" i="5" s="1"/>
  <c r="F89" i="2"/>
  <c r="G18" i="5" s="1"/>
  <c r="N88" i="2"/>
  <c r="O17" i="5" s="1"/>
  <c r="M88" i="2"/>
  <c r="N17" i="5" s="1"/>
  <c r="F88" i="2"/>
  <c r="G17" i="5" s="1"/>
  <c r="G40" i="2"/>
  <c r="H40" s="1"/>
  <c r="I40" s="1"/>
  <c r="J40" s="1"/>
  <c r="K40" s="1"/>
  <c r="L40" s="1"/>
  <c r="L89" s="1"/>
  <c r="M18" i="5" s="1"/>
  <c r="E40" i="2"/>
  <c r="E89" s="1"/>
  <c r="F18" i="5" s="1"/>
  <c r="D40" i="2"/>
  <c r="D89" s="1"/>
  <c r="E18" i="5" s="1"/>
  <c r="C40" i="2"/>
  <c r="D36" i="5"/>
  <c r="O33"/>
  <c r="N33"/>
  <c r="M33"/>
  <c r="L33"/>
  <c r="K33"/>
  <c r="J33"/>
  <c r="I33"/>
  <c r="H33"/>
  <c r="G33"/>
  <c r="F33"/>
  <c r="E33"/>
  <c r="D33"/>
  <c r="D22" i="6" l="1"/>
  <c r="D23" s="1"/>
  <c r="E36" i="5"/>
  <c r="D30" i="7"/>
  <c r="D36"/>
  <c r="E8"/>
  <c r="D34"/>
  <c r="F24" i="4"/>
  <c r="D13" i="7"/>
  <c r="C89" i="2"/>
  <c r="D18" i="5" s="1"/>
  <c r="C88" i="2"/>
  <c r="D17" i="5" s="1"/>
  <c r="G88" i="2"/>
  <c r="H17" i="5" s="1"/>
  <c r="G89" i="2"/>
  <c r="H18" i="5" s="1"/>
  <c r="P24" i="4"/>
  <c r="R14" i="6"/>
  <c r="M14"/>
  <c r="H14"/>
  <c r="J88" i="2"/>
  <c r="K17" i="5" s="1"/>
  <c r="J89" i="2"/>
  <c r="K18" i="5" s="1"/>
  <c r="K88" i="2"/>
  <c r="L17" i="5" s="1"/>
  <c r="K89" i="2"/>
  <c r="L18" i="5" s="1"/>
  <c r="D88" i="2"/>
  <c r="E17" i="5" s="1"/>
  <c r="D24" i="4" s="1"/>
  <c r="H88" i="2"/>
  <c r="I17" i="5" s="1"/>
  <c r="L88" i="2"/>
  <c r="M17" i="5" s="1"/>
  <c r="O24" i="4" s="1"/>
  <c r="H89" i="2"/>
  <c r="I18" i="5" s="1"/>
  <c r="E88" i="2"/>
  <c r="F17" i="5" s="1"/>
  <c r="E24" i="4" s="1"/>
  <c r="I88" i="2"/>
  <c r="J17" i="5" s="1"/>
  <c r="I89" i="2"/>
  <c r="J18" i="5" s="1"/>
  <c r="C24" i="4" l="1"/>
  <c r="D19" i="5" s="1"/>
  <c r="E19" s="1"/>
  <c r="F19" s="1"/>
  <c r="G19" s="1"/>
  <c r="D37" i="7"/>
  <c r="D13" i="5" s="1"/>
  <c r="D14" s="1"/>
  <c r="F36"/>
  <c r="E22" i="6"/>
  <c r="H24" i="4"/>
  <c r="M24"/>
  <c r="N24"/>
  <c r="K24"/>
  <c r="J24"/>
  <c r="I24"/>
  <c r="D20" i="5" l="1"/>
  <c r="D18" i="6" s="1"/>
  <c r="D19" s="1"/>
  <c r="F20" i="5"/>
  <c r="D12" i="6"/>
  <c r="E23"/>
  <c r="F22"/>
  <c r="F23" s="1"/>
  <c r="G36" i="5"/>
  <c r="H19"/>
  <c r="H20" s="1"/>
  <c r="E20"/>
  <c r="G20"/>
  <c r="G18" i="6" l="1"/>
  <c r="G19" s="1"/>
  <c r="F18"/>
  <c r="F19" s="1"/>
  <c r="I18"/>
  <c r="I19" s="1"/>
  <c r="I19" i="5"/>
  <c r="J19" s="1"/>
  <c r="J20" s="1"/>
  <c r="H36"/>
  <c r="G22" i="6"/>
  <c r="G23" s="1"/>
  <c r="E18"/>
  <c r="E19" s="1"/>
  <c r="K19" i="5" l="1"/>
  <c r="L19" s="1"/>
  <c r="H18" i="6"/>
  <c r="H19" s="1"/>
  <c r="I20" i="5"/>
  <c r="J18" i="6" s="1"/>
  <c r="J19" s="1"/>
  <c r="H22"/>
  <c r="I36" i="5"/>
  <c r="I22" i="6"/>
  <c r="K20" i="5"/>
  <c r="H23" i="6" l="1"/>
  <c r="C17" i="9"/>
  <c r="K18" i="6"/>
  <c r="K19" s="1"/>
  <c r="I23"/>
  <c r="J22"/>
  <c r="J23" s="1"/>
  <c r="J36" i="5"/>
  <c r="L18" i="6"/>
  <c r="L19" s="1"/>
  <c r="L20" i="5"/>
  <c r="M19"/>
  <c r="K22" i="6" l="1"/>
  <c r="K23" s="1"/>
  <c r="K36" i="5"/>
  <c r="M18" i="6"/>
  <c r="M19" s="1"/>
  <c r="N18"/>
  <c r="M20" i="5"/>
  <c r="N19"/>
  <c r="L22" i="6" l="1"/>
  <c r="L36" i="5"/>
  <c r="N19" i="6"/>
  <c r="O18"/>
  <c r="O19" s="1"/>
  <c r="O19" i="5"/>
  <c r="O20" s="1"/>
  <c r="N20"/>
  <c r="M36" l="1"/>
  <c r="N22" i="6"/>
  <c r="L23"/>
  <c r="M22"/>
  <c r="Q18"/>
  <c r="Q19" s="1"/>
  <c r="P18"/>
  <c r="P19" s="1"/>
  <c r="M23" l="1"/>
  <c r="D17" i="9"/>
  <c r="N36" i="5"/>
  <c r="O22" i="6"/>
  <c r="O23" s="1"/>
  <c r="N23"/>
  <c r="R18"/>
  <c r="R19" s="1"/>
  <c r="C23" i="4"/>
  <c r="C14"/>
  <c r="C13"/>
  <c r="C12"/>
  <c r="C8"/>
  <c r="C7"/>
  <c r="C6"/>
  <c r="Q24"/>
  <c r="L24"/>
  <c r="G24"/>
  <c r="C95" i="2"/>
  <c r="E62"/>
  <c r="F62" s="1"/>
  <c r="G62" s="1"/>
  <c r="H62" s="1"/>
  <c r="I62" s="1"/>
  <c r="J62" s="1"/>
  <c r="K62" s="1"/>
  <c r="L62" s="1"/>
  <c r="M62" s="1"/>
  <c r="N62" s="1"/>
  <c r="D61"/>
  <c r="D63"/>
  <c r="E63" s="1"/>
  <c r="F63" s="1"/>
  <c r="G63" s="1"/>
  <c r="H63" s="1"/>
  <c r="I63" s="1"/>
  <c r="J63" s="1"/>
  <c r="K63" s="1"/>
  <c r="L63" s="1"/>
  <c r="M63" s="1"/>
  <c r="N63" s="1"/>
  <c r="D64"/>
  <c r="E64" s="1"/>
  <c r="F64" s="1"/>
  <c r="G64" s="1"/>
  <c r="H64" s="1"/>
  <c r="I64" s="1"/>
  <c r="J64" s="1"/>
  <c r="K64" s="1"/>
  <c r="L64" s="1"/>
  <c r="M64" s="1"/>
  <c r="N64" s="1"/>
  <c r="C50"/>
  <c r="C22" i="4" s="1"/>
  <c r="D49" i="2"/>
  <c r="E49" s="1"/>
  <c r="F49" s="1"/>
  <c r="G49" s="1"/>
  <c r="H49" s="1"/>
  <c r="I49" s="1"/>
  <c r="J49" s="1"/>
  <c r="K49" s="1"/>
  <c r="L49" s="1"/>
  <c r="M49" s="1"/>
  <c r="N49" s="1"/>
  <c r="D45"/>
  <c r="E45" s="1"/>
  <c r="F45" s="1"/>
  <c r="G45" s="1"/>
  <c r="H45" s="1"/>
  <c r="I45" s="1"/>
  <c r="J45" s="1"/>
  <c r="K45" s="1"/>
  <c r="L45" s="1"/>
  <c r="M45" s="1"/>
  <c r="N45" s="1"/>
  <c r="D44"/>
  <c r="N37"/>
  <c r="P21" i="4" s="1"/>
  <c r="M37" i="2"/>
  <c r="O21" i="4" s="1"/>
  <c r="L37" i="2"/>
  <c r="N21" i="4" s="1"/>
  <c r="K37" i="2"/>
  <c r="M21" i="4" s="1"/>
  <c r="J37" i="2"/>
  <c r="I37"/>
  <c r="J21" i="4" s="1"/>
  <c r="H37" i="2"/>
  <c r="G37"/>
  <c r="F37"/>
  <c r="E37"/>
  <c r="I21" i="4"/>
  <c r="D37" i="2"/>
  <c r="C37"/>
  <c r="C21" i="4"/>
  <c r="G25" i="8" l="1"/>
  <c r="C25"/>
  <c r="H25"/>
  <c r="D25"/>
  <c r="I25"/>
  <c r="E25"/>
  <c r="D23" i="4"/>
  <c r="P22" i="6"/>
  <c r="O36" i="5"/>
  <c r="Q22" i="6" s="1"/>
  <c r="Q23" s="1"/>
  <c r="C25" i="4"/>
  <c r="K21"/>
  <c r="D28" i="5"/>
  <c r="D13" i="6" s="1"/>
  <c r="D50" i="2"/>
  <c r="D22" i="4" s="1"/>
  <c r="H21"/>
  <c r="E61" i="2"/>
  <c r="D32"/>
  <c r="E44"/>
  <c r="Q21" i="4"/>
  <c r="C15"/>
  <c r="C9"/>
  <c r="D9" i="5" s="1"/>
  <c r="D9" i="2"/>
  <c r="E27" i="7" s="1"/>
  <c r="E28" s="1"/>
  <c r="D8" i="2"/>
  <c r="E18" i="7" s="1"/>
  <c r="E19" s="1"/>
  <c r="D7" i="2"/>
  <c r="E10" i="7" s="1"/>
  <c r="E11" s="1"/>
  <c r="E34" s="1"/>
  <c r="I22" i="8" l="1"/>
  <c r="E22"/>
  <c r="E28" i="5"/>
  <c r="E13" i="6" s="1"/>
  <c r="P23"/>
  <c r="R22"/>
  <c r="E36" i="7"/>
  <c r="F25"/>
  <c r="E30"/>
  <c r="F16"/>
  <c r="E35"/>
  <c r="E21"/>
  <c r="D29" i="5"/>
  <c r="F8" i="7"/>
  <c r="E13"/>
  <c r="L21" i="4"/>
  <c r="D11" i="6"/>
  <c r="E29" i="5"/>
  <c r="D21" i="4"/>
  <c r="E32" i="2"/>
  <c r="E7"/>
  <c r="F10" i="7" s="1"/>
  <c r="D6" i="4"/>
  <c r="D12"/>
  <c r="E23"/>
  <c r="F61" i="2"/>
  <c r="E8"/>
  <c r="F18" i="7" s="1"/>
  <c r="D7" i="4"/>
  <c r="D13"/>
  <c r="E9" i="2"/>
  <c r="F27" i="7" s="1"/>
  <c r="D14" i="4"/>
  <c r="D8"/>
  <c r="F44" i="2"/>
  <c r="E50"/>
  <c r="E22" i="4" s="1"/>
  <c r="C17"/>
  <c r="D22" i="8" l="1"/>
  <c r="H22"/>
  <c r="R23" i="6"/>
  <c r="E17" i="9"/>
  <c r="E37" i="7"/>
  <c r="E13" i="5" s="1"/>
  <c r="E14" s="1"/>
  <c r="F28" i="7"/>
  <c r="F19"/>
  <c r="C27" i="4"/>
  <c r="D38" i="5" s="1"/>
  <c r="D39" s="1"/>
  <c r="D41" s="1"/>
  <c r="C18" i="4"/>
  <c r="F11" i="7"/>
  <c r="F34" s="1"/>
  <c r="F28" i="5"/>
  <c r="F8" i="2"/>
  <c r="G18" i="7" s="1"/>
  <c r="E13" i="4"/>
  <c r="E7"/>
  <c r="G44" i="2"/>
  <c r="F50"/>
  <c r="F22" i="4" s="1"/>
  <c r="G61" i="2"/>
  <c r="F23" i="4"/>
  <c r="G23" s="1"/>
  <c r="F7" i="2"/>
  <c r="G10" i="7" s="1"/>
  <c r="E6" i="4"/>
  <c r="E12"/>
  <c r="F32" i="2"/>
  <c r="F21" i="4" s="1"/>
  <c r="E21"/>
  <c r="E25" s="1"/>
  <c r="F9" i="2"/>
  <c r="G27" i="7" s="1"/>
  <c r="E14" i="4"/>
  <c r="E8"/>
  <c r="D9"/>
  <c r="D15"/>
  <c r="D25"/>
  <c r="G24" i="8" l="1"/>
  <c r="C24"/>
  <c r="E12" i="6"/>
  <c r="D10"/>
  <c r="D15" s="1"/>
  <c r="D25" s="1"/>
  <c r="D8" i="5" s="1"/>
  <c r="D10" s="1"/>
  <c r="D22" s="1"/>
  <c r="D43" s="1"/>
  <c r="F36" i="7"/>
  <c r="F30"/>
  <c r="G25"/>
  <c r="G28" s="1"/>
  <c r="G16"/>
  <c r="G19" s="1"/>
  <c r="F35"/>
  <c r="F21"/>
  <c r="E9" i="4"/>
  <c r="F9" i="5" s="1"/>
  <c r="G8" i="7"/>
  <c r="G11" s="1"/>
  <c r="G34" s="1"/>
  <c r="F13"/>
  <c r="F29" i="5"/>
  <c r="F13" i="6"/>
  <c r="G21" i="4"/>
  <c r="G28" i="5"/>
  <c r="G22" i="4"/>
  <c r="E9" i="5"/>
  <c r="D17" i="4"/>
  <c r="H44" i="2"/>
  <c r="G50"/>
  <c r="H22" i="4" s="1"/>
  <c r="G9" i="2"/>
  <c r="H27" i="7" s="1"/>
  <c r="F8" i="4"/>
  <c r="G8" s="1"/>
  <c r="F14"/>
  <c r="G14" s="1"/>
  <c r="G7" i="2"/>
  <c r="H10" i="7" s="1"/>
  <c r="F12" i="4"/>
  <c r="F6"/>
  <c r="G8" i="2"/>
  <c r="H18" i="7" s="1"/>
  <c r="F13" i="4"/>
  <c r="G13" s="1"/>
  <c r="F7"/>
  <c r="G7" s="1"/>
  <c r="F25"/>
  <c r="E15"/>
  <c r="H61" i="2"/>
  <c r="H23" i="4"/>
  <c r="G14" i="8" l="1"/>
  <c r="C14"/>
  <c r="G23"/>
  <c r="C23"/>
  <c r="C9"/>
  <c r="G9"/>
  <c r="G15"/>
  <c r="C15"/>
  <c r="C22"/>
  <c r="G22"/>
  <c r="G8"/>
  <c r="C8"/>
  <c r="E7" i="6"/>
  <c r="F37" i="7"/>
  <c r="F13" i="5" s="1"/>
  <c r="F14" s="1"/>
  <c r="G36" i="7"/>
  <c r="H25"/>
  <c r="H28" s="1"/>
  <c r="G30"/>
  <c r="H16"/>
  <c r="H19" s="1"/>
  <c r="G35"/>
  <c r="G21"/>
  <c r="D27" i="4"/>
  <c r="E38" i="5" s="1"/>
  <c r="E39" s="1"/>
  <c r="E41" s="1"/>
  <c r="D18" i="4"/>
  <c r="E17"/>
  <c r="G25"/>
  <c r="C8" i="9" s="1"/>
  <c r="H8" i="7"/>
  <c r="H11" s="1"/>
  <c r="H34" s="1"/>
  <c r="G13"/>
  <c r="F9" i="4"/>
  <c r="G9" i="5" s="1"/>
  <c r="G29"/>
  <c r="C13" i="9" s="1"/>
  <c r="G13" i="6"/>
  <c r="F11"/>
  <c r="E11"/>
  <c r="G6" i="4"/>
  <c r="H13" i="6"/>
  <c r="H28" i="5"/>
  <c r="H25" i="4"/>
  <c r="F15"/>
  <c r="G12"/>
  <c r="H9" i="2"/>
  <c r="I27" i="7" s="1"/>
  <c r="H8" i="4"/>
  <c r="H14"/>
  <c r="H8" i="2"/>
  <c r="I18" i="7" s="1"/>
  <c r="H13" i="4"/>
  <c r="H7"/>
  <c r="I44" i="2"/>
  <c r="H50"/>
  <c r="I22" i="4" s="1"/>
  <c r="I61" i="2"/>
  <c r="I23" i="4"/>
  <c r="H7" i="2"/>
  <c r="I10" i="7" s="1"/>
  <c r="H12" i="4"/>
  <c r="H6"/>
  <c r="G26" i="8" l="1"/>
  <c r="G9" i="4"/>
  <c r="C5" i="9" s="1"/>
  <c r="C7" i="8"/>
  <c r="C10" s="1"/>
  <c r="G7"/>
  <c r="G10" s="1"/>
  <c r="G15" i="4"/>
  <c r="C6" i="9" s="1"/>
  <c r="G13" i="8"/>
  <c r="G16" s="1"/>
  <c r="C13"/>
  <c r="C16" s="1"/>
  <c r="C26"/>
  <c r="G17" i="4"/>
  <c r="G18" s="1"/>
  <c r="F12" i="6"/>
  <c r="E10"/>
  <c r="E15" s="1"/>
  <c r="E25" s="1"/>
  <c r="E8" i="5" s="1"/>
  <c r="E10" s="1"/>
  <c r="E22" s="1"/>
  <c r="E43" s="1"/>
  <c r="H36" i="7"/>
  <c r="H30"/>
  <c r="I25"/>
  <c r="I28" s="1"/>
  <c r="G37"/>
  <c r="G13" i="5" s="1"/>
  <c r="G12" i="6" s="1"/>
  <c r="I16" i="7"/>
  <c r="I19" s="1"/>
  <c r="H35"/>
  <c r="H21"/>
  <c r="E27" i="4"/>
  <c r="F10" i="6" s="1"/>
  <c r="E18" i="4"/>
  <c r="F17"/>
  <c r="I8" i="7"/>
  <c r="I11" s="1"/>
  <c r="I34" s="1"/>
  <c r="H13"/>
  <c r="G11" i="6"/>
  <c r="H11" s="1"/>
  <c r="H29" i="5"/>
  <c r="I13" i="6"/>
  <c r="I8" i="2"/>
  <c r="J18" i="7" s="1"/>
  <c r="I13" i="4"/>
  <c r="I7"/>
  <c r="J61" i="2"/>
  <c r="J23" i="4"/>
  <c r="I28" i="5"/>
  <c r="I25" i="4"/>
  <c r="H9"/>
  <c r="H9" i="5" s="1"/>
  <c r="I11" i="6" s="1"/>
  <c r="J44" i="2"/>
  <c r="I50"/>
  <c r="J22" i="4" s="1"/>
  <c r="H15"/>
  <c r="I7" i="2"/>
  <c r="J10" i="7" s="1"/>
  <c r="I12" i="4"/>
  <c r="I6"/>
  <c r="I9" i="2"/>
  <c r="J27" i="7" s="1"/>
  <c r="I14" i="4"/>
  <c r="I8"/>
  <c r="G18" i="8" l="1"/>
  <c r="G19" s="1"/>
  <c r="G14" i="5"/>
  <c r="G28" i="8"/>
  <c r="C22" i="9" s="1"/>
  <c r="C18" i="8"/>
  <c r="C7" i="9"/>
  <c r="C9" s="1"/>
  <c r="F15" i="6"/>
  <c r="H12"/>
  <c r="G27" i="4"/>
  <c r="H37" i="7"/>
  <c r="H13" i="5" s="1"/>
  <c r="H14" s="1"/>
  <c r="I36" i="7"/>
  <c r="I30"/>
  <c r="J25"/>
  <c r="J28" s="1"/>
  <c r="J16"/>
  <c r="J19" s="1"/>
  <c r="I35"/>
  <c r="I37" s="1"/>
  <c r="I13" i="5" s="1"/>
  <c r="I21" i="7"/>
  <c r="F38" i="5"/>
  <c r="F39" s="1"/>
  <c r="F41" s="1"/>
  <c r="F27" i="4"/>
  <c r="G10" i="6" s="1"/>
  <c r="H10" s="1"/>
  <c r="F18" i="4"/>
  <c r="J8" i="7"/>
  <c r="J11" s="1"/>
  <c r="J34" s="1"/>
  <c r="I13"/>
  <c r="I9" i="4"/>
  <c r="I9" i="5" s="1"/>
  <c r="I29"/>
  <c r="J13" i="6"/>
  <c r="F7"/>
  <c r="I15" i="4"/>
  <c r="J28" i="5"/>
  <c r="J25" i="4"/>
  <c r="J9" i="2"/>
  <c r="K27" i="7" s="1"/>
  <c r="J14" i="4"/>
  <c r="J8"/>
  <c r="J7" i="2"/>
  <c r="K10" i="7" s="1"/>
  <c r="J12" i="4"/>
  <c r="J6"/>
  <c r="H17"/>
  <c r="K44" i="2"/>
  <c r="J50"/>
  <c r="K22" i="4" s="1"/>
  <c r="J8" i="2"/>
  <c r="K18" i="7" s="1"/>
  <c r="J7" i="4"/>
  <c r="J13"/>
  <c r="K23"/>
  <c r="L23" s="1"/>
  <c r="K61" i="2"/>
  <c r="H24" i="8" l="1"/>
  <c r="D24"/>
  <c r="C19"/>
  <c r="C28"/>
  <c r="C21" i="9" s="1"/>
  <c r="H15" i="6"/>
  <c r="I12"/>
  <c r="J36" i="7"/>
  <c r="K25"/>
  <c r="K28" s="1"/>
  <c r="J30"/>
  <c r="G15" i="6"/>
  <c r="I14" i="5"/>
  <c r="J12" i="6"/>
  <c r="K16" i="7"/>
  <c r="K19" s="1"/>
  <c r="J35"/>
  <c r="J37" s="1"/>
  <c r="J13" i="5" s="1"/>
  <c r="J14" s="1"/>
  <c r="J21" i="7"/>
  <c r="G38" i="5"/>
  <c r="G39" s="1"/>
  <c r="H27" i="4"/>
  <c r="H38" i="5" s="1"/>
  <c r="H18" i="4"/>
  <c r="J11" i="6"/>
  <c r="I17" i="4"/>
  <c r="K8" i="7"/>
  <c r="K11" s="1"/>
  <c r="K34" s="1"/>
  <c r="J13"/>
  <c r="J9" i="4"/>
  <c r="J9" i="5" s="1"/>
  <c r="J15" i="4"/>
  <c r="F25" i="6"/>
  <c r="F8" i="5" s="1"/>
  <c r="F10" s="1"/>
  <c r="F22" s="1"/>
  <c r="F43" s="1"/>
  <c r="J29"/>
  <c r="K13" i="6"/>
  <c r="K28" i="5"/>
  <c r="K25" i="4"/>
  <c r="L22"/>
  <c r="K9" i="2"/>
  <c r="L27" i="7" s="1"/>
  <c r="K14" i="4"/>
  <c r="L14" s="1"/>
  <c r="K8"/>
  <c r="L8" s="1"/>
  <c r="K8" i="2"/>
  <c r="L18" i="7" s="1"/>
  <c r="K13" i="4"/>
  <c r="L13" s="1"/>
  <c r="K7"/>
  <c r="L7" s="1"/>
  <c r="K7" i="2"/>
  <c r="L10" i="7" s="1"/>
  <c r="K12" i="4"/>
  <c r="L12" s="1"/>
  <c r="K6"/>
  <c r="L61" i="2"/>
  <c r="M23" i="4"/>
  <c r="L44" i="2"/>
  <c r="K50"/>
  <c r="M22" i="4" s="1"/>
  <c r="H8" i="8" l="1"/>
  <c r="D8"/>
  <c r="H15"/>
  <c r="D15"/>
  <c r="G41" i="5"/>
  <c r="C14" i="9"/>
  <c r="H14" i="8"/>
  <c r="D14"/>
  <c r="D13"/>
  <c r="H13"/>
  <c r="L25" i="4"/>
  <c r="D8" i="9" s="1"/>
  <c r="D23" i="8"/>
  <c r="D26" s="1"/>
  <c r="H23"/>
  <c r="H26" s="1"/>
  <c r="D9"/>
  <c r="H9"/>
  <c r="H37" i="5"/>
  <c r="I37" s="1"/>
  <c r="J37" s="1"/>
  <c r="K37" s="1"/>
  <c r="I10" i="6"/>
  <c r="I15" s="1"/>
  <c r="K36" i="7"/>
  <c r="K30"/>
  <c r="L25"/>
  <c r="L28" s="1"/>
  <c r="K12" i="6"/>
  <c r="L16" i="7"/>
  <c r="L19" s="1"/>
  <c r="K35"/>
  <c r="K21"/>
  <c r="I27" i="4"/>
  <c r="J10" i="6" s="1"/>
  <c r="J15" s="1"/>
  <c r="I18" i="4"/>
  <c r="J17"/>
  <c r="L8" i="7"/>
  <c r="L11" s="1"/>
  <c r="L34" s="1"/>
  <c r="K13"/>
  <c r="L15" i="4"/>
  <c r="D6" i="9" s="1"/>
  <c r="K11" i="6"/>
  <c r="G7"/>
  <c r="K29" i="5"/>
  <c r="D13" i="9" s="1"/>
  <c r="L13" i="6"/>
  <c r="M13" s="1"/>
  <c r="L28" i="5"/>
  <c r="M25" i="4"/>
  <c r="M61" i="2"/>
  <c r="N23" i="4"/>
  <c r="L7" i="2"/>
  <c r="M10" i="7" s="1"/>
  <c r="M12" i="4"/>
  <c r="M6"/>
  <c r="L8" i="2"/>
  <c r="M18" i="7" s="1"/>
  <c r="M13" i="4"/>
  <c r="M7"/>
  <c r="M44" i="2"/>
  <c r="L50"/>
  <c r="N22" i="4" s="1"/>
  <c r="K9"/>
  <c r="L6"/>
  <c r="K15"/>
  <c r="L9" i="2"/>
  <c r="M27" i="7" s="1"/>
  <c r="M8" i="4"/>
  <c r="M14"/>
  <c r="L9" l="1"/>
  <c r="D5" i="9" s="1"/>
  <c r="D7" i="8"/>
  <c r="D10" s="1"/>
  <c r="H7"/>
  <c r="H10" s="1"/>
  <c r="H16"/>
  <c r="D7" i="9"/>
  <c r="D9" s="1"/>
  <c r="D16" i="8"/>
  <c r="H39" i="5"/>
  <c r="H41" s="1"/>
  <c r="K37" i="7"/>
  <c r="K13" i="5" s="1"/>
  <c r="L12" i="6" s="1"/>
  <c r="M12" s="1"/>
  <c r="L36" i="7"/>
  <c r="L30"/>
  <c r="M25"/>
  <c r="M28" s="1"/>
  <c r="K14" i="5"/>
  <c r="M16" i="7"/>
  <c r="M19" s="1"/>
  <c r="L35"/>
  <c r="L21"/>
  <c r="I38" i="5"/>
  <c r="I39" s="1"/>
  <c r="I41" s="1"/>
  <c r="J27" i="4"/>
  <c r="K10" i="6" s="1"/>
  <c r="K15" s="1"/>
  <c r="J18" i="4"/>
  <c r="L17"/>
  <c r="M8" i="7"/>
  <c r="M11" s="1"/>
  <c r="M34" s="1"/>
  <c r="L13"/>
  <c r="G25" i="6"/>
  <c r="H7"/>
  <c r="L29" i="5"/>
  <c r="N13" i="6"/>
  <c r="M28" i="5"/>
  <c r="N25" i="4"/>
  <c r="M9" i="2"/>
  <c r="N27" i="7" s="1"/>
  <c r="N14" i="4"/>
  <c r="N8"/>
  <c r="K9" i="5"/>
  <c r="K17" i="4"/>
  <c r="M9"/>
  <c r="N61" i="2"/>
  <c r="P23" i="4" s="1"/>
  <c r="O23"/>
  <c r="M8" i="2"/>
  <c r="N18" i="7" s="1"/>
  <c r="N13" i="4"/>
  <c r="N7"/>
  <c r="M15"/>
  <c r="M7" i="2"/>
  <c r="N10" i="7" s="1"/>
  <c r="N6" i="4"/>
  <c r="N12"/>
  <c r="N44" i="2"/>
  <c r="M50"/>
  <c r="O22" i="4" s="1"/>
  <c r="H18" i="8" l="1"/>
  <c r="D18"/>
  <c r="G8" i="5"/>
  <c r="G10" s="1"/>
  <c r="G22" s="1"/>
  <c r="C18" i="9"/>
  <c r="L37" i="7"/>
  <c r="L13" i="5" s="1"/>
  <c r="L14" s="1"/>
  <c r="M36" i="7"/>
  <c r="M30"/>
  <c r="N25"/>
  <c r="N28" s="1"/>
  <c r="N12" i="6"/>
  <c r="N16" i="7"/>
  <c r="N19" s="1"/>
  <c r="M35"/>
  <c r="M21"/>
  <c r="L27" i="4"/>
  <c r="L18"/>
  <c r="K27"/>
  <c r="L10" i="6" s="1"/>
  <c r="K18" i="4"/>
  <c r="J38" i="5"/>
  <c r="J39" s="1"/>
  <c r="J41" s="1"/>
  <c r="Q23" i="4"/>
  <c r="N8" i="7"/>
  <c r="N11" s="1"/>
  <c r="N34" s="1"/>
  <c r="M13"/>
  <c r="L11" i="6"/>
  <c r="M11" s="1"/>
  <c r="I7"/>
  <c r="M29" i="5"/>
  <c r="O13" i="6"/>
  <c r="N50" i="2"/>
  <c r="P22" i="4" s="1"/>
  <c r="N15"/>
  <c r="N8" i="2"/>
  <c r="O18" i="7" s="1"/>
  <c r="O13" i="4"/>
  <c r="O7"/>
  <c r="L9" i="5"/>
  <c r="M17" i="4"/>
  <c r="O25"/>
  <c r="N28" i="5"/>
  <c r="N9" i="4"/>
  <c r="N9" i="2"/>
  <c r="O27" i="7" s="1"/>
  <c r="O14" i="4"/>
  <c r="O8"/>
  <c r="N7" i="2"/>
  <c r="O10" i="7" s="1"/>
  <c r="O12" i="4"/>
  <c r="O6"/>
  <c r="I24" i="8" l="1"/>
  <c r="E24"/>
  <c r="D19"/>
  <c r="D28"/>
  <c r="D21" i="9" s="1"/>
  <c r="H19" i="8"/>
  <c r="H28"/>
  <c r="D22" i="9" s="1"/>
  <c r="G43" i="5"/>
  <c r="C12" i="9"/>
  <c r="M37" i="7"/>
  <c r="M13" i="5" s="1"/>
  <c r="O12" i="6" s="1"/>
  <c r="K38" i="5"/>
  <c r="K39" s="1"/>
  <c r="N36" i="7"/>
  <c r="N30"/>
  <c r="O25"/>
  <c r="O28" s="1"/>
  <c r="O16"/>
  <c r="O19" s="1"/>
  <c r="N35"/>
  <c r="N21"/>
  <c r="M27" i="4"/>
  <c r="N10" i="6" s="1"/>
  <c r="M18" i="4"/>
  <c r="L37" i="5"/>
  <c r="M37" s="1"/>
  <c r="N37" s="1"/>
  <c r="O15" i="4"/>
  <c r="O8" i="7"/>
  <c r="O11" s="1"/>
  <c r="N13"/>
  <c r="L15" i="6"/>
  <c r="M10"/>
  <c r="M15" s="1"/>
  <c r="N29" i="5"/>
  <c r="P13" i="6"/>
  <c r="N11"/>
  <c r="I25"/>
  <c r="H8" i="5" s="1"/>
  <c r="H10" s="1"/>
  <c r="H22" s="1"/>
  <c r="H43" s="1"/>
  <c r="O28"/>
  <c r="P25" i="4"/>
  <c r="Q22"/>
  <c r="P8"/>
  <c r="Q8" s="1"/>
  <c r="P14"/>
  <c r="Q14" s="1"/>
  <c r="P12"/>
  <c r="Q12" s="1"/>
  <c r="P6"/>
  <c r="N17"/>
  <c r="M9" i="5"/>
  <c r="P13" i="4"/>
  <c r="Q13" s="1"/>
  <c r="P7"/>
  <c r="Q7" s="1"/>
  <c r="O9"/>
  <c r="E8" i="8" l="1"/>
  <c r="I8"/>
  <c r="Q25" i="4"/>
  <c r="E8" i="9" s="1"/>
  <c r="E23" i="8"/>
  <c r="E26" s="1"/>
  <c r="I23"/>
  <c r="I26" s="1"/>
  <c r="I9"/>
  <c r="E9"/>
  <c r="I14"/>
  <c r="E14"/>
  <c r="E13"/>
  <c r="I13"/>
  <c r="K41" i="5"/>
  <c r="D14" i="9"/>
  <c r="I15" i="8"/>
  <c r="E15"/>
  <c r="M14" i="5"/>
  <c r="N37" i="7"/>
  <c r="N13" i="5" s="1"/>
  <c r="P12" i="6" s="1"/>
  <c r="O30" i="7"/>
  <c r="O36"/>
  <c r="O21"/>
  <c r="O35"/>
  <c r="L38" i="5"/>
  <c r="N27" i="4"/>
  <c r="O10" i="6" s="1"/>
  <c r="N18" i="4"/>
  <c r="O13" i="7"/>
  <c r="O34"/>
  <c r="N15" i="6"/>
  <c r="O29" i="5"/>
  <c r="E13" i="9" s="1"/>
  <c r="Q13" i="6"/>
  <c r="R13" s="1"/>
  <c r="J7"/>
  <c r="O11"/>
  <c r="P9" i="4"/>
  <c r="Q6"/>
  <c r="Q15"/>
  <c r="E6" i="9" s="1"/>
  <c r="P15" i="4"/>
  <c r="N9" i="5"/>
  <c r="O17" i="4"/>
  <c r="O37" i="5"/>
  <c r="I16" i="8" l="1"/>
  <c r="E16"/>
  <c r="Q9" i="4"/>
  <c r="E5" i="9" s="1"/>
  <c r="E7" s="1"/>
  <c r="E9" s="1"/>
  <c r="E7" i="8"/>
  <c r="E10" s="1"/>
  <c r="I7"/>
  <c r="I10" s="1"/>
  <c r="N14" i="5"/>
  <c r="O37" i="7"/>
  <c r="O13" i="5" s="1"/>
  <c r="O14" s="1"/>
  <c r="M38"/>
  <c r="M39" s="1"/>
  <c r="M41" s="1"/>
  <c r="L39"/>
  <c r="L41" s="1"/>
  <c r="O27" i="4"/>
  <c r="P10" i="6" s="1"/>
  <c r="O18" i="4"/>
  <c r="O15" i="6"/>
  <c r="J25"/>
  <c r="I8" i="5" s="1"/>
  <c r="I10" s="1"/>
  <c r="I22" s="1"/>
  <c r="I43" s="1"/>
  <c r="P11" i="6"/>
  <c r="O9" i="5"/>
  <c r="P17" i="4"/>
  <c r="I18" i="8" l="1"/>
  <c r="I28" s="1"/>
  <c r="E22" i="9" s="1"/>
  <c r="Q17" i="4"/>
  <c r="Q18" s="1"/>
  <c r="E18" i="8"/>
  <c r="Q12" i="6"/>
  <c r="R12" s="1"/>
  <c r="N38" i="5"/>
  <c r="N39" s="1"/>
  <c r="N41" s="1"/>
  <c r="P27" i="4"/>
  <c r="Q10" i="6" s="1"/>
  <c r="P18" i="4"/>
  <c r="K7" i="6"/>
  <c r="Q11"/>
  <c r="R11" s="1"/>
  <c r="P15"/>
  <c r="Q27" i="4" l="1"/>
  <c r="I19" i="8"/>
  <c r="E19"/>
  <c r="E28"/>
  <c r="E21" i="9" s="1"/>
  <c r="O38" i="5"/>
  <c r="O39" s="1"/>
  <c r="Q15" i="6"/>
  <c r="R10"/>
  <c r="R15" s="1"/>
  <c r="K25"/>
  <c r="J8" i="5" s="1"/>
  <c r="J10" s="1"/>
  <c r="J22" s="1"/>
  <c r="J43" s="1"/>
  <c r="O41" l="1"/>
  <c r="E14" i="9"/>
  <c r="L7" i="6"/>
  <c r="L25" l="1"/>
  <c r="M7"/>
  <c r="K8" i="5" l="1"/>
  <c r="K10" s="1"/>
  <c r="K22" s="1"/>
  <c r="D18" i="9"/>
  <c r="N7" i="6"/>
  <c r="K43" i="5" l="1"/>
  <c r="D12" i="9"/>
  <c r="N25" i="6"/>
  <c r="L8" i="5" s="1"/>
  <c r="L10" s="1"/>
  <c r="L22" s="1"/>
  <c r="L43" s="1"/>
  <c r="O7" i="6" l="1"/>
  <c r="O25" l="1"/>
  <c r="M8" i="5" s="1"/>
  <c r="M10" s="1"/>
  <c r="M22" s="1"/>
  <c r="M43" s="1"/>
  <c r="P7" i="6" l="1"/>
  <c r="P25" l="1"/>
  <c r="N8" i="5" s="1"/>
  <c r="N10" s="1"/>
  <c r="N22" s="1"/>
  <c r="N43" s="1"/>
  <c r="Q7" i="6" l="1"/>
  <c r="Q25" l="1"/>
  <c r="E18" i="9" s="1"/>
  <c r="R7" i="6"/>
  <c r="O8" i="5" l="1"/>
  <c r="O10" s="1"/>
  <c r="O22" s="1"/>
  <c r="O43" l="1"/>
  <c r="E12" i="9"/>
</calcChain>
</file>

<file path=xl/sharedStrings.xml><?xml version="1.0" encoding="utf-8"?>
<sst xmlns="http://schemas.openxmlformats.org/spreadsheetml/2006/main" count="381" uniqueCount="155">
  <si>
    <t>XYZ Corporation</t>
  </si>
  <si>
    <t>Widget A</t>
  </si>
  <si>
    <t>Widget B</t>
  </si>
  <si>
    <t>Widget C</t>
  </si>
  <si>
    <t>Assumptions</t>
  </si>
  <si>
    <r>
      <t xml:space="preserve">Change only </t>
    </r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values</t>
    </r>
  </si>
  <si>
    <t>Revenues</t>
  </si>
  <si>
    <t>Y1 Q1</t>
  </si>
  <si>
    <t>Y1 Q2</t>
  </si>
  <si>
    <t>Y1 Q3</t>
  </si>
  <si>
    <t>Y1 Q4</t>
  </si>
  <si>
    <t>Y2 Q1</t>
  </si>
  <si>
    <t>Y2 Q2</t>
  </si>
  <si>
    <t>Y2 Q3</t>
  </si>
  <si>
    <t>Y2 Q4</t>
  </si>
  <si>
    <t>Y3 Q1</t>
  </si>
  <si>
    <t>Y3 Q2</t>
  </si>
  <si>
    <t>Y3 Q3</t>
  </si>
  <si>
    <t>Y3 Q4</t>
  </si>
  <si>
    <t>Growth Rate by Product</t>
  </si>
  <si>
    <t>Quantity</t>
  </si>
  <si>
    <t>Price by Product</t>
  </si>
  <si>
    <t>COGS</t>
  </si>
  <si>
    <t>COGS per Unit</t>
  </si>
  <si>
    <t>Year 1</t>
  </si>
  <si>
    <t>Year 2</t>
  </si>
  <si>
    <t>Year 3</t>
  </si>
  <si>
    <t>G&amp;A</t>
  </si>
  <si>
    <t>Salaries</t>
  </si>
  <si>
    <t>CEO</t>
  </si>
  <si>
    <t>CFO</t>
  </si>
  <si>
    <t>CMO</t>
  </si>
  <si>
    <t>CTO</t>
  </si>
  <si>
    <t>Admin Assistant</t>
  </si>
  <si>
    <t>Customer Service Reps</t>
  </si>
  <si>
    <t xml:space="preserve">Project Manager </t>
  </si>
  <si>
    <t>Other G&amp;A</t>
  </si>
  <si>
    <t>Rent</t>
  </si>
  <si>
    <t>Phones</t>
  </si>
  <si>
    <t>Utilities</t>
  </si>
  <si>
    <t>Legal</t>
  </si>
  <si>
    <t>Accounting</t>
  </si>
  <si>
    <t>Misc</t>
  </si>
  <si>
    <t>Education &amp; Training</t>
  </si>
  <si>
    <t>Insurance</t>
  </si>
  <si>
    <t>Sales &amp; Marketing</t>
  </si>
  <si>
    <t>One Time Marketing Setup</t>
  </si>
  <si>
    <t>Ongoing Marketing</t>
  </si>
  <si>
    <t>SEO</t>
  </si>
  <si>
    <t>Internet Advertising</t>
  </si>
  <si>
    <t>Public Relations</t>
  </si>
  <si>
    <t>Collateral</t>
  </si>
  <si>
    <t>Market Research</t>
  </si>
  <si>
    <t>E-Commerce/SEO Site</t>
  </si>
  <si>
    <t>Print Marketing</t>
  </si>
  <si>
    <t xml:space="preserve">Balance Sheet </t>
  </si>
  <si>
    <t>Receivables as % of Sales</t>
  </si>
  <si>
    <t>Payables as % of Op Ex</t>
  </si>
  <si>
    <t>Beginning Payables</t>
  </si>
  <si>
    <t>Amount</t>
  </si>
  <si>
    <t>Purpose</t>
  </si>
  <si>
    <t>Owner Investment to Date</t>
  </si>
  <si>
    <t>Round A Investment</t>
  </si>
  <si>
    <t>Total Pre Operating Investment</t>
  </si>
  <si>
    <t>Round B Investment</t>
  </si>
  <si>
    <t>Round C Investment</t>
  </si>
  <si>
    <t>Round D Investment</t>
  </si>
  <si>
    <t>Investment</t>
  </si>
  <si>
    <t xml:space="preserve"> Further growth</t>
  </si>
  <si>
    <t>Startup</t>
  </si>
  <si>
    <t>As needed</t>
  </si>
  <si>
    <t>PROFIT &amp; LOSS STATEMENT</t>
  </si>
  <si>
    <t>Revenue</t>
  </si>
  <si>
    <t>Total COGS</t>
  </si>
  <si>
    <t>Total Revenue</t>
  </si>
  <si>
    <t>Gross Profit</t>
  </si>
  <si>
    <t>Gross Margin</t>
  </si>
  <si>
    <t>Operating Expenses</t>
  </si>
  <si>
    <t>Total Operating Expenses</t>
  </si>
  <si>
    <t>Net Income</t>
  </si>
  <si>
    <t>Depreciation</t>
  </si>
  <si>
    <t>Total</t>
  </si>
  <si>
    <t>Used for Quantity Growth above</t>
  </si>
  <si>
    <t>BALANCE SHEET</t>
  </si>
  <si>
    <t>Assets</t>
  </si>
  <si>
    <t>Liabilities</t>
  </si>
  <si>
    <t>Equity</t>
  </si>
  <si>
    <t>Cash</t>
  </si>
  <si>
    <t>Accounts Receivable</t>
  </si>
  <si>
    <t>Total Current Assets</t>
  </si>
  <si>
    <t>Current Assets</t>
  </si>
  <si>
    <t>ASSETS</t>
  </si>
  <si>
    <t>Fixed Assets</t>
  </si>
  <si>
    <t>Computers</t>
  </si>
  <si>
    <t>Office Equipment</t>
  </si>
  <si>
    <t>Total Fixed Assets</t>
  </si>
  <si>
    <t>Total Assets</t>
  </si>
  <si>
    <t>LIABILITIES</t>
  </si>
  <si>
    <t>EQUITY</t>
  </si>
  <si>
    <t>Current Liabilities</t>
  </si>
  <si>
    <t>Accounts Payable</t>
  </si>
  <si>
    <t>Total Current Liabilities</t>
  </si>
  <si>
    <t>Long Term Liabilities</t>
  </si>
  <si>
    <t xml:space="preserve">Loan </t>
  </si>
  <si>
    <t>Total Long Term Liabilities</t>
  </si>
  <si>
    <t>Capital Investment</t>
  </si>
  <si>
    <t>Retained Earnings (PY)</t>
  </si>
  <si>
    <t>Net Income (CY)</t>
  </si>
  <si>
    <t>Total Equity</t>
  </si>
  <si>
    <t>Total Liabilities and Equity</t>
  </si>
  <si>
    <t xml:space="preserve">Computers </t>
  </si>
  <si>
    <t>Total Employees</t>
  </si>
  <si>
    <t>Accumulated Depn</t>
  </si>
  <si>
    <t>STATEMENT OF CASH FLOW</t>
  </si>
  <si>
    <t>Cash at the Beginning of Period</t>
  </si>
  <si>
    <t>Cash Flow from Operations</t>
  </si>
  <si>
    <t>Cash Flow from Investing</t>
  </si>
  <si>
    <t>Cash Flow from Financing</t>
  </si>
  <si>
    <t>Cash at End of the Period</t>
  </si>
  <si>
    <t>Change in Accounts Rec</t>
  </si>
  <si>
    <t>Change in Accounts Payable</t>
  </si>
  <si>
    <t>Change in Fixed Assets</t>
  </si>
  <si>
    <t>Change in Long Term Liabs</t>
  </si>
  <si>
    <t>Equity Investment</t>
  </si>
  <si>
    <t>Total CF from Financing</t>
  </si>
  <si>
    <t>Total CF from Investing</t>
  </si>
  <si>
    <t>Total CF from Operations</t>
  </si>
  <si>
    <t>Inventory</t>
  </si>
  <si>
    <t>Total Inventory</t>
  </si>
  <si>
    <t>Change in Inventory</t>
  </si>
  <si>
    <t>INVENTORY</t>
  </si>
  <si>
    <t>Beginning Inventory</t>
  </si>
  <si>
    <t>Plus Purchases</t>
  </si>
  <si>
    <t>Less Sales</t>
  </si>
  <si>
    <t>Ending Inventory</t>
  </si>
  <si>
    <t>Min Inventory</t>
  </si>
  <si>
    <t>Purchases</t>
  </si>
  <si>
    <t>Min Balance Required</t>
  </si>
  <si>
    <t>Amount Below Minimum</t>
  </si>
  <si>
    <t>Total Inventory Value</t>
  </si>
  <si>
    <t>Inventory Quantities</t>
  </si>
  <si>
    <t>VARIANCE ANALYSIS</t>
  </si>
  <si>
    <t>Variance Analysis</t>
  </si>
  <si>
    <t>Best Case</t>
  </si>
  <si>
    <t>Worst Case</t>
  </si>
  <si>
    <t>% Change</t>
  </si>
  <si>
    <t>Profit &amp; Loss</t>
  </si>
  <si>
    <t>Balance Sheet</t>
  </si>
  <si>
    <t>Cash Flow</t>
  </si>
  <si>
    <t>Ending Cash Balance</t>
  </si>
  <si>
    <t>XYZ CORPORATION</t>
  </si>
  <si>
    <t>Summary of Financials</t>
  </si>
  <si>
    <t>Best Cast Net Income</t>
  </si>
  <si>
    <t>Worst Case Net Income</t>
  </si>
  <si>
    <t>Cash Invested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</si>
</sst>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0"/>
      <color rgb="FFFF0000"/>
      <name val="Verdana"/>
      <family val="2"/>
    </font>
    <font>
      <i/>
      <sz val="10"/>
      <name val="Verdana"/>
      <family val="2"/>
    </font>
    <font>
      <b/>
      <sz val="10"/>
      <name val="Verdana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3" fillId="0" borderId="0" xfId="0" applyFont="1" applyAlignment="1">
      <alignment horizontal="center"/>
    </xf>
    <xf numFmtId="0" fontId="2" fillId="0" borderId="1" xfId="0" applyFont="1" applyBorder="1"/>
    <xf numFmtId="167" fontId="2" fillId="0" borderId="1" xfId="1" applyNumberFormat="1" applyFont="1" applyBorder="1"/>
    <xf numFmtId="167" fontId="5" fillId="0" borderId="1" xfId="1" applyNumberFormat="1" applyFont="1" applyBorder="1"/>
    <xf numFmtId="9" fontId="2" fillId="0" borderId="1" xfId="3" applyFont="1" applyBorder="1"/>
    <xf numFmtId="166" fontId="2" fillId="0" borderId="1" xfId="2" applyNumberFormat="1" applyFont="1" applyBorder="1"/>
    <xf numFmtId="0" fontId="0" fillId="0" borderId="0" xfId="0" applyAlignment="1">
      <alignment horizontal="left" indent="1"/>
    </xf>
    <xf numFmtId="166" fontId="0" fillId="0" borderId="0" xfId="2" applyNumberFormat="1" applyFont="1"/>
    <xf numFmtId="0" fontId="3" fillId="0" borderId="0" xfId="0" applyFont="1" applyAlignment="1">
      <alignment horizontal="left"/>
    </xf>
    <xf numFmtId="3" fontId="0" fillId="0" borderId="0" xfId="0" applyNumberFormat="1" applyAlignment="1">
      <alignment horizontal="left" indent="1"/>
    </xf>
    <xf numFmtId="0" fontId="6" fillId="0" borderId="0" xfId="0" applyFont="1"/>
    <xf numFmtId="0" fontId="6" fillId="0" borderId="0" xfId="0" applyFont="1" applyFill="1" applyBorder="1"/>
    <xf numFmtId="0" fontId="6" fillId="0" borderId="0" xfId="0" applyFont="1" applyAlignment="1">
      <alignment horizontal="center"/>
    </xf>
    <xf numFmtId="164" fontId="6" fillId="0" borderId="0" xfId="2" applyFont="1" applyAlignment="1">
      <alignment horizontal="center"/>
    </xf>
    <xf numFmtId="0" fontId="7" fillId="0" borderId="5" xfId="0" applyFont="1" applyBorder="1" applyAlignment="1">
      <alignment horizontal="center"/>
    </xf>
    <xf numFmtId="166" fontId="7" fillId="0" borderId="1" xfId="2" applyNumberFormat="1" applyFont="1" applyBorder="1"/>
    <xf numFmtId="0" fontId="8" fillId="0" borderId="0" xfId="0" applyFont="1"/>
    <xf numFmtId="166" fontId="6" fillId="0" borderId="1" xfId="2" applyNumberFormat="1" applyFont="1" applyBorder="1"/>
    <xf numFmtId="0" fontId="8" fillId="0" borderId="0" xfId="0" applyFont="1" applyFill="1" applyBorder="1"/>
    <xf numFmtId="0" fontId="9" fillId="0" borderId="0" xfId="0" applyFont="1" applyFill="1" applyBorder="1"/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/>
    <xf numFmtId="0" fontId="3" fillId="2" borderId="8" xfId="0" applyFont="1" applyFill="1" applyBorder="1" applyAlignment="1">
      <alignment horizontal="left"/>
    </xf>
    <xf numFmtId="0" fontId="0" fillId="2" borderId="8" xfId="0" applyFill="1" applyBorder="1"/>
    <xf numFmtId="0" fontId="3" fillId="2" borderId="12" xfId="0" applyFont="1" applyFill="1" applyBorder="1" applyAlignment="1">
      <alignment horizontal="center"/>
    </xf>
    <xf numFmtId="0" fontId="0" fillId="2" borderId="13" xfId="0" applyFill="1" applyBorder="1"/>
    <xf numFmtId="166" fontId="0" fillId="2" borderId="13" xfId="2" applyNumberFormat="1" applyFont="1" applyFill="1" applyBorder="1"/>
    <xf numFmtId="166" fontId="0" fillId="2" borderId="3" xfId="2" applyNumberFormat="1" applyFont="1" applyFill="1" applyBorder="1"/>
    <xf numFmtId="166" fontId="0" fillId="2" borderId="1" xfId="2" applyNumberFormat="1" applyFont="1" applyFill="1" applyBorder="1"/>
    <xf numFmtId="166" fontId="0" fillId="2" borderId="8" xfId="2" applyNumberFormat="1" applyFont="1" applyFill="1" applyBorder="1"/>
    <xf numFmtId="166" fontId="0" fillId="2" borderId="11" xfId="2" applyNumberFormat="1" applyFont="1" applyFill="1" applyBorder="1"/>
    <xf numFmtId="0" fontId="10" fillId="0" borderId="0" xfId="0" applyFont="1"/>
    <xf numFmtId="166" fontId="0" fillId="0" borderId="0" xfId="0" applyNumberFormat="1"/>
    <xf numFmtId="0" fontId="0" fillId="0" borderId="14" xfId="0" applyBorder="1"/>
    <xf numFmtId="0" fontId="3" fillId="0" borderId="8" xfId="0" applyFont="1" applyBorder="1"/>
    <xf numFmtId="0" fontId="0" fillId="0" borderId="8" xfId="0" applyBorder="1"/>
    <xf numFmtId="0" fontId="3" fillId="2" borderId="8" xfId="0" applyFont="1" applyFill="1" applyBorder="1"/>
    <xf numFmtId="0" fontId="3" fillId="0" borderId="7" xfId="0" applyFont="1" applyBorder="1" applyAlignment="1">
      <alignment horizontal="center"/>
    </xf>
    <xf numFmtId="0" fontId="0" fillId="0" borderId="7" xfId="0" applyBorder="1"/>
    <xf numFmtId="166" fontId="3" fillId="2" borderId="3" xfId="2" applyNumberFormat="1" applyFont="1" applyFill="1" applyBorder="1"/>
    <xf numFmtId="166" fontId="3" fillId="2" borderId="1" xfId="2" applyNumberFormat="1" applyFont="1" applyFill="1" applyBorder="1"/>
    <xf numFmtId="166" fontId="3" fillId="2" borderId="8" xfId="2" applyNumberFormat="1" applyFont="1" applyFill="1" applyBorder="1"/>
    <xf numFmtId="166" fontId="3" fillId="2" borderId="11" xfId="2" applyNumberFormat="1" applyFont="1" applyFill="1" applyBorder="1"/>
    <xf numFmtId="166" fontId="0" fillId="0" borderId="7" xfId="2" applyNumberFormat="1" applyFont="1" applyBorder="1"/>
    <xf numFmtId="166" fontId="0" fillId="0" borderId="14" xfId="2" applyNumberFormat="1" applyFont="1" applyBorder="1"/>
    <xf numFmtId="166" fontId="0" fillId="0" borderId="15" xfId="2" applyNumberFormat="1" applyFont="1" applyBorder="1"/>
    <xf numFmtId="0" fontId="9" fillId="0" borderId="0" xfId="0" applyFont="1"/>
    <xf numFmtId="166" fontId="2" fillId="0" borderId="0" xfId="2" applyNumberFormat="1" applyFont="1" applyBorder="1"/>
    <xf numFmtId="167" fontId="2" fillId="0" borderId="0" xfId="1" applyNumberFormat="1" applyFont="1" applyBorder="1"/>
    <xf numFmtId="166" fontId="3" fillId="0" borderId="0" xfId="2" applyNumberFormat="1" applyFont="1"/>
    <xf numFmtId="166" fontId="3" fillId="0" borderId="7" xfId="2" applyNumberFormat="1" applyFont="1" applyBorder="1"/>
    <xf numFmtId="0" fontId="3" fillId="0" borderId="7" xfId="0" applyFont="1" applyBorder="1"/>
    <xf numFmtId="166" fontId="3" fillId="2" borderId="9" xfId="2" applyNumberFormat="1" applyFont="1" applyFill="1" applyBorder="1"/>
    <xf numFmtId="0" fontId="0" fillId="0" borderId="0" xfId="0" applyBorder="1"/>
    <xf numFmtId="166" fontId="0" fillId="0" borderId="0" xfId="2" applyNumberFormat="1" applyFont="1" applyBorder="1"/>
    <xf numFmtId="166" fontId="0" fillId="0" borderId="5" xfId="2" applyNumberFormat="1" applyFont="1" applyBorder="1"/>
    <xf numFmtId="166" fontId="0" fillId="0" borderId="6" xfId="2" applyNumberFormat="1" applyFont="1" applyBorder="1"/>
    <xf numFmtId="0" fontId="0" fillId="0" borderId="3" xfId="0" applyBorder="1"/>
    <xf numFmtId="166" fontId="0" fillId="0" borderId="3" xfId="2" applyNumberFormat="1" applyFont="1" applyBorder="1"/>
    <xf numFmtId="167" fontId="0" fillId="0" borderId="0" xfId="1" applyNumberFormat="1" applyFont="1"/>
    <xf numFmtId="167" fontId="0" fillId="0" borderId="3" xfId="1" applyNumberFormat="1" applyFont="1" applyBorder="1"/>
    <xf numFmtId="0" fontId="0" fillId="0" borderId="0" xfId="0" applyFill="1" applyBorder="1"/>
    <xf numFmtId="166" fontId="0" fillId="0" borderId="8" xfId="2" applyNumberFormat="1" applyFont="1" applyBorder="1"/>
    <xf numFmtId="166" fontId="3" fillId="0" borderId="8" xfId="2" applyNumberFormat="1" applyFont="1" applyBorder="1"/>
    <xf numFmtId="9" fontId="0" fillId="0" borderId="0" xfId="3" applyFont="1"/>
    <xf numFmtId="9" fontId="0" fillId="2" borderId="13" xfId="3" applyFont="1" applyFill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/>
    <xf numFmtId="0" fontId="3" fillId="2" borderId="18" xfId="0" applyFont="1" applyFill="1" applyBorder="1" applyAlignment="1">
      <alignment horizontal="left"/>
    </xf>
    <xf numFmtId="9" fontId="0" fillId="0" borderId="5" xfId="0" applyNumberFormat="1" applyBorder="1"/>
    <xf numFmtId="166" fontId="3" fillId="2" borderId="2" xfId="2" applyNumberFormat="1" applyFont="1" applyFill="1" applyBorder="1" applyAlignment="1">
      <alignment horizontal="left"/>
    </xf>
    <xf numFmtId="166" fontId="3" fillId="2" borderId="3" xfId="2" applyNumberFormat="1" applyFont="1" applyFill="1" applyBorder="1" applyAlignment="1">
      <alignment horizontal="left"/>
    </xf>
    <xf numFmtId="166" fontId="3" fillId="2" borderId="2" xfId="2" applyNumberFormat="1" applyFont="1" applyFill="1" applyBorder="1"/>
    <xf numFmtId="166" fontId="3" fillId="2" borderId="9" xfId="2" applyNumberFormat="1" applyFont="1" applyFill="1" applyBorder="1" applyAlignment="1">
      <alignment horizontal="left"/>
    </xf>
    <xf numFmtId="166" fontId="3" fillId="2" borderId="8" xfId="2" applyNumberFormat="1" applyFont="1" applyFill="1" applyBorder="1" applyAlignment="1">
      <alignment horizontal="left"/>
    </xf>
    <xf numFmtId="9" fontId="0" fillId="0" borderId="7" xfId="3" applyFont="1" applyBorder="1"/>
    <xf numFmtId="9" fontId="0" fillId="0" borderId="0" xfId="3" applyFont="1" applyBorder="1"/>
    <xf numFmtId="0" fontId="0" fillId="0" borderId="8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9"/>
  <sheetViews>
    <sheetView workbookViewId="0">
      <selection activeCell="F13" sqref="F13"/>
    </sheetView>
  </sheetViews>
  <sheetFormatPr defaultRowHeight="15"/>
  <cols>
    <col min="1" max="1" width="30.85546875" customWidth="1"/>
    <col min="3" max="3" width="13.42578125" bestFit="1" customWidth="1"/>
    <col min="6" max="6" width="10" bestFit="1" customWidth="1"/>
    <col min="7" max="10" width="11.5703125" bestFit="1" customWidth="1"/>
    <col min="11" max="14" width="10" bestFit="1" customWidth="1"/>
  </cols>
  <sheetData>
    <row r="1" spans="1:20" ht="21">
      <c r="A1" s="2" t="s">
        <v>4</v>
      </c>
    </row>
    <row r="2" spans="1:20">
      <c r="A2" t="s">
        <v>5</v>
      </c>
    </row>
    <row r="4" spans="1:20">
      <c r="A4" s="3" t="s">
        <v>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</row>
    <row r="5" spans="1:20">
      <c r="B5" s="6"/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/>
      <c r="P5" s="6"/>
      <c r="Q5" s="6"/>
    </row>
    <row r="6" spans="1:20">
      <c r="A6" s="1" t="s">
        <v>20</v>
      </c>
    </row>
    <row r="7" spans="1:20">
      <c r="A7" s="12" t="s">
        <v>1</v>
      </c>
      <c r="C7" s="8">
        <v>12</v>
      </c>
      <c r="D7" s="9">
        <f>(C7*$C12)+C7</f>
        <v>13.8</v>
      </c>
      <c r="E7" s="9">
        <f>(D7*$C12)+D7</f>
        <v>15.870000000000001</v>
      </c>
      <c r="F7" s="9">
        <f t="shared" ref="F7:N7" si="0">(E7*$C12)+E7</f>
        <v>18.250500000000002</v>
      </c>
      <c r="G7" s="9">
        <f t="shared" si="0"/>
        <v>20.988075000000002</v>
      </c>
      <c r="H7" s="9">
        <f t="shared" si="0"/>
        <v>24.136286250000001</v>
      </c>
      <c r="I7" s="9">
        <f t="shared" si="0"/>
        <v>27.7567291875</v>
      </c>
      <c r="J7" s="9">
        <f t="shared" si="0"/>
        <v>31.920238565624999</v>
      </c>
      <c r="K7" s="9">
        <f t="shared" si="0"/>
        <v>36.708274350468749</v>
      </c>
      <c r="L7" s="9">
        <f t="shared" si="0"/>
        <v>42.21451550303906</v>
      </c>
      <c r="M7" s="9">
        <f t="shared" si="0"/>
        <v>48.546692828494919</v>
      </c>
      <c r="N7" s="9">
        <f t="shared" si="0"/>
        <v>55.828696752769154</v>
      </c>
    </row>
    <row r="8" spans="1:20">
      <c r="A8" s="12" t="s">
        <v>2</v>
      </c>
      <c r="C8" s="7">
        <v>12</v>
      </c>
      <c r="D8" s="9">
        <f>(C8*$C13)+C8</f>
        <v>14.4</v>
      </c>
      <c r="E8" s="9">
        <f t="shared" ref="E8:N8" si="1">(D8*$C13)+D8</f>
        <v>17.28</v>
      </c>
      <c r="F8" s="9">
        <f t="shared" si="1"/>
        <v>20.736000000000001</v>
      </c>
      <c r="G8" s="9">
        <f t="shared" si="1"/>
        <v>24.883200000000002</v>
      </c>
      <c r="H8" s="9">
        <f t="shared" si="1"/>
        <v>29.859840000000002</v>
      </c>
      <c r="I8" s="9">
        <f t="shared" si="1"/>
        <v>35.831808000000002</v>
      </c>
      <c r="J8" s="9">
        <f t="shared" si="1"/>
        <v>42.998169600000004</v>
      </c>
      <c r="K8" s="9">
        <f t="shared" si="1"/>
        <v>51.597803520000006</v>
      </c>
      <c r="L8" s="9">
        <f t="shared" si="1"/>
        <v>61.917364224000011</v>
      </c>
      <c r="M8" s="9">
        <f t="shared" si="1"/>
        <v>74.300837068800007</v>
      </c>
      <c r="N8" s="9">
        <f t="shared" si="1"/>
        <v>89.161004482560003</v>
      </c>
    </row>
    <row r="9" spans="1:20">
      <c r="A9" s="12" t="s">
        <v>3</v>
      </c>
      <c r="C9" s="7">
        <v>12</v>
      </c>
      <c r="D9" s="9">
        <f>(C9*$C14)+C9</f>
        <v>15</v>
      </c>
      <c r="E9" s="9">
        <f t="shared" ref="E9:N9" si="2">(D9*$C14)+D9</f>
        <v>18.75</v>
      </c>
      <c r="F9" s="9">
        <f t="shared" si="2"/>
        <v>23.4375</v>
      </c>
      <c r="G9" s="9">
        <f t="shared" si="2"/>
        <v>29.296875</v>
      </c>
      <c r="H9" s="9">
        <f t="shared" si="2"/>
        <v>36.62109375</v>
      </c>
      <c r="I9" s="9">
        <f t="shared" si="2"/>
        <v>45.7763671875</v>
      </c>
      <c r="J9" s="9">
        <f t="shared" si="2"/>
        <v>57.220458984375</v>
      </c>
      <c r="K9" s="9">
        <f t="shared" si="2"/>
        <v>71.52557373046875</v>
      </c>
      <c r="L9" s="9">
        <f t="shared" si="2"/>
        <v>89.406967163085938</v>
      </c>
      <c r="M9" s="9">
        <f t="shared" si="2"/>
        <v>111.75870895385742</v>
      </c>
      <c r="N9" s="9">
        <f t="shared" si="2"/>
        <v>139.69838619232178</v>
      </c>
    </row>
    <row r="11" spans="1:20">
      <c r="A11" s="1" t="s">
        <v>19</v>
      </c>
    </row>
    <row r="12" spans="1:20">
      <c r="A12" s="12" t="s">
        <v>1</v>
      </c>
      <c r="C12" s="10">
        <v>0.15</v>
      </c>
      <c r="D12" s="40" t="s">
        <v>82</v>
      </c>
    </row>
    <row r="13" spans="1:20">
      <c r="A13" s="12" t="s">
        <v>2</v>
      </c>
      <c r="C13" s="10">
        <v>0.2</v>
      </c>
      <c r="D13" s="40" t="s">
        <v>82</v>
      </c>
    </row>
    <row r="14" spans="1:20">
      <c r="A14" s="12" t="s">
        <v>3</v>
      </c>
      <c r="C14" s="10">
        <v>0.25</v>
      </c>
      <c r="D14" s="40" t="s">
        <v>82</v>
      </c>
    </row>
    <row r="16" spans="1:20">
      <c r="A16" s="1" t="s">
        <v>21</v>
      </c>
    </row>
    <row r="17" spans="1:20">
      <c r="A17" s="12" t="s">
        <v>1</v>
      </c>
      <c r="C17" s="11">
        <v>5000</v>
      </c>
    </row>
    <row r="18" spans="1:20">
      <c r="A18" s="12" t="s">
        <v>2</v>
      </c>
      <c r="C18" s="11">
        <v>3000</v>
      </c>
    </row>
    <row r="19" spans="1:20">
      <c r="A19" s="12" t="s">
        <v>3</v>
      </c>
      <c r="C19" s="11">
        <v>1500</v>
      </c>
      <c r="F19" s="41"/>
    </row>
    <row r="21" spans="1:20">
      <c r="A21" s="3" t="s">
        <v>22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5"/>
    </row>
    <row r="22" spans="1:20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20">
      <c r="A23" s="1" t="s">
        <v>23</v>
      </c>
      <c r="C23" s="6" t="s">
        <v>24</v>
      </c>
      <c r="D23" s="6" t="s">
        <v>25</v>
      </c>
      <c r="E23" s="6" t="s">
        <v>26</v>
      </c>
    </row>
    <row r="24" spans="1:20">
      <c r="A24" s="12" t="s">
        <v>1</v>
      </c>
      <c r="C24" s="11">
        <v>2500</v>
      </c>
      <c r="D24" s="11">
        <v>2000</v>
      </c>
      <c r="E24" s="11">
        <v>1200</v>
      </c>
    </row>
    <row r="25" spans="1:20">
      <c r="A25" s="12" t="s">
        <v>2</v>
      </c>
      <c r="C25" s="11">
        <v>2000</v>
      </c>
      <c r="D25" s="11">
        <v>1500</v>
      </c>
      <c r="E25" s="11">
        <v>1000</v>
      </c>
    </row>
    <row r="26" spans="1:20">
      <c r="A26" s="12" t="s">
        <v>3</v>
      </c>
      <c r="C26" s="11">
        <v>1000</v>
      </c>
      <c r="D26" s="11">
        <v>800</v>
      </c>
      <c r="E26" s="11">
        <v>500</v>
      </c>
    </row>
    <row r="28" spans="1:20">
      <c r="A28" s="3" t="s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5"/>
    </row>
    <row r="29" spans="1:20">
      <c r="C29" s="6" t="s">
        <v>7</v>
      </c>
      <c r="D29" s="6" t="s">
        <v>8</v>
      </c>
      <c r="E29" s="6" t="s">
        <v>9</v>
      </c>
      <c r="F29" s="6" t="s">
        <v>10</v>
      </c>
      <c r="G29" s="6" t="s">
        <v>11</v>
      </c>
      <c r="H29" s="6" t="s">
        <v>12</v>
      </c>
      <c r="I29" s="6" t="s">
        <v>13</v>
      </c>
      <c r="J29" s="6" t="s">
        <v>14</v>
      </c>
      <c r="K29" s="6" t="s">
        <v>15</v>
      </c>
      <c r="L29" s="6" t="s">
        <v>16</v>
      </c>
      <c r="M29" s="6" t="s">
        <v>17</v>
      </c>
      <c r="N29" s="6" t="s">
        <v>18</v>
      </c>
      <c r="O29" s="6"/>
      <c r="P29" s="6"/>
      <c r="Q29" s="6"/>
    </row>
    <row r="31" spans="1:20">
      <c r="A31" s="1" t="s">
        <v>28</v>
      </c>
    </row>
    <row r="32" spans="1:20">
      <c r="A32" s="12" t="s">
        <v>29</v>
      </c>
      <c r="C32" s="11">
        <v>20000</v>
      </c>
      <c r="D32" s="11">
        <f>C32</f>
        <v>20000</v>
      </c>
      <c r="E32" s="11">
        <f>D32</f>
        <v>20000</v>
      </c>
      <c r="F32" s="11">
        <f>E32</f>
        <v>20000</v>
      </c>
      <c r="G32" s="11">
        <v>25000</v>
      </c>
      <c r="H32" s="11">
        <v>25000</v>
      </c>
      <c r="I32" s="11">
        <v>25000</v>
      </c>
      <c r="J32" s="11">
        <v>25000</v>
      </c>
      <c r="K32" s="11">
        <v>30000</v>
      </c>
      <c r="L32" s="11">
        <v>30000</v>
      </c>
      <c r="M32" s="11">
        <v>30000</v>
      </c>
      <c r="N32" s="11">
        <v>30000</v>
      </c>
    </row>
    <row r="33" spans="1:14">
      <c r="A33" s="12" t="s">
        <v>30</v>
      </c>
      <c r="C33" s="11">
        <v>15000</v>
      </c>
      <c r="D33" s="11">
        <v>15000</v>
      </c>
      <c r="E33" s="11">
        <v>15000</v>
      </c>
      <c r="F33" s="11">
        <v>15000</v>
      </c>
      <c r="G33" s="11">
        <v>18000</v>
      </c>
      <c r="H33" s="11">
        <v>18000</v>
      </c>
      <c r="I33" s="11">
        <v>18000</v>
      </c>
      <c r="J33" s="11">
        <v>18000</v>
      </c>
      <c r="K33" s="11">
        <v>22000</v>
      </c>
      <c r="L33" s="11">
        <v>22000</v>
      </c>
      <c r="M33" s="11">
        <v>22000</v>
      </c>
      <c r="N33" s="11">
        <v>22000</v>
      </c>
    </row>
    <row r="34" spans="1:14">
      <c r="A34" s="12" t="s">
        <v>31</v>
      </c>
      <c r="C34" s="11">
        <v>15000</v>
      </c>
      <c r="D34" s="11">
        <v>15000</v>
      </c>
      <c r="E34" s="11">
        <v>15000</v>
      </c>
      <c r="F34" s="11">
        <v>15000</v>
      </c>
      <c r="G34" s="11">
        <v>18000</v>
      </c>
      <c r="H34" s="11">
        <v>18000</v>
      </c>
      <c r="I34" s="11">
        <v>18000</v>
      </c>
      <c r="J34" s="11">
        <v>18000</v>
      </c>
      <c r="K34" s="11">
        <v>22000</v>
      </c>
      <c r="L34" s="11">
        <v>22000</v>
      </c>
      <c r="M34" s="11">
        <v>22000</v>
      </c>
      <c r="N34" s="11">
        <v>22000</v>
      </c>
    </row>
    <row r="35" spans="1:14">
      <c r="A35" s="12" t="s">
        <v>32</v>
      </c>
      <c r="C35" s="11">
        <v>15000</v>
      </c>
      <c r="D35" s="11">
        <v>15000</v>
      </c>
      <c r="E35" s="11">
        <v>15000</v>
      </c>
      <c r="F35" s="11">
        <v>15000</v>
      </c>
      <c r="G35" s="11">
        <v>18000</v>
      </c>
      <c r="H35" s="11">
        <v>18000</v>
      </c>
      <c r="I35" s="11">
        <v>18000</v>
      </c>
      <c r="J35" s="11">
        <v>18000</v>
      </c>
      <c r="K35" s="11">
        <v>22000</v>
      </c>
      <c r="L35" s="11">
        <v>22000</v>
      </c>
      <c r="M35" s="11">
        <v>22000</v>
      </c>
      <c r="N35" s="11">
        <v>22000</v>
      </c>
    </row>
    <row r="36" spans="1:14">
      <c r="A36" s="12" t="s">
        <v>33</v>
      </c>
      <c r="C36" s="11">
        <v>12000</v>
      </c>
      <c r="D36" s="11">
        <v>12000</v>
      </c>
      <c r="E36" s="11">
        <v>12000</v>
      </c>
      <c r="F36" s="11">
        <v>12000</v>
      </c>
      <c r="G36" s="11">
        <v>15000</v>
      </c>
      <c r="H36" s="11">
        <v>15000</v>
      </c>
      <c r="I36" s="11">
        <v>15000</v>
      </c>
      <c r="J36" s="11">
        <v>15000</v>
      </c>
      <c r="K36" s="11">
        <v>18000</v>
      </c>
      <c r="L36" s="11">
        <v>18000</v>
      </c>
      <c r="M36" s="11">
        <v>18000</v>
      </c>
      <c r="N36" s="11">
        <v>18000</v>
      </c>
    </row>
    <row r="37" spans="1:14">
      <c r="A37" s="12" t="s">
        <v>34</v>
      </c>
      <c r="C37" s="11">
        <f>30000/4*10</f>
        <v>75000</v>
      </c>
      <c r="D37" s="11">
        <f t="shared" ref="D37" si="3">30000/4*10</f>
        <v>75000</v>
      </c>
      <c r="E37" s="11">
        <f>30000/4*12</f>
        <v>90000</v>
      </c>
      <c r="F37" s="11">
        <f>30000/4*15</f>
        <v>112500</v>
      </c>
      <c r="G37" s="11">
        <f>32000/4*17</f>
        <v>136000</v>
      </c>
      <c r="H37" s="11">
        <f>32000/4*19</f>
        <v>152000</v>
      </c>
      <c r="I37" s="11">
        <f>32000/4*21</f>
        <v>168000</v>
      </c>
      <c r="J37" s="11">
        <f>32000/4*23</f>
        <v>184000</v>
      </c>
      <c r="K37" s="11">
        <f>32000/4*25</f>
        <v>200000</v>
      </c>
      <c r="L37" s="11">
        <f>32000/4*27</f>
        <v>216000</v>
      </c>
      <c r="M37" s="11">
        <f>32000/4*30</f>
        <v>240000</v>
      </c>
      <c r="N37" s="11">
        <f>32000/4*35</f>
        <v>280000</v>
      </c>
    </row>
    <row r="38" spans="1:14">
      <c r="A38" s="12" t="s">
        <v>35</v>
      </c>
      <c r="C38" s="11">
        <v>15000</v>
      </c>
      <c r="D38" s="11">
        <v>15000</v>
      </c>
      <c r="E38" s="11">
        <v>15000</v>
      </c>
      <c r="F38" s="11">
        <v>15000</v>
      </c>
      <c r="G38" s="11">
        <v>17000</v>
      </c>
      <c r="H38" s="11">
        <v>17000</v>
      </c>
      <c r="I38" s="11">
        <v>17000</v>
      </c>
      <c r="J38" s="11">
        <v>17000</v>
      </c>
      <c r="K38" s="11">
        <v>20000</v>
      </c>
      <c r="L38" s="11">
        <v>20000</v>
      </c>
      <c r="M38" s="11">
        <v>20000</v>
      </c>
      <c r="N38" s="11">
        <v>20000</v>
      </c>
    </row>
    <row r="39" spans="1:14">
      <c r="A39" s="12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</row>
    <row r="40" spans="1:14">
      <c r="A40" s="12" t="s">
        <v>111</v>
      </c>
      <c r="C40" s="57">
        <f>10+6</f>
        <v>16</v>
      </c>
      <c r="D40" s="57">
        <f>10+6</f>
        <v>16</v>
      </c>
      <c r="E40" s="57">
        <f>12+6</f>
        <v>18</v>
      </c>
      <c r="F40" s="57">
        <v>21</v>
      </c>
      <c r="G40" s="57">
        <f>+F40+2</f>
        <v>23</v>
      </c>
      <c r="H40" s="57">
        <f t="shared" ref="H40:L40" si="4">+G40+2</f>
        <v>25</v>
      </c>
      <c r="I40" s="57">
        <f t="shared" si="4"/>
        <v>27</v>
      </c>
      <c r="J40" s="57">
        <f t="shared" si="4"/>
        <v>29</v>
      </c>
      <c r="K40" s="57">
        <f t="shared" si="4"/>
        <v>31</v>
      </c>
      <c r="L40" s="57">
        <f t="shared" si="4"/>
        <v>33</v>
      </c>
      <c r="M40" s="57">
        <v>36</v>
      </c>
      <c r="N40" s="57">
        <v>41</v>
      </c>
    </row>
    <row r="41" spans="1:14">
      <c r="A41" s="12"/>
    </row>
    <row r="42" spans="1:14">
      <c r="A42" s="14" t="s">
        <v>36</v>
      </c>
    </row>
    <row r="43" spans="1:14">
      <c r="A43" s="15" t="s">
        <v>37</v>
      </c>
      <c r="C43" s="11">
        <v>1500</v>
      </c>
      <c r="D43" s="11">
        <v>1500</v>
      </c>
      <c r="E43" s="11">
        <v>1500</v>
      </c>
      <c r="F43" s="11">
        <v>1500</v>
      </c>
      <c r="G43" s="11">
        <v>2500</v>
      </c>
      <c r="H43" s="11">
        <v>2500</v>
      </c>
      <c r="I43" s="11">
        <v>2500</v>
      </c>
      <c r="J43" s="11">
        <v>2500</v>
      </c>
      <c r="K43" s="11">
        <v>5000</v>
      </c>
      <c r="L43" s="11">
        <v>5000</v>
      </c>
      <c r="M43" s="11">
        <v>5000</v>
      </c>
      <c r="N43" s="11">
        <v>5000</v>
      </c>
    </row>
    <row r="44" spans="1:14">
      <c r="A44" s="15" t="s">
        <v>38</v>
      </c>
      <c r="C44" s="11">
        <v>1000</v>
      </c>
      <c r="D44" s="11">
        <f>C44*1.1</f>
        <v>1100</v>
      </c>
      <c r="E44" s="11">
        <f t="shared" ref="E44:N44" si="5">D44*1.1</f>
        <v>1210</v>
      </c>
      <c r="F44" s="11">
        <f t="shared" si="5"/>
        <v>1331</v>
      </c>
      <c r="G44" s="11">
        <f t="shared" si="5"/>
        <v>1464.1000000000001</v>
      </c>
      <c r="H44" s="11">
        <f t="shared" si="5"/>
        <v>1610.5100000000002</v>
      </c>
      <c r="I44" s="11">
        <f t="shared" si="5"/>
        <v>1771.5610000000004</v>
      </c>
      <c r="J44" s="11">
        <f t="shared" si="5"/>
        <v>1948.7171000000005</v>
      </c>
      <c r="K44" s="11">
        <f t="shared" si="5"/>
        <v>2143.5888100000006</v>
      </c>
      <c r="L44" s="11">
        <f t="shared" si="5"/>
        <v>2357.9476910000008</v>
      </c>
      <c r="M44" s="11">
        <f t="shared" si="5"/>
        <v>2593.7424601000012</v>
      </c>
      <c r="N44" s="11">
        <f t="shared" si="5"/>
        <v>2853.1167061100014</v>
      </c>
    </row>
    <row r="45" spans="1:14">
      <c r="A45" s="15" t="s">
        <v>39</v>
      </c>
      <c r="C45" s="11">
        <v>250</v>
      </c>
      <c r="D45" s="11">
        <f>C45*1.1</f>
        <v>275</v>
      </c>
      <c r="E45" s="11">
        <f t="shared" ref="E45:N45" si="6">D45*1.1</f>
        <v>302.5</v>
      </c>
      <c r="F45" s="11">
        <f t="shared" si="6"/>
        <v>332.75</v>
      </c>
      <c r="G45" s="11">
        <f t="shared" si="6"/>
        <v>366.02500000000003</v>
      </c>
      <c r="H45" s="11">
        <f t="shared" si="6"/>
        <v>402.62750000000005</v>
      </c>
      <c r="I45" s="11">
        <f t="shared" si="6"/>
        <v>442.89025000000009</v>
      </c>
      <c r="J45" s="11">
        <f t="shared" si="6"/>
        <v>487.17927500000013</v>
      </c>
      <c r="K45" s="11">
        <f t="shared" si="6"/>
        <v>535.89720250000016</v>
      </c>
      <c r="L45" s="11">
        <f t="shared" si="6"/>
        <v>589.48692275000019</v>
      </c>
      <c r="M45" s="11">
        <f t="shared" si="6"/>
        <v>648.43561502500029</v>
      </c>
      <c r="N45" s="11">
        <f t="shared" si="6"/>
        <v>713.27917652750034</v>
      </c>
    </row>
    <row r="46" spans="1:14">
      <c r="A46" s="15" t="s">
        <v>40</v>
      </c>
      <c r="C46" s="11">
        <v>0</v>
      </c>
      <c r="D46" s="11">
        <v>0</v>
      </c>
      <c r="E46" s="11">
        <v>1000</v>
      </c>
      <c r="F46" s="11">
        <v>1000</v>
      </c>
      <c r="G46" s="11">
        <v>1000</v>
      </c>
      <c r="H46" s="11">
        <v>1000</v>
      </c>
      <c r="I46" s="11">
        <v>1000</v>
      </c>
      <c r="J46" s="11">
        <v>1000</v>
      </c>
      <c r="K46" s="11">
        <v>1000</v>
      </c>
      <c r="L46" s="11">
        <v>1000</v>
      </c>
      <c r="M46" s="11">
        <v>1000</v>
      </c>
      <c r="N46" s="11">
        <v>1000</v>
      </c>
    </row>
    <row r="47" spans="1:14">
      <c r="A47" s="15" t="s">
        <v>41</v>
      </c>
      <c r="C47" s="11">
        <v>0</v>
      </c>
      <c r="D47" s="11">
        <v>0</v>
      </c>
      <c r="E47" s="11">
        <v>1000</v>
      </c>
      <c r="F47" s="11">
        <v>1000</v>
      </c>
      <c r="G47" s="11">
        <v>1000</v>
      </c>
      <c r="H47" s="11">
        <v>1000</v>
      </c>
      <c r="I47" s="11">
        <v>1000</v>
      </c>
      <c r="J47" s="11">
        <v>1000</v>
      </c>
      <c r="K47" s="11">
        <v>1000</v>
      </c>
      <c r="L47" s="11">
        <v>1000</v>
      </c>
      <c r="M47" s="11">
        <v>1000</v>
      </c>
      <c r="N47" s="11">
        <v>1000</v>
      </c>
    </row>
    <row r="48" spans="1:14">
      <c r="A48" s="15" t="s">
        <v>43</v>
      </c>
      <c r="C48" s="11">
        <v>0</v>
      </c>
      <c r="D48" s="11">
        <v>500</v>
      </c>
      <c r="E48" s="11">
        <v>0</v>
      </c>
      <c r="F48" s="11">
        <v>500</v>
      </c>
      <c r="G48" s="11">
        <v>0</v>
      </c>
      <c r="H48" s="11">
        <v>500</v>
      </c>
      <c r="I48" s="11">
        <v>0</v>
      </c>
      <c r="J48" s="11">
        <v>500</v>
      </c>
      <c r="K48" s="11">
        <v>0</v>
      </c>
      <c r="L48" s="11">
        <v>500</v>
      </c>
      <c r="M48" s="11">
        <v>0</v>
      </c>
      <c r="N48" s="11">
        <v>500</v>
      </c>
    </row>
    <row r="49" spans="1:20">
      <c r="A49" s="15" t="s">
        <v>44</v>
      </c>
      <c r="C49" s="11">
        <v>1000</v>
      </c>
      <c r="D49" s="11">
        <f>C49*1.05</f>
        <v>1050</v>
      </c>
      <c r="E49" s="11">
        <f t="shared" ref="E49:N49" si="7">D49*1.05</f>
        <v>1102.5</v>
      </c>
      <c r="F49" s="11">
        <f t="shared" si="7"/>
        <v>1157.625</v>
      </c>
      <c r="G49" s="11">
        <f t="shared" si="7"/>
        <v>1215.5062500000001</v>
      </c>
      <c r="H49" s="11">
        <f t="shared" si="7"/>
        <v>1276.2815625000003</v>
      </c>
      <c r="I49" s="11">
        <f t="shared" si="7"/>
        <v>1340.0956406250004</v>
      </c>
      <c r="J49" s="11">
        <f t="shared" si="7"/>
        <v>1407.1004226562504</v>
      </c>
      <c r="K49" s="11">
        <f t="shared" si="7"/>
        <v>1477.4554437890631</v>
      </c>
      <c r="L49" s="11">
        <f t="shared" si="7"/>
        <v>1551.3282159785163</v>
      </c>
      <c r="M49" s="11">
        <f t="shared" si="7"/>
        <v>1628.8946267774422</v>
      </c>
      <c r="N49" s="11">
        <f t="shared" si="7"/>
        <v>1710.3393581163143</v>
      </c>
    </row>
    <row r="50" spans="1:20">
      <c r="A50" s="15" t="s">
        <v>42</v>
      </c>
      <c r="C50" s="11">
        <f>SUM(C43:C49)*0.1</f>
        <v>375</v>
      </c>
      <c r="D50" s="11">
        <f>SUM(D43:D49)*0.1</f>
        <v>442.5</v>
      </c>
      <c r="E50" s="11">
        <f>SUM(E43:E49)*0.1</f>
        <v>611.5</v>
      </c>
      <c r="F50" s="11">
        <f t="shared" ref="F50:N50" si="8">SUM(F43:F49)*0.1</f>
        <v>682.13750000000005</v>
      </c>
      <c r="G50" s="11">
        <f t="shared" si="8"/>
        <v>754.56312500000013</v>
      </c>
      <c r="H50" s="11">
        <f t="shared" si="8"/>
        <v>828.9419062500001</v>
      </c>
      <c r="I50" s="11">
        <f t="shared" si="8"/>
        <v>805.45468906250017</v>
      </c>
      <c r="J50" s="11">
        <f t="shared" si="8"/>
        <v>884.29967976562511</v>
      </c>
      <c r="K50" s="11">
        <f t="shared" si="8"/>
        <v>1115.6941456289067</v>
      </c>
      <c r="L50" s="11">
        <f t="shared" si="8"/>
        <v>1199.8762829728519</v>
      </c>
      <c r="M50" s="11">
        <f t="shared" si="8"/>
        <v>1187.1072701902444</v>
      </c>
      <c r="N50" s="11">
        <f t="shared" si="8"/>
        <v>1277.6735240753817</v>
      </c>
    </row>
    <row r="52" spans="1:20">
      <c r="A52" s="3" t="s">
        <v>45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5"/>
    </row>
    <row r="53" spans="1:20">
      <c r="C53" s="6" t="s">
        <v>7</v>
      </c>
      <c r="D53" s="6" t="s">
        <v>8</v>
      </c>
      <c r="E53" s="6" t="s">
        <v>9</v>
      </c>
      <c r="F53" s="6" t="s">
        <v>10</v>
      </c>
      <c r="G53" s="6" t="s">
        <v>11</v>
      </c>
      <c r="H53" s="6" t="s">
        <v>12</v>
      </c>
      <c r="I53" s="6" t="s">
        <v>13</v>
      </c>
      <c r="J53" s="6" t="s">
        <v>14</v>
      </c>
      <c r="K53" s="6" t="s">
        <v>15</v>
      </c>
      <c r="L53" s="6" t="s">
        <v>16</v>
      </c>
      <c r="M53" s="6" t="s">
        <v>17</v>
      </c>
      <c r="N53" s="6" t="s">
        <v>18</v>
      </c>
      <c r="O53" s="6"/>
      <c r="P53" s="6"/>
      <c r="Q53" s="6"/>
    </row>
    <row r="55" spans="1:20">
      <c r="A55" s="1" t="s">
        <v>46</v>
      </c>
    </row>
    <row r="56" spans="1:20">
      <c r="A56" s="12" t="s">
        <v>51</v>
      </c>
      <c r="C56" s="11">
        <v>30000</v>
      </c>
    </row>
    <row r="57" spans="1:20">
      <c r="A57" s="12" t="s">
        <v>52</v>
      </c>
      <c r="C57" s="11">
        <v>25000</v>
      </c>
    </row>
    <row r="58" spans="1:20">
      <c r="A58" s="12" t="s">
        <v>53</v>
      </c>
      <c r="C58" s="11">
        <v>20000</v>
      </c>
    </row>
    <row r="60" spans="1:20">
      <c r="A60" s="1" t="s">
        <v>47</v>
      </c>
    </row>
    <row r="61" spans="1:20">
      <c r="A61" s="12" t="s">
        <v>48</v>
      </c>
      <c r="C61" s="11">
        <v>1500</v>
      </c>
      <c r="D61" s="11">
        <f>C61*1.2</f>
        <v>1800</v>
      </c>
      <c r="E61" s="11">
        <f t="shared" ref="E61:J62" si="9">D61*1.2</f>
        <v>2160</v>
      </c>
      <c r="F61" s="11">
        <f t="shared" si="9"/>
        <v>2592</v>
      </c>
      <c r="G61" s="11">
        <f t="shared" si="9"/>
        <v>3110.4</v>
      </c>
      <c r="H61" s="11">
        <f t="shared" si="9"/>
        <v>3732.48</v>
      </c>
      <c r="I61" s="11">
        <f t="shared" si="9"/>
        <v>4478.9759999999997</v>
      </c>
      <c r="J61" s="11">
        <f t="shared" si="9"/>
        <v>5374.7711999999992</v>
      </c>
      <c r="K61" s="11">
        <f t="shared" ref="K61:N61" si="10">J61*1.1</f>
        <v>5912.2483199999997</v>
      </c>
      <c r="L61" s="11">
        <f t="shared" si="10"/>
        <v>6503.4731520000005</v>
      </c>
      <c r="M61" s="11">
        <f t="shared" si="10"/>
        <v>7153.8204672000011</v>
      </c>
      <c r="N61" s="11">
        <f t="shared" si="10"/>
        <v>7869.2025139200014</v>
      </c>
    </row>
    <row r="62" spans="1:20">
      <c r="A62" s="12" t="s">
        <v>49</v>
      </c>
      <c r="C62" s="11">
        <v>20000</v>
      </c>
      <c r="D62" s="11">
        <v>5000</v>
      </c>
      <c r="E62" s="11">
        <f t="shared" si="9"/>
        <v>6000</v>
      </c>
      <c r="F62" s="11">
        <f t="shared" si="9"/>
        <v>7200</v>
      </c>
      <c r="G62" s="11">
        <f t="shared" si="9"/>
        <v>8640</v>
      </c>
      <c r="H62" s="11">
        <f t="shared" si="9"/>
        <v>10368</v>
      </c>
      <c r="I62" s="11">
        <f t="shared" si="9"/>
        <v>12441.6</v>
      </c>
      <c r="J62" s="11">
        <f t="shared" si="9"/>
        <v>14929.92</v>
      </c>
      <c r="K62" s="11">
        <f t="shared" ref="K62:N62" si="11">J62*1.1</f>
        <v>16422.912</v>
      </c>
      <c r="L62" s="11">
        <f t="shared" si="11"/>
        <v>18065.203200000004</v>
      </c>
      <c r="M62" s="11">
        <f t="shared" si="11"/>
        <v>19871.723520000007</v>
      </c>
      <c r="N62" s="11">
        <f t="shared" si="11"/>
        <v>21858.895872000008</v>
      </c>
    </row>
    <row r="63" spans="1:20">
      <c r="A63" s="12" t="s">
        <v>50</v>
      </c>
      <c r="C63" s="11">
        <v>2500</v>
      </c>
      <c r="D63" s="11">
        <f>C63*1.2</f>
        <v>3000</v>
      </c>
      <c r="E63" s="11">
        <f t="shared" ref="E63:J63" si="12">D63*1.2</f>
        <v>3600</v>
      </c>
      <c r="F63" s="11">
        <f t="shared" si="12"/>
        <v>4320</v>
      </c>
      <c r="G63" s="11">
        <f t="shared" si="12"/>
        <v>5184</v>
      </c>
      <c r="H63" s="11">
        <f t="shared" si="12"/>
        <v>6220.8</v>
      </c>
      <c r="I63" s="11">
        <f t="shared" si="12"/>
        <v>7464.96</v>
      </c>
      <c r="J63" s="11">
        <f t="shared" si="12"/>
        <v>8957.9519999999993</v>
      </c>
      <c r="K63" s="11">
        <f t="shared" ref="K63:N63" si="13">J63*1.1</f>
        <v>9853.7471999999998</v>
      </c>
      <c r="L63" s="11">
        <f t="shared" si="13"/>
        <v>10839.121920000001</v>
      </c>
      <c r="M63" s="11">
        <f t="shared" si="13"/>
        <v>11923.034112000003</v>
      </c>
      <c r="N63" s="11">
        <f t="shared" si="13"/>
        <v>13115.337523200003</v>
      </c>
    </row>
    <row r="64" spans="1:20">
      <c r="A64" s="12" t="s">
        <v>54</v>
      </c>
      <c r="C64" s="11">
        <v>10000</v>
      </c>
      <c r="D64" s="11">
        <f>C64*1.2</f>
        <v>12000</v>
      </c>
      <c r="E64" s="11">
        <f t="shared" ref="E64:J64" si="14">D64*1.2</f>
        <v>14400</v>
      </c>
      <c r="F64" s="11">
        <f t="shared" si="14"/>
        <v>17280</v>
      </c>
      <c r="G64" s="11">
        <f t="shared" si="14"/>
        <v>20736</v>
      </c>
      <c r="H64" s="11">
        <f t="shared" si="14"/>
        <v>24883.200000000001</v>
      </c>
      <c r="I64" s="11">
        <f t="shared" si="14"/>
        <v>29859.84</v>
      </c>
      <c r="J64" s="11">
        <f t="shared" si="14"/>
        <v>35831.807999999997</v>
      </c>
      <c r="K64" s="11">
        <f>J64*1.1</f>
        <v>39414.988799999999</v>
      </c>
      <c r="L64" s="11">
        <f>K64*1.1</f>
        <v>43356.487680000006</v>
      </c>
      <c r="M64" s="11">
        <f>L64*1.1</f>
        <v>47692.136448000012</v>
      </c>
      <c r="N64" s="11">
        <f>M64*1.1</f>
        <v>52461.350092800014</v>
      </c>
    </row>
    <row r="67" spans="1:20">
      <c r="A67" s="3" t="s">
        <v>55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5"/>
    </row>
    <row r="69" spans="1:20">
      <c r="A69" s="16" t="s">
        <v>56</v>
      </c>
      <c r="C69" s="10">
        <v>0.5</v>
      </c>
    </row>
    <row r="70" spans="1:20">
      <c r="A70" s="16" t="s">
        <v>57</v>
      </c>
      <c r="C70" s="10">
        <v>0.6</v>
      </c>
    </row>
    <row r="71" spans="1:20">
      <c r="A71" s="16" t="s">
        <v>58</v>
      </c>
      <c r="C71" s="11">
        <v>8000</v>
      </c>
    </row>
    <row r="74" spans="1:20">
      <c r="A74" s="55" t="s">
        <v>127</v>
      </c>
    </row>
    <row r="75" spans="1:20">
      <c r="A75" t="s">
        <v>135</v>
      </c>
    </row>
    <row r="76" spans="1:20">
      <c r="A76" s="12" t="s">
        <v>1</v>
      </c>
      <c r="C76" s="8">
        <v>25</v>
      </c>
    </row>
    <row r="77" spans="1:20">
      <c r="A77" s="12" t="s">
        <v>2</v>
      </c>
      <c r="C77" s="8">
        <v>35</v>
      </c>
    </row>
    <row r="78" spans="1:20">
      <c r="A78" s="12" t="s">
        <v>3</v>
      </c>
      <c r="C78" s="8">
        <v>45</v>
      </c>
    </row>
    <row r="79" spans="1:20">
      <c r="A79" s="12"/>
      <c r="C79" s="57"/>
      <c r="E79" s="57"/>
    </row>
    <row r="80" spans="1:20">
      <c r="A80" s="14" t="s">
        <v>136</v>
      </c>
      <c r="C80" s="6" t="s">
        <v>7</v>
      </c>
      <c r="D80" s="6" t="s">
        <v>8</v>
      </c>
      <c r="E80" s="6" t="s">
        <v>9</v>
      </c>
      <c r="F80" s="6" t="s">
        <v>10</v>
      </c>
      <c r="G80" s="6" t="s">
        <v>11</v>
      </c>
      <c r="H80" s="6" t="s">
        <v>12</v>
      </c>
      <c r="I80" s="6" t="s">
        <v>13</v>
      </c>
      <c r="J80" s="6" t="s">
        <v>14</v>
      </c>
      <c r="K80" s="6" t="s">
        <v>15</v>
      </c>
      <c r="L80" s="6" t="s">
        <v>16</v>
      </c>
      <c r="M80" s="6" t="s">
        <v>17</v>
      </c>
      <c r="N80" s="6" t="s">
        <v>18</v>
      </c>
    </row>
    <row r="81" spans="1:14">
      <c r="A81" s="12" t="s">
        <v>1</v>
      </c>
      <c r="C81" s="8">
        <v>70</v>
      </c>
      <c r="D81" s="8">
        <v>0</v>
      </c>
      <c r="E81" s="8">
        <v>70</v>
      </c>
      <c r="F81" s="8">
        <v>0</v>
      </c>
      <c r="G81" s="8">
        <v>0</v>
      </c>
      <c r="H81" s="8">
        <v>70</v>
      </c>
      <c r="I81" s="8">
        <v>0</v>
      </c>
      <c r="J81" s="8">
        <v>0</v>
      </c>
      <c r="K81" s="8">
        <v>100</v>
      </c>
      <c r="L81" s="8">
        <v>0</v>
      </c>
      <c r="M81" s="8">
        <v>100</v>
      </c>
      <c r="N81" s="8">
        <v>0</v>
      </c>
    </row>
    <row r="82" spans="1:14">
      <c r="A82" s="12" t="s">
        <v>2</v>
      </c>
      <c r="C82" s="8">
        <v>90</v>
      </c>
      <c r="D82" s="8">
        <v>0</v>
      </c>
      <c r="E82" s="8">
        <v>90</v>
      </c>
      <c r="F82" s="8">
        <v>0</v>
      </c>
      <c r="G82" s="8">
        <v>0</v>
      </c>
      <c r="H82" s="8">
        <v>90</v>
      </c>
      <c r="I82" s="8">
        <v>0</v>
      </c>
      <c r="J82" s="8">
        <v>0</v>
      </c>
      <c r="K82" s="8">
        <v>140</v>
      </c>
      <c r="L82" s="8">
        <v>0</v>
      </c>
      <c r="M82" s="8">
        <v>140</v>
      </c>
      <c r="N82" s="8">
        <v>0</v>
      </c>
    </row>
    <row r="83" spans="1:14">
      <c r="A83" s="12" t="s">
        <v>3</v>
      </c>
      <c r="C83" s="8">
        <v>110</v>
      </c>
      <c r="D83" s="8">
        <v>0</v>
      </c>
      <c r="E83" s="8">
        <v>110</v>
      </c>
      <c r="F83" s="8">
        <v>0</v>
      </c>
      <c r="G83" s="8">
        <v>0</v>
      </c>
      <c r="H83" s="8">
        <v>110</v>
      </c>
      <c r="I83" s="8">
        <v>0</v>
      </c>
      <c r="J83" s="8">
        <v>0</v>
      </c>
      <c r="K83" s="8">
        <v>180</v>
      </c>
      <c r="L83" s="8">
        <v>0</v>
      </c>
      <c r="M83" s="8">
        <v>200</v>
      </c>
      <c r="N83" s="8">
        <v>0</v>
      </c>
    </row>
    <row r="84" spans="1:14">
      <c r="A84" s="12"/>
      <c r="C84" s="57"/>
      <c r="E84" s="57"/>
    </row>
    <row r="85" spans="1:14">
      <c r="A85" s="12"/>
      <c r="C85" s="57"/>
      <c r="E85" s="57"/>
    </row>
    <row r="86" spans="1:14">
      <c r="A86" s="16"/>
    </row>
    <row r="87" spans="1:14">
      <c r="A87" s="55" t="s">
        <v>92</v>
      </c>
      <c r="C87" s="6" t="s">
        <v>7</v>
      </c>
      <c r="D87" s="6" t="s">
        <v>8</v>
      </c>
      <c r="E87" s="6" t="s">
        <v>9</v>
      </c>
      <c r="F87" s="6" t="s">
        <v>10</v>
      </c>
      <c r="G87" s="6" t="s">
        <v>11</v>
      </c>
      <c r="H87" s="6" t="s">
        <v>12</v>
      </c>
      <c r="I87" s="6" t="s">
        <v>13</v>
      </c>
      <c r="J87" s="6" t="s">
        <v>14</v>
      </c>
      <c r="K87" s="6" t="s">
        <v>15</v>
      </c>
      <c r="L87" s="6" t="s">
        <v>16</v>
      </c>
      <c r="M87" s="6" t="s">
        <v>17</v>
      </c>
      <c r="N87" s="6" t="s">
        <v>18</v>
      </c>
    </row>
    <row r="88" spans="1:14">
      <c r="A88" s="16" t="s">
        <v>110</v>
      </c>
      <c r="C88" s="11">
        <f>C40*2500</f>
        <v>40000</v>
      </c>
      <c r="D88" s="11">
        <f t="shared" ref="D88:N88" si="15">D40*2500</f>
        <v>40000</v>
      </c>
      <c r="E88" s="11">
        <f t="shared" si="15"/>
        <v>45000</v>
      </c>
      <c r="F88" s="11">
        <f t="shared" si="15"/>
        <v>52500</v>
      </c>
      <c r="G88" s="11">
        <f t="shared" si="15"/>
        <v>57500</v>
      </c>
      <c r="H88" s="11">
        <f t="shared" si="15"/>
        <v>62500</v>
      </c>
      <c r="I88" s="11">
        <f t="shared" si="15"/>
        <v>67500</v>
      </c>
      <c r="J88" s="11">
        <f t="shared" si="15"/>
        <v>72500</v>
      </c>
      <c r="K88" s="11">
        <f t="shared" si="15"/>
        <v>77500</v>
      </c>
      <c r="L88" s="11">
        <f t="shared" si="15"/>
        <v>82500</v>
      </c>
      <c r="M88" s="11">
        <f t="shared" si="15"/>
        <v>90000</v>
      </c>
      <c r="N88" s="11">
        <f t="shared" si="15"/>
        <v>102500</v>
      </c>
    </row>
    <row r="89" spans="1:14">
      <c r="A89" s="16" t="s">
        <v>94</v>
      </c>
      <c r="C89" s="11">
        <f>5000*C40</f>
        <v>80000</v>
      </c>
      <c r="D89" s="11">
        <f t="shared" ref="D89:N89" si="16">5000*D40</f>
        <v>80000</v>
      </c>
      <c r="E89" s="11">
        <f t="shared" si="16"/>
        <v>90000</v>
      </c>
      <c r="F89" s="11">
        <f t="shared" si="16"/>
        <v>105000</v>
      </c>
      <c r="G89" s="11">
        <f t="shared" si="16"/>
        <v>115000</v>
      </c>
      <c r="H89" s="11">
        <f t="shared" si="16"/>
        <v>125000</v>
      </c>
      <c r="I89" s="11">
        <f t="shared" si="16"/>
        <v>135000</v>
      </c>
      <c r="J89" s="11">
        <f t="shared" si="16"/>
        <v>145000</v>
      </c>
      <c r="K89" s="11">
        <f t="shared" si="16"/>
        <v>155000</v>
      </c>
      <c r="L89" s="11">
        <f t="shared" si="16"/>
        <v>165000</v>
      </c>
      <c r="M89" s="11">
        <f t="shared" si="16"/>
        <v>180000</v>
      </c>
      <c r="N89" s="11">
        <f t="shared" si="16"/>
        <v>205000</v>
      </c>
    </row>
    <row r="90" spans="1:14">
      <c r="A90" s="16"/>
    </row>
    <row r="92" spans="1:14">
      <c r="A92" s="25" t="s">
        <v>67</v>
      </c>
      <c r="B92" s="18"/>
      <c r="C92" s="19" t="s">
        <v>59</v>
      </c>
      <c r="D92" s="18" t="s">
        <v>60</v>
      </c>
    </row>
    <row r="93" spans="1:14">
      <c r="A93" s="26" t="s">
        <v>61</v>
      </c>
      <c r="B93" s="20"/>
      <c r="C93" s="21">
        <v>25000</v>
      </c>
      <c r="D93" s="22" t="s">
        <v>69</v>
      </c>
    </row>
    <row r="94" spans="1:14">
      <c r="A94" s="27" t="s">
        <v>62</v>
      </c>
      <c r="B94" s="20"/>
      <c r="C94" s="21">
        <v>1500000</v>
      </c>
      <c r="D94" s="22" t="s">
        <v>69</v>
      </c>
    </row>
    <row r="95" spans="1:14">
      <c r="A95" s="17" t="s">
        <v>63</v>
      </c>
      <c r="B95" s="20"/>
      <c r="C95" s="23">
        <f>SUM(C93:C94)</f>
        <v>1525000</v>
      </c>
      <c r="D95" s="22"/>
    </row>
    <row r="96" spans="1:14">
      <c r="A96" s="17" t="s">
        <v>64</v>
      </c>
      <c r="B96" s="20"/>
      <c r="C96" s="21">
        <v>1000000</v>
      </c>
      <c r="D96" s="22" t="s">
        <v>68</v>
      </c>
    </row>
    <row r="97" spans="1:20">
      <c r="A97" s="17" t="s">
        <v>65</v>
      </c>
      <c r="B97" s="20"/>
      <c r="C97" s="21">
        <v>0</v>
      </c>
      <c r="D97" s="24" t="s">
        <v>70</v>
      </c>
    </row>
    <row r="98" spans="1:20">
      <c r="A98" s="17" t="s">
        <v>66</v>
      </c>
      <c r="B98" s="20"/>
      <c r="C98" s="21">
        <v>0</v>
      </c>
      <c r="D98" s="24" t="s">
        <v>70</v>
      </c>
    </row>
    <row r="101" spans="1:20">
      <c r="A101" s="3" t="s">
        <v>142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/>
    </row>
    <row r="104" spans="1:20">
      <c r="A104" s="1" t="s">
        <v>72</v>
      </c>
      <c r="B104" t="s">
        <v>143</v>
      </c>
      <c r="C104" t="s">
        <v>144</v>
      </c>
    </row>
    <row r="105" spans="1:20">
      <c r="A105" s="12" t="s">
        <v>1</v>
      </c>
      <c r="B105" s="10">
        <v>0.1</v>
      </c>
      <c r="C105" s="10">
        <v>-0.1</v>
      </c>
    </row>
    <row r="106" spans="1:20">
      <c r="A106" s="12" t="s">
        <v>2</v>
      </c>
      <c r="B106" s="10">
        <v>0.15</v>
      </c>
      <c r="C106" s="10">
        <v>-0.15</v>
      </c>
    </row>
    <row r="107" spans="1:20">
      <c r="A107" s="12" t="s">
        <v>3</v>
      </c>
      <c r="B107" s="10">
        <v>0.2</v>
      </c>
      <c r="C107" s="10">
        <v>-0.2</v>
      </c>
    </row>
    <row r="108" spans="1:20">
      <c r="B108" s="73"/>
      <c r="C108" s="73"/>
    </row>
    <row r="109" spans="1:20">
      <c r="A109" s="1" t="s">
        <v>22</v>
      </c>
      <c r="B109" s="73"/>
      <c r="C109" s="73"/>
    </row>
    <row r="110" spans="1:20">
      <c r="A110" s="12" t="s">
        <v>1</v>
      </c>
      <c r="B110" s="10">
        <v>0.1</v>
      </c>
      <c r="C110" s="10">
        <v>-0.1</v>
      </c>
    </row>
    <row r="111" spans="1:20">
      <c r="A111" s="12" t="s">
        <v>2</v>
      </c>
      <c r="B111" s="10">
        <v>0.15</v>
      </c>
      <c r="C111" s="10">
        <v>-0.15</v>
      </c>
    </row>
    <row r="112" spans="1:20">
      <c r="A112" s="12" t="s">
        <v>3</v>
      </c>
      <c r="B112" s="10">
        <v>0.2</v>
      </c>
      <c r="C112" s="10">
        <v>-0.2</v>
      </c>
    </row>
    <row r="113" spans="1:3">
      <c r="A113" s="12"/>
      <c r="B113" s="73"/>
      <c r="C113" s="73"/>
    </row>
    <row r="114" spans="1:3">
      <c r="A114" s="1" t="s">
        <v>77</v>
      </c>
      <c r="B114" s="73"/>
      <c r="C114" s="73"/>
    </row>
    <row r="115" spans="1:3">
      <c r="A115" s="12" t="s">
        <v>28</v>
      </c>
      <c r="B115" s="10">
        <v>-0.05</v>
      </c>
      <c r="C115" s="10">
        <v>0.05</v>
      </c>
    </row>
    <row r="116" spans="1:3">
      <c r="A116" s="12" t="s">
        <v>27</v>
      </c>
      <c r="B116" s="10">
        <v>-0.05</v>
      </c>
      <c r="C116" s="10">
        <v>0.05</v>
      </c>
    </row>
    <row r="117" spans="1:3">
      <c r="A117" s="12" t="s">
        <v>45</v>
      </c>
      <c r="B117" s="10">
        <v>-0.1</v>
      </c>
      <c r="C117" s="10">
        <v>0.1</v>
      </c>
    </row>
    <row r="118" spans="1:3">
      <c r="A118" s="12" t="s">
        <v>80</v>
      </c>
      <c r="B118" s="10">
        <v>0</v>
      </c>
      <c r="C118" s="10">
        <v>0</v>
      </c>
    </row>
    <row r="119" spans="1:3">
      <c r="B119" s="73"/>
      <c r="C11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A24" sqref="A24"/>
    </sheetView>
  </sheetViews>
  <sheetFormatPr defaultRowHeight="15"/>
  <cols>
    <col min="1" max="1" width="20.140625" customWidth="1"/>
    <col min="2" max="2" width="2.5703125" customWidth="1"/>
    <col min="3" max="7" width="16" customWidth="1"/>
  </cols>
  <sheetData>
    <row r="1" spans="1:6" ht="18.75">
      <c r="A1" s="93" t="s">
        <v>150</v>
      </c>
      <c r="B1" s="93"/>
      <c r="C1" s="93"/>
      <c r="D1" s="93"/>
      <c r="E1" s="93"/>
    </row>
    <row r="2" spans="1:6">
      <c r="A2" s="94" t="s">
        <v>151</v>
      </c>
      <c r="B2" s="94"/>
      <c r="C2" s="94"/>
      <c r="D2" s="94"/>
      <c r="E2" s="94"/>
    </row>
    <row r="4" spans="1:6">
      <c r="A4" s="3" t="s">
        <v>146</v>
      </c>
      <c r="B4" s="4"/>
      <c r="C4" s="91" t="s">
        <v>24</v>
      </c>
      <c r="D4" s="91" t="s">
        <v>25</v>
      </c>
      <c r="E4" s="92" t="s">
        <v>26</v>
      </c>
    </row>
    <row r="5" spans="1:6">
      <c r="A5" s="12" t="s">
        <v>72</v>
      </c>
      <c r="C5" s="13">
        <f>'P&amp;L'!G9</f>
        <v>596631.75</v>
      </c>
      <c r="D5" s="13">
        <f>'P&amp;L'!L9</f>
        <v>1178097.8901984375</v>
      </c>
      <c r="E5" s="13">
        <f>'P&amp;L'!Q9</f>
        <v>2366006.3791195406</v>
      </c>
      <c r="F5" s="13"/>
    </row>
    <row r="6" spans="1:6">
      <c r="A6" s="12" t="s">
        <v>22</v>
      </c>
      <c r="C6" s="13">
        <f>'P&amp;L'!G15</f>
        <v>347820.75</v>
      </c>
      <c r="D6" s="13">
        <f>'P&amp;L'!L15</f>
        <v>545094.02034375002</v>
      </c>
      <c r="E6" s="13">
        <f>'P&amp;L'!Q15</f>
        <v>703129.64263695327</v>
      </c>
      <c r="F6" s="13"/>
    </row>
    <row r="7" spans="1:6">
      <c r="A7" s="90" t="s">
        <v>75</v>
      </c>
      <c r="B7" s="66"/>
      <c r="C7" s="67">
        <f>C5-C6</f>
        <v>248811</v>
      </c>
      <c r="D7" s="67">
        <f t="shared" ref="D7:E7" si="0">D5-D6</f>
        <v>633003.86985468748</v>
      </c>
      <c r="E7" s="67">
        <f t="shared" si="0"/>
        <v>1662876.7364825872</v>
      </c>
      <c r="F7" s="13"/>
    </row>
    <row r="8" spans="1:6">
      <c r="A8" s="12" t="s">
        <v>77</v>
      </c>
      <c r="C8" s="13">
        <f>'P&amp;L'!G25</f>
        <v>958699.51249999995</v>
      </c>
      <c r="D8" s="13">
        <f>'P&amp;L'!L25</f>
        <v>1361220.5606008593</v>
      </c>
      <c r="E8" s="13">
        <f>'P&amp;L'!Q25</f>
        <v>1905272.5462726611</v>
      </c>
      <c r="F8" s="13"/>
    </row>
    <row r="9" spans="1:6" ht="15.75" thickBot="1">
      <c r="A9" s="89" t="s">
        <v>79</v>
      </c>
      <c r="B9" s="44"/>
      <c r="C9" s="71">
        <f>C7-C8</f>
        <v>-709888.51249999995</v>
      </c>
      <c r="D9" s="71">
        <f t="shared" ref="D9:E9" si="1">D7-D8</f>
        <v>-728216.69074617187</v>
      </c>
      <c r="E9" s="71">
        <f t="shared" si="1"/>
        <v>-242395.80979007389</v>
      </c>
      <c r="F9" s="13"/>
    </row>
    <row r="10" spans="1:6" ht="15.75" thickTop="1">
      <c r="C10" s="13"/>
      <c r="D10" s="13"/>
      <c r="E10" s="13"/>
      <c r="F10" s="13"/>
    </row>
    <row r="11" spans="1:6">
      <c r="A11" s="3" t="s">
        <v>147</v>
      </c>
      <c r="B11" s="4"/>
      <c r="C11" s="91" t="s">
        <v>24</v>
      </c>
      <c r="D11" s="91" t="s">
        <v>25</v>
      </c>
      <c r="E11" s="92" t="s">
        <v>26</v>
      </c>
    </row>
    <row r="12" spans="1:6">
      <c r="A12" s="12" t="s">
        <v>84</v>
      </c>
      <c r="C12" s="13">
        <f>'Bal Sheet'!G22</f>
        <v>838448.79500000004</v>
      </c>
      <c r="D12" s="13">
        <f>'Bal Sheet'!K22</f>
        <v>1131787.8453602814</v>
      </c>
      <c r="E12" s="13">
        <f>'Bal Sheet'!O22</f>
        <v>910114.50382380362</v>
      </c>
      <c r="F12" s="13"/>
    </row>
    <row r="13" spans="1:6">
      <c r="A13" s="12" t="s">
        <v>85</v>
      </c>
      <c r="C13" s="13">
        <f>'Bal Sheet'!G29+'Bal Sheet'!G33</f>
        <v>23337.307499999999</v>
      </c>
      <c r="D13" s="13">
        <f>+'Bal Sheet'!K29+'Bal Sheet'!K33</f>
        <v>44893.048606453121</v>
      </c>
      <c r="E13" s="13">
        <f>+'Bal Sheet'!O29+'Bal Sheet'!O33</f>
        <v>65615.516860049538</v>
      </c>
      <c r="F13" s="13"/>
    </row>
    <row r="14" spans="1:6">
      <c r="A14" s="12" t="s">
        <v>86</v>
      </c>
      <c r="C14" s="13">
        <f>+'Bal Sheet'!G39</f>
        <v>815111.48750000005</v>
      </c>
      <c r="D14" s="13">
        <f>+'Bal Sheet'!K39</f>
        <v>1086894.7967538282</v>
      </c>
      <c r="E14" s="13">
        <f>+'Bal Sheet'!O39</f>
        <v>844498.98696375405</v>
      </c>
      <c r="F14" s="13"/>
    </row>
    <row r="15" spans="1:6">
      <c r="C15" s="13"/>
      <c r="D15" s="13"/>
      <c r="E15" s="13"/>
      <c r="F15" s="13"/>
    </row>
    <row r="16" spans="1:6">
      <c r="A16" s="3" t="s">
        <v>148</v>
      </c>
      <c r="B16" s="4"/>
      <c r="C16" s="91" t="s">
        <v>24</v>
      </c>
      <c r="D16" s="91" t="s">
        <v>25</v>
      </c>
      <c r="E16" s="92" t="s">
        <v>26</v>
      </c>
    </row>
    <row r="17" spans="1:6">
      <c r="A17" s="12" t="s">
        <v>154</v>
      </c>
      <c r="C17" s="13">
        <f>+'Cash Flow'!H22</f>
        <v>1525000</v>
      </c>
      <c r="D17" s="13">
        <f>+'Cash Flow'!M22</f>
        <v>1000000</v>
      </c>
      <c r="E17" s="13">
        <f>+'Cash Flow'!R22</f>
        <v>0</v>
      </c>
      <c r="F17" s="13"/>
    </row>
    <row r="18" spans="1:6">
      <c r="A18" s="12" t="s">
        <v>149</v>
      </c>
      <c r="C18" s="13">
        <f>+'Cash Flow'!G25</f>
        <v>31086.170000000013</v>
      </c>
      <c r="D18" s="13">
        <f>+'Cash Flow'!L25</f>
        <v>520608.67065168754</v>
      </c>
      <c r="E18" s="13">
        <f>+'Cash Flow'!Q25</f>
        <v>159363.46807544012</v>
      </c>
      <c r="F18" s="13"/>
    </row>
    <row r="19" spans="1:6">
      <c r="C19" s="13"/>
      <c r="D19" s="13"/>
      <c r="E19" s="13"/>
      <c r="F19" s="13"/>
    </row>
    <row r="20" spans="1:6">
      <c r="A20" s="3" t="s">
        <v>142</v>
      </c>
      <c r="B20" s="4"/>
      <c r="C20" s="91" t="s">
        <v>24</v>
      </c>
      <c r="D20" s="91" t="s">
        <v>25</v>
      </c>
      <c r="E20" s="92" t="s">
        <v>26</v>
      </c>
    </row>
    <row r="21" spans="1:6">
      <c r="A21" s="12" t="s">
        <v>152</v>
      </c>
      <c r="C21" s="13">
        <f>+'Variance Analysis'!C28</f>
        <v>-622305.91187499999</v>
      </c>
      <c r="D21" s="13">
        <f>+'Variance Analysis'!D28</f>
        <v>-566852.52840612875</v>
      </c>
      <c r="E21" s="13">
        <f>+'Variance Analysis'!E28</f>
        <v>102289.08984638285</v>
      </c>
      <c r="F21" s="13"/>
    </row>
    <row r="22" spans="1:6">
      <c r="A22" s="12" t="s">
        <v>153</v>
      </c>
      <c r="C22" s="13">
        <f>+'Variance Analysis'!G28</f>
        <v>-797471.11312500003</v>
      </c>
      <c r="D22" s="13">
        <f>+'Variance Analysis'!H28</f>
        <v>-889580.85308621451</v>
      </c>
      <c r="E22" s="13">
        <f>+'Variance Analysis'!I28</f>
        <v>-587080.7094265311</v>
      </c>
      <c r="F22" s="13"/>
    </row>
    <row r="23" spans="1:6">
      <c r="C23" s="13"/>
      <c r="D23" s="13"/>
      <c r="E23" s="13"/>
      <c r="F23" s="13"/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"/>
  <sheetViews>
    <sheetView workbookViewId="0">
      <selection activeCell="C18" sqref="C18"/>
    </sheetView>
  </sheetViews>
  <sheetFormatPr defaultRowHeight="15"/>
  <cols>
    <col min="1" max="1" width="25.5703125" bestFit="1" customWidth="1"/>
    <col min="2" max="2" width="2.140625" customWidth="1"/>
    <col min="3" max="6" width="11.85546875" customWidth="1"/>
    <col min="7" max="7" width="12.28515625" bestFit="1" customWidth="1"/>
    <col min="8" max="11" width="11.85546875" customWidth="1"/>
    <col min="12" max="12" width="12.28515625" bestFit="1" customWidth="1"/>
    <col min="13" max="16" width="11.85546875" customWidth="1"/>
    <col min="17" max="17" width="12.28515625" bestFit="1" customWidth="1"/>
    <col min="18" max="18" width="11.85546875" customWidth="1"/>
  </cols>
  <sheetData>
    <row r="1" spans="1:18" ht="21">
      <c r="A1" s="2" t="s">
        <v>0</v>
      </c>
    </row>
    <row r="2" spans="1:18">
      <c r="A2" s="1" t="s">
        <v>71</v>
      </c>
    </row>
    <row r="3" spans="1:18">
      <c r="A3" s="1"/>
      <c r="C3" s="95" t="s">
        <v>24</v>
      </c>
      <c r="D3" s="96"/>
      <c r="E3" s="96"/>
      <c r="F3" s="96"/>
      <c r="G3" s="97"/>
      <c r="H3" s="95" t="s">
        <v>25</v>
      </c>
      <c r="I3" s="96"/>
      <c r="J3" s="96"/>
      <c r="K3" s="96"/>
      <c r="L3" s="97"/>
      <c r="M3" s="98" t="s">
        <v>26</v>
      </c>
      <c r="N3" s="98"/>
      <c r="O3" s="98"/>
      <c r="P3" s="98"/>
      <c r="Q3" s="98"/>
    </row>
    <row r="4" spans="1:18">
      <c r="C4" s="6" t="s">
        <v>7</v>
      </c>
      <c r="D4" s="6" t="s">
        <v>8</v>
      </c>
      <c r="E4" s="6" t="s">
        <v>9</v>
      </c>
      <c r="F4" s="6" t="s">
        <v>10</v>
      </c>
      <c r="G4" s="33" t="s">
        <v>81</v>
      </c>
      <c r="H4" s="6" t="s">
        <v>11</v>
      </c>
      <c r="I4" s="6" t="s">
        <v>12</v>
      </c>
      <c r="J4" s="6" t="s">
        <v>13</v>
      </c>
      <c r="K4" s="6" t="s">
        <v>14</v>
      </c>
      <c r="L4" s="33" t="s">
        <v>81</v>
      </c>
      <c r="M4" s="6" t="s">
        <v>15</v>
      </c>
      <c r="N4" s="6" t="s">
        <v>16</v>
      </c>
      <c r="O4" s="6" t="s">
        <v>17</v>
      </c>
      <c r="P4" s="6" t="s">
        <v>18</v>
      </c>
      <c r="Q4" s="33" t="s">
        <v>81</v>
      </c>
      <c r="R4" s="6"/>
    </row>
    <row r="5" spans="1:18">
      <c r="A5" s="1" t="s">
        <v>72</v>
      </c>
      <c r="C5" s="13"/>
      <c r="D5" s="13"/>
      <c r="E5" s="13"/>
      <c r="F5" s="13"/>
      <c r="G5" s="35"/>
      <c r="H5" s="13"/>
      <c r="I5" s="13"/>
      <c r="J5" s="13"/>
      <c r="K5" s="13"/>
      <c r="L5" s="35"/>
      <c r="M5" s="13"/>
      <c r="N5" s="13"/>
      <c r="O5" s="13"/>
      <c r="P5" s="13"/>
      <c r="Q5" s="35"/>
    </row>
    <row r="6" spans="1:18">
      <c r="A6" s="12" t="s">
        <v>1</v>
      </c>
      <c r="C6" s="13">
        <f>Assumptions!C7*PriceWidgetA</f>
        <v>60000</v>
      </c>
      <c r="D6" s="13">
        <f>Assumptions!D7*PriceWidgetA</f>
        <v>69000</v>
      </c>
      <c r="E6" s="13">
        <f>Assumptions!E7*PriceWidgetA</f>
        <v>79350</v>
      </c>
      <c r="F6" s="13">
        <f>Assumptions!F7*PriceWidgetA</f>
        <v>91252.500000000015</v>
      </c>
      <c r="G6" s="35">
        <f>SUM(C6:F6)</f>
        <v>299602.5</v>
      </c>
      <c r="H6" s="13">
        <f>Assumptions!G7*PriceWidgetA</f>
        <v>104940.37500000001</v>
      </c>
      <c r="I6" s="13">
        <f>Assumptions!H7*PriceWidgetA</f>
        <v>120681.43125000001</v>
      </c>
      <c r="J6" s="13">
        <f>Assumptions!I7*PriceWidgetA</f>
        <v>138783.6459375</v>
      </c>
      <c r="K6" s="13">
        <f>Assumptions!J7*PriceWidgetA</f>
        <v>159601.192828125</v>
      </c>
      <c r="L6" s="35">
        <f>SUM(H6:K6)</f>
        <v>524006.64501562505</v>
      </c>
      <c r="M6" s="13">
        <f>Assumptions!K7*PriceWidgetA</f>
        <v>183541.37175234375</v>
      </c>
      <c r="N6" s="13">
        <f>Assumptions!L7*PriceWidgetA</f>
        <v>211072.5775151953</v>
      </c>
      <c r="O6" s="13">
        <f>Assumptions!M7*PriceWidgetA</f>
        <v>242733.46414247461</v>
      </c>
      <c r="P6" s="13">
        <f>Assumptions!N7*PriceWidgetA</f>
        <v>279143.48376384575</v>
      </c>
      <c r="Q6" s="35">
        <f>SUM(M6:P6)</f>
        <v>916490.89717385941</v>
      </c>
    </row>
    <row r="7" spans="1:18">
      <c r="A7" s="12" t="s">
        <v>2</v>
      </c>
      <c r="C7" s="13">
        <f>Assumptions!C8*PriceWidgetB</f>
        <v>36000</v>
      </c>
      <c r="D7" s="13">
        <f>Assumptions!D8*PriceWidgetB</f>
        <v>43200</v>
      </c>
      <c r="E7" s="13">
        <f>Assumptions!E8*PriceWidgetB</f>
        <v>51840</v>
      </c>
      <c r="F7" s="13">
        <f>Assumptions!F8*PriceWidgetB</f>
        <v>62208</v>
      </c>
      <c r="G7" s="35">
        <f>SUM(C7:F7)</f>
        <v>193248</v>
      </c>
      <c r="H7" s="13">
        <f>Assumptions!G8*PriceWidgetB</f>
        <v>74649.600000000006</v>
      </c>
      <c r="I7" s="13">
        <f>Assumptions!H8*PriceWidgetB</f>
        <v>89579.520000000004</v>
      </c>
      <c r="J7" s="13">
        <f>Assumptions!I8*PriceWidgetB</f>
        <v>107495.42400000001</v>
      </c>
      <c r="K7" s="13">
        <f>Assumptions!J8*PriceWidgetB</f>
        <v>128994.50880000001</v>
      </c>
      <c r="L7" s="35">
        <f>SUM(H7:K7)</f>
        <v>400719.0528</v>
      </c>
      <c r="M7" s="13">
        <f>Assumptions!K8*PriceWidgetB</f>
        <v>154793.41056000002</v>
      </c>
      <c r="N7" s="13">
        <f>Assumptions!L8*PriceWidgetB</f>
        <v>185752.09267200003</v>
      </c>
      <c r="O7" s="13">
        <f>Assumptions!M8*PriceWidgetB</f>
        <v>222902.51120640003</v>
      </c>
      <c r="P7" s="13">
        <f>Assumptions!N8*PriceWidgetB</f>
        <v>267483.01344767999</v>
      </c>
      <c r="Q7" s="35">
        <f>SUM(M7:P7)</f>
        <v>830931.02788608009</v>
      </c>
    </row>
    <row r="8" spans="1:18">
      <c r="A8" s="12" t="s">
        <v>3</v>
      </c>
      <c r="C8" s="13">
        <f>Assumptions!C9*PriceWidgetC</f>
        <v>18000</v>
      </c>
      <c r="D8" s="13">
        <f>Assumptions!D9*PriceWidgetC</f>
        <v>22500</v>
      </c>
      <c r="E8" s="13">
        <f>Assumptions!E9*PriceWidgetC</f>
        <v>28125</v>
      </c>
      <c r="F8" s="13">
        <f>Assumptions!F9*PriceWidgetC</f>
        <v>35156.25</v>
      </c>
      <c r="G8" s="35">
        <f>SUM(C8:F8)</f>
        <v>103781.25</v>
      </c>
      <c r="H8" s="13">
        <f>Assumptions!G9*PriceWidgetC</f>
        <v>43945.3125</v>
      </c>
      <c r="I8" s="13">
        <f>Assumptions!H9*PriceWidgetC</f>
        <v>54931.640625</v>
      </c>
      <c r="J8" s="13">
        <f>Assumptions!I9*PriceWidgetC</f>
        <v>68664.55078125</v>
      </c>
      <c r="K8" s="13">
        <f>Assumptions!J9*PriceWidgetC</f>
        <v>85830.6884765625</v>
      </c>
      <c r="L8" s="35">
        <f>SUM(H8:K8)</f>
        <v>253372.1923828125</v>
      </c>
      <c r="M8" s="13">
        <f>Assumptions!K9*PriceWidgetC</f>
        <v>107288.36059570313</v>
      </c>
      <c r="N8" s="13">
        <f>Assumptions!L9*PriceWidgetC</f>
        <v>134110.45074462891</v>
      </c>
      <c r="O8" s="13">
        <f>Assumptions!M9*PriceWidgetC</f>
        <v>167638.06343078613</v>
      </c>
      <c r="P8" s="13">
        <f>Assumptions!N9*PriceWidgetC</f>
        <v>209547.57928848267</v>
      </c>
      <c r="Q8" s="35">
        <f>SUM(M8:P8)</f>
        <v>618584.45405960083</v>
      </c>
    </row>
    <row r="9" spans="1:18" s="1" customFormat="1">
      <c r="A9" s="29" t="s">
        <v>74</v>
      </c>
      <c r="B9" s="30"/>
      <c r="C9" s="48">
        <f t="shared" ref="C9:Q9" si="0">SUM(C6:C8)</f>
        <v>114000</v>
      </c>
      <c r="D9" s="48">
        <f t="shared" si="0"/>
        <v>134700</v>
      </c>
      <c r="E9" s="48">
        <f t="shared" si="0"/>
        <v>159315</v>
      </c>
      <c r="F9" s="48">
        <f t="shared" si="0"/>
        <v>188616.75</v>
      </c>
      <c r="G9" s="49">
        <f t="shared" si="0"/>
        <v>596631.75</v>
      </c>
      <c r="H9" s="48">
        <f t="shared" si="0"/>
        <v>223535.28750000003</v>
      </c>
      <c r="I9" s="48">
        <f t="shared" si="0"/>
        <v>265192.59187500004</v>
      </c>
      <c r="J9" s="48">
        <f t="shared" si="0"/>
        <v>314943.62071875</v>
      </c>
      <c r="K9" s="48">
        <f t="shared" si="0"/>
        <v>374426.39010468754</v>
      </c>
      <c r="L9" s="49">
        <f t="shared" si="0"/>
        <v>1178097.8901984375</v>
      </c>
      <c r="M9" s="48">
        <f t="shared" si="0"/>
        <v>445623.1429080469</v>
      </c>
      <c r="N9" s="48">
        <f t="shared" si="0"/>
        <v>530935.1209318242</v>
      </c>
      <c r="O9" s="48">
        <f t="shared" si="0"/>
        <v>633274.03877966083</v>
      </c>
      <c r="P9" s="48">
        <f t="shared" si="0"/>
        <v>756174.07650000835</v>
      </c>
      <c r="Q9" s="49">
        <f t="shared" si="0"/>
        <v>2366006.3791195406</v>
      </c>
    </row>
    <row r="10" spans="1:18">
      <c r="C10" s="13"/>
      <c r="D10" s="13"/>
      <c r="E10" s="13"/>
      <c r="F10" s="13"/>
      <c r="G10" s="35"/>
      <c r="H10" s="13"/>
      <c r="I10" s="13"/>
      <c r="J10" s="13"/>
      <c r="K10" s="13"/>
      <c r="L10" s="35"/>
      <c r="M10" s="13"/>
      <c r="N10" s="13"/>
      <c r="O10" s="13"/>
      <c r="P10" s="13"/>
      <c r="Q10" s="35"/>
    </row>
    <row r="11" spans="1:18">
      <c r="A11" s="1" t="s">
        <v>22</v>
      </c>
      <c r="C11" s="13"/>
      <c r="D11" s="13"/>
      <c r="E11" s="13"/>
      <c r="F11" s="13"/>
      <c r="G11" s="35"/>
      <c r="H11" s="13"/>
      <c r="I11" s="13"/>
      <c r="J11" s="13"/>
      <c r="K11" s="13"/>
      <c r="L11" s="35"/>
      <c r="M11" s="13"/>
      <c r="N11" s="13"/>
      <c r="O11" s="13"/>
      <c r="P11" s="13"/>
      <c r="Q11" s="35"/>
    </row>
    <row r="12" spans="1:18">
      <c r="A12" s="12" t="s">
        <v>1</v>
      </c>
      <c r="C12" s="13">
        <f>Assumptions!C7*Assumptions!$C$24</f>
        <v>30000</v>
      </c>
      <c r="D12" s="13">
        <f>Assumptions!D7*Assumptions!$C$24</f>
        <v>34500</v>
      </c>
      <c r="E12" s="13">
        <f>Assumptions!E7*Assumptions!$C$24</f>
        <v>39675</v>
      </c>
      <c r="F12" s="13">
        <f>Assumptions!F7*Assumptions!$C$24</f>
        <v>45626.250000000007</v>
      </c>
      <c r="G12" s="35">
        <f>SUM(C12:F12)</f>
        <v>149801.25</v>
      </c>
      <c r="H12" s="13">
        <f>Assumptions!G7*Assumptions!$D$24</f>
        <v>41976.15</v>
      </c>
      <c r="I12" s="13">
        <f>Assumptions!H7*Assumptions!$D$24</f>
        <v>48272.572500000002</v>
      </c>
      <c r="J12" s="13">
        <f>Assumptions!I7*Assumptions!$D$24</f>
        <v>55513.458375000002</v>
      </c>
      <c r="K12" s="13">
        <f>Assumptions!J7*Assumptions!$D$24</f>
        <v>63840.477131249994</v>
      </c>
      <c r="L12" s="35">
        <f>SUM(H12:K12)</f>
        <v>209602.65800625001</v>
      </c>
      <c r="M12" s="13">
        <f>Assumptions!K7*Assumptions!$E$24</f>
        <v>44049.929220562495</v>
      </c>
      <c r="N12" s="13">
        <f>Assumptions!L7*Assumptions!$E$24</f>
        <v>50657.418603646875</v>
      </c>
      <c r="O12" s="13">
        <f>Assumptions!M7*Assumptions!$E$24</f>
        <v>58256.031394193902</v>
      </c>
      <c r="P12" s="13">
        <f>Assumptions!N7*Assumptions!$E$24</f>
        <v>66994.43610332298</v>
      </c>
      <c r="Q12" s="35">
        <f>SUM(M12:P12)</f>
        <v>219957.81532172626</v>
      </c>
    </row>
    <row r="13" spans="1:18">
      <c r="A13" s="12" t="s">
        <v>2</v>
      </c>
      <c r="C13" s="13">
        <f>Assumptions!C8*Assumptions!$C$25</f>
        <v>24000</v>
      </c>
      <c r="D13" s="13">
        <f>Assumptions!D8*Assumptions!$C$25</f>
        <v>28800</v>
      </c>
      <c r="E13" s="13">
        <f>Assumptions!E8*Assumptions!$C$25</f>
        <v>34560</v>
      </c>
      <c r="F13" s="13">
        <f>Assumptions!F8*Assumptions!$C$25</f>
        <v>41472</v>
      </c>
      <c r="G13" s="35">
        <f>SUM(C13:F13)</f>
        <v>128832</v>
      </c>
      <c r="H13" s="13">
        <f>Assumptions!G8*Assumptions!$D$25</f>
        <v>37324.800000000003</v>
      </c>
      <c r="I13" s="13">
        <f>Assumptions!H8*Assumptions!$D$25</f>
        <v>44789.760000000002</v>
      </c>
      <c r="J13" s="13">
        <f>Assumptions!I8*Assumptions!$D$25</f>
        <v>53747.712000000007</v>
      </c>
      <c r="K13" s="13">
        <f>Assumptions!J8*Assumptions!$D$25</f>
        <v>64497.254400000005</v>
      </c>
      <c r="L13" s="35">
        <f>SUM(H13:K13)</f>
        <v>200359.5264</v>
      </c>
      <c r="M13" s="13">
        <f>Assumptions!K8*Assumptions!$E$25</f>
        <v>51597.803520000009</v>
      </c>
      <c r="N13" s="13">
        <f>Assumptions!L8*Assumptions!$E$25</f>
        <v>61917.364224000012</v>
      </c>
      <c r="O13" s="13">
        <f>Assumptions!M8*Assumptions!$E$25</f>
        <v>74300.837068800014</v>
      </c>
      <c r="P13" s="13">
        <f>Assumptions!N8*Assumptions!$E$25</f>
        <v>89161.004482560005</v>
      </c>
      <c r="Q13" s="35">
        <f>SUM(M13:P13)</f>
        <v>276977.00929536007</v>
      </c>
    </row>
    <row r="14" spans="1:18">
      <c r="A14" s="12" t="s">
        <v>3</v>
      </c>
      <c r="C14" s="13">
        <f>Assumptions!C9*Assumptions!$C$26</f>
        <v>12000</v>
      </c>
      <c r="D14" s="13">
        <f>Assumptions!D9*Assumptions!$C$26</f>
        <v>15000</v>
      </c>
      <c r="E14" s="13">
        <f>Assumptions!E9*Assumptions!$C$26</f>
        <v>18750</v>
      </c>
      <c r="F14" s="13">
        <f>Assumptions!F9*Assumptions!$C$26</f>
        <v>23437.5</v>
      </c>
      <c r="G14" s="35">
        <f>SUM(C14:F14)</f>
        <v>69187.5</v>
      </c>
      <c r="H14" s="13">
        <f>Assumptions!G9*Assumptions!$D$26</f>
        <v>23437.5</v>
      </c>
      <c r="I14" s="13">
        <f>Assumptions!H9*Assumptions!$D$26</f>
        <v>29296.875</v>
      </c>
      <c r="J14" s="13">
        <f>Assumptions!I9*Assumptions!$D$26</f>
        <v>36621.09375</v>
      </c>
      <c r="K14" s="13">
        <f>Assumptions!J9*Assumptions!$D$26</f>
        <v>45776.3671875</v>
      </c>
      <c r="L14" s="35">
        <f>SUM(H14:K14)</f>
        <v>135131.8359375</v>
      </c>
      <c r="M14" s="13">
        <f>Assumptions!K9*Assumptions!$E$26</f>
        <v>35762.786865234375</v>
      </c>
      <c r="N14" s="13">
        <f>Assumptions!L9*Assumptions!$E$26</f>
        <v>44703.483581542969</v>
      </c>
      <c r="O14" s="13">
        <f>Assumptions!M9*Assumptions!$E$26</f>
        <v>55879.354476928711</v>
      </c>
      <c r="P14" s="13">
        <f>Assumptions!N9*Assumptions!$E$26</f>
        <v>69849.193096160889</v>
      </c>
      <c r="Q14" s="35">
        <f>SUM(M14:P14)</f>
        <v>206194.81801986694</v>
      </c>
    </row>
    <row r="15" spans="1:18" s="1" customFormat="1">
      <c r="A15" s="29" t="s">
        <v>73</v>
      </c>
      <c r="B15" s="30"/>
      <c r="C15" s="48">
        <f t="shared" ref="C15:Q15" si="1">SUM(C12:C14)</f>
        <v>66000</v>
      </c>
      <c r="D15" s="48">
        <f t="shared" si="1"/>
        <v>78300</v>
      </c>
      <c r="E15" s="48">
        <f t="shared" si="1"/>
        <v>92985</v>
      </c>
      <c r="F15" s="48">
        <f t="shared" si="1"/>
        <v>110535.75</v>
      </c>
      <c r="G15" s="49">
        <f t="shared" si="1"/>
        <v>347820.75</v>
      </c>
      <c r="H15" s="48">
        <f t="shared" si="1"/>
        <v>102738.45000000001</v>
      </c>
      <c r="I15" s="48">
        <f t="shared" si="1"/>
        <v>122359.2075</v>
      </c>
      <c r="J15" s="48">
        <f t="shared" si="1"/>
        <v>145882.26412500002</v>
      </c>
      <c r="K15" s="48">
        <f t="shared" si="1"/>
        <v>174114.09871875</v>
      </c>
      <c r="L15" s="49">
        <f t="shared" si="1"/>
        <v>545094.02034375002</v>
      </c>
      <c r="M15" s="48">
        <f t="shared" si="1"/>
        <v>131410.51960579687</v>
      </c>
      <c r="N15" s="48">
        <f t="shared" si="1"/>
        <v>157278.26640918985</v>
      </c>
      <c r="O15" s="48">
        <f t="shared" si="1"/>
        <v>188436.22293992262</v>
      </c>
      <c r="P15" s="48">
        <f t="shared" si="1"/>
        <v>226004.63368204387</v>
      </c>
      <c r="Q15" s="49">
        <f t="shared" si="1"/>
        <v>703129.64263695327</v>
      </c>
    </row>
    <row r="16" spans="1:18">
      <c r="C16" s="13"/>
      <c r="D16" s="13"/>
      <c r="E16" s="13"/>
      <c r="F16" s="13"/>
      <c r="G16" s="35"/>
      <c r="H16" s="13"/>
      <c r="I16" s="13"/>
      <c r="J16" s="13"/>
      <c r="K16" s="13"/>
      <c r="L16" s="35"/>
      <c r="M16" s="13"/>
      <c r="N16" s="13"/>
      <c r="O16" s="13"/>
      <c r="P16" s="13"/>
      <c r="Q16" s="35"/>
    </row>
    <row r="17" spans="1:17" s="1" customFormat="1">
      <c r="A17" s="29" t="s">
        <v>75</v>
      </c>
      <c r="B17" s="30"/>
      <c r="C17" s="48">
        <f>C9-C15</f>
        <v>48000</v>
      </c>
      <c r="D17" s="48">
        <f t="shared" ref="D17:Q17" si="2">D9-D15</f>
        <v>56400</v>
      </c>
      <c r="E17" s="48">
        <f t="shared" si="2"/>
        <v>66330</v>
      </c>
      <c r="F17" s="48">
        <f t="shared" si="2"/>
        <v>78081</v>
      </c>
      <c r="G17" s="49">
        <f t="shared" si="2"/>
        <v>248811</v>
      </c>
      <c r="H17" s="48">
        <f t="shared" si="2"/>
        <v>120796.83750000002</v>
      </c>
      <c r="I17" s="48">
        <f t="shared" si="2"/>
        <v>142833.38437500002</v>
      </c>
      <c r="J17" s="48">
        <f t="shared" si="2"/>
        <v>169061.35659374998</v>
      </c>
      <c r="K17" s="48">
        <f t="shared" si="2"/>
        <v>200312.29138593754</v>
      </c>
      <c r="L17" s="49">
        <f t="shared" si="2"/>
        <v>633003.86985468748</v>
      </c>
      <c r="M17" s="48">
        <f t="shared" si="2"/>
        <v>314212.62330225005</v>
      </c>
      <c r="N17" s="48">
        <f t="shared" si="2"/>
        <v>373656.85452263436</v>
      </c>
      <c r="O17" s="48">
        <f t="shared" si="2"/>
        <v>444837.81583973824</v>
      </c>
      <c r="P17" s="48">
        <f t="shared" si="2"/>
        <v>530169.44281796447</v>
      </c>
      <c r="Q17" s="49">
        <f t="shared" si="2"/>
        <v>1662876.7364825872</v>
      </c>
    </row>
    <row r="18" spans="1:17">
      <c r="A18" s="1" t="s">
        <v>76</v>
      </c>
      <c r="C18" s="73">
        <f t="shared" ref="C18:Q18" si="3">C17/C9</f>
        <v>0.42105263157894735</v>
      </c>
      <c r="D18" s="73">
        <f t="shared" si="3"/>
        <v>0.41870824053452116</v>
      </c>
      <c r="E18" s="73">
        <f t="shared" si="3"/>
        <v>0.41634497693249223</v>
      </c>
      <c r="F18" s="73">
        <f t="shared" si="3"/>
        <v>0.41396641602614825</v>
      </c>
      <c r="G18" s="74">
        <f t="shared" si="3"/>
        <v>0.4170260801574841</v>
      </c>
      <c r="H18" s="73">
        <f t="shared" si="3"/>
        <v>0.54039269974321169</v>
      </c>
      <c r="I18" s="73">
        <f t="shared" si="3"/>
        <v>0.53860246760710917</v>
      </c>
      <c r="J18" s="73">
        <f t="shared" si="3"/>
        <v>0.53679879658437235</v>
      </c>
      <c r="K18" s="73">
        <f t="shared" si="3"/>
        <v>0.53498443667373807</v>
      </c>
      <c r="L18" s="74">
        <f t="shared" si="3"/>
        <v>0.53731007849276857</v>
      </c>
      <c r="M18" s="73">
        <f t="shared" si="3"/>
        <v>0.70510840449569501</v>
      </c>
      <c r="N18" s="73">
        <f t="shared" si="3"/>
        <v>0.70377121382899532</v>
      </c>
      <c r="O18" s="73">
        <f t="shared" si="3"/>
        <v>0.70244126333830903</v>
      </c>
      <c r="P18" s="73">
        <f t="shared" si="3"/>
        <v>0.70112089172890157</v>
      </c>
      <c r="Q18" s="74">
        <f t="shared" si="3"/>
        <v>0.70282005625927002</v>
      </c>
    </row>
    <row r="19" spans="1:17">
      <c r="C19" s="13"/>
      <c r="D19" s="13"/>
      <c r="E19" s="13"/>
      <c r="F19" s="13"/>
      <c r="G19" s="35"/>
      <c r="H19" s="13"/>
      <c r="I19" s="13"/>
      <c r="J19" s="13"/>
      <c r="K19" s="13"/>
      <c r="L19" s="35"/>
      <c r="M19" s="13"/>
      <c r="N19" s="13"/>
      <c r="O19" s="13"/>
      <c r="P19" s="13"/>
      <c r="Q19" s="35"/>
    </row>
    <row r="20" spans="1:17">
      <c r="A20" s="1" t="s">
        <v>77</v>
      </c>
      <c r="C20" s="13"/>
      <c r="D20" s="13"/>
      <c r="E20" s="13"/>
      <c r="F20" s="13"/>
      <c r="G20" s="35"/>
      <c r="H20" s="13"/>
      <c r="I20" s="13"/>
      <c r="J20" s="13"/>
      <c r="K20" s="13"/>
      <c r="L20" s="35"/>
      <c r="M20" s="13"/>
      <c r="N20" s="13"/>
      <c r="O20" s="13"/>
      <c r="P20" s="13"/>
      <c r="Q20" s="35"/>
    </row>
    <row r="21" spans="1:17">
      <c r="A21" s="12" t="s">
        <v>28</v>
      </c>
      <c r="C21" s="13">
        <f>SUM(Assumptions!C32:C38)</f>
        <v>167000</v>
      </c>
      <c r="D21" s="13">
        <f>SUM(Assumptions!D32:D38)</f>
        <v>167000</v>
      </c>
      <c r="E21" s="13">
        <f>SUM(Assumptions!E32:E38)</f>
        <v>182000</v>
      </c>
      <c r="F21" s="13">
        <f>SUM(Assumptions!F32:F38)</f>
        <v>204500</v>
      </c>
      <c r="G21" s="35">
        <f t="shared" ref="G21:G24" si="4">SUM(C21:F21)</f>
        <v>720500</v>
      </c>
      <c r="H21" s="13">
        <f>SUM(Assumptions!G32:G38)</f>
        <v>247000</v>
      </c>
      <c r="I21" s="13">
        <f>SUM(Assumptions!H32:H38)</f>
        <v>263000</v>
      </c>
      <c r="J21" s="13">
        <f>SUM(Assumptions!I32:I38)</f>
        <v>279000</v>
      </c>
      <c r="K21" s="13">
        <f>SUM(Assumptions!J32:J38)</f>
        <v>295000</v>
      </c>
      <c r="L21" s="35">
        <f t="shared" ref="L21:L24" si="5">SUM(H21:K21)</f>
        <v>1084000</v>
      </c>
      <c r="M21" s="13">
        <f>SUM(Assumptions!K32:K38)</f>
        <v>334000</v>
      </c>
      <c r="N21" s="13">
        <f>SUM(Assumptions!L32:L38)</f>
        <v>350000</v>
      </c>
      <c r="O21" s="13">
        <f>SUM(Assumptions!M32:M38)</f>
        <v>374000</v>
      </c>
      <c r="P21" s="13">
        <f>SUM(Assumptions!N32:N38)</f>
        <v>414000</v>
      </c>
      <c r="Q21" s="35">
        <f t="shared" ref="Q21:Q24" si="6">SUM(M21:P21)</f>
        <v>1472000</v>
      </c>
    </row>
    <row r="22" spans="1:17">
      <c r="A22" s="12" t="s">
        <v>27</v>
      </c>
      <c r="C22" s="13">
        <f>SUM(Assumptions!C43:C50)</f>
        <v>4125</v>
      </c>
      <c r="D22" s="13">
        <f>SUM(Assumptions!D43:D50)</f>
        <v>4867.5</v>
      </c>
      <c r="E22" s="13">
        <f>SUM(Assumptions!E43:E50)</f>
        <v>6726.5</v>
      </c>
      <c r="F22" s="13">
        <f>SUM(Assumptions!F43:F50)</f>
        <v>7503.5124999999998</v>
      </c>
      <c r="G22" s="35">
        <f t="shared" si="4"/>
        <v>23222.512500000001</v>
      </c>
      <c r="H22" s="13">
        <f>SUM(Assumptions!G43:G50)</f>
        <v>8300.1943750000009</v>
      </c>
      <c r="I22" s="13">
        <f>SUM(Assumptions!H43:H50)</f>
        <v>9118.3609687500011</v>
      </c>
      <c r="J22" s="13">
        <f>SUM(Assumptions!I43:I50)</f>
        <v>8860.0015796875014</v>
      </c>
      <c r="K22" s="13">
        <f>SUM(Assumptions!J43:J50)</f>
        <v>9727.2964774218763</v>
      </c>
      <c r="L22" s="35">
        <f t="shared" si="5"/>
        <v>36005.853400859378</v>
      </c>
      <c r="M22" s="13">
        <f>SUM(Assumptions!K43:K50)</f>
        <v>12272.635601917971</v>
      </c>
      <c r="N22" s="13">
        <f>SUM(Assumptions!L43:L50)</f>
        <v>13198.639112701369</v>
      </c>
      <c r="O22" s="13">
        <f>SUM(Assumptions!M43:M50)</f>
        <v>13058.179972092688</v>
      </c>
      <c r="P22" s="13">
        <f>SUM(Assumptions!N43:N50)</f>
        <v>14054.408764829199</v>
      </c>
      <c r="Q22" s="35">
        <f t="shared" si="6"/>
        <v>52583.863451541227</v>
      </c>
    </row>
    <row r="23" spans="1:17">
      <c r="A23" s="12" t="s">
        <v>45</v>
      </c>
      <c r="C23" s="13">
        <f>SUM(Assumptions!C56:C64)</f>
        <v>109000</v>
      </c>
      <c r="D23" s="13">
        <f>SUM(Assumptions!D56:D64)</f>
        <v>21800</v>
      </c>
      <c r="E23" s="13">
        <f>SUM(Assumptions!E56:E64)</f>
        <v>26160</v>
      </c>
      <c r="F23" s="13">
        <f>SUM(Assumptions!F56:F64)</f>
        <v>31392</v>
      </c>
      <c r="G23" s="35">
        <f t="shared" si="4"/>
        <v>188352</v>
      </c>
      <c r="H23" s="13">
        <f>SUM(Assumptions!G56:G64)</f>
        <v>37670.400000000001</v>
      </c>
      <c r="I23" s="13">
        <f>SUM(Assumptions!H56:H64)</f>
        <v>45204.479999999996</v>
      </c>
      <c r="J23" s="13">
        <f>SUM(Assumptions!I56:I64)</f>
        <v>54245.376000000004</v>
      </c>
      <c r="K23" s="13">
        <f>SUM(Assumptions!J56:J64)</f>
        <v>65094.451199999996</v>
      </c>
      <c r="L23" s="35">
        <f t="shared" si="5"/>
        <v>202214.7072</v>
      </c>
      <c r="M23" s="13">
        <f>SUM(Assumptions!K56:K64)</f>
        <v>71603.89632</v>
      </c>
      <c r="N23" s="13">
        <f>SUM(Assumptions!L56:L64)</f>
        <v>78764.285952000006</v>
      </c>
      <c r="O23" s="13">
        <f>SUM(Assumptions!M56:M64)</f>
        <v>86640.714547200012</v>
      </c>
      <c r="P23" s="13">
        <f>SUM(Assumptions!N56:N64)</f>
        <v>95304.786001920031</v>
      </c>
      <c r="Q23" s="35">
        <f t="shared" si="6"/>
        <v>332313.68282112002</v>
      </c>
    </row>
    <row r="24" spans="1:17">
      <c r="A24" s="12" t="s">
        <v>80</v>
      </c>
      <c r="C24" s="13">
        <f>SUM('Bal Sheet'!D17:D18)/20</f>
        <v>6000</v>
      </c>
      <c r="D24" s="13">
        <f>SUM('Bal Sheet'!E17:E18)/20</f>
        <v>6000</v>
      </c>
      <c r="E24" s="13">
        <f>SUM('Bal Sheet'!F17:F18)/20</f>
        <v>6750</v>
      </c>
      <c r="F24" s="13">
        <f>SUM('Bal Sheet'!G17:G18)/20</f>
        <v>7875</v>
      </c>
      <c r="G24" s="35">
        <f t="shared" si="4"/>
        <v>26625</v>
      </c>
      <c r="H24" s="13">
        <f>SUM('Bal Sheet'!H17:H18)/20</f>
        <v>8625</v>
      </c>
      <c r="I24" s="13">
        <f>SUM('Bal Sheet'!I17:I18)/20</f>
        <v>9375</v>
      </c>
      <c r="J24" s="13">
        <f>SUM('Bal Sheet'!J17:J18)/20</f>
        <v>10125</v>
      </c>
      <c r="K24" s="13">
        <f>SUM('Bal Sheet'!K17:K18)/20</f>
        <v>10875</v>
      </c>
      <c r="L24" s="35">
        <f t="shared" si="5"/>
        <v>39000</v>
      </c>
      <c r="M24" s="13">
        <f>SUM('Bal Sheet'!K17:K18)/20</f>
        <v>10875</v>
      </c>
      <c r="N24" s="13">
        <f>SUM('Bal Sheet'!L17:L18)/20</f>
        <v>11625</v>
      </c>
      <c r="O24" s="13">
        <f>SUM('Bal Sheet'!M17:M18)/20</f>
        <v>12375</v>
      </c>
      <c r="P24" s="13">
        <f>SUM('Bal Sheet'!N17:N18)/20</f>
        <v>13500</v>
      </c>
      <c r="Q24" s="35">
        <f t="shared" si="6"/>
        <v>48375</v>
      </c>
    </row>
    <row r="25" spans="1:17" s="1" customFormat="1">
      <c r="A25" s="30" t="s">
        <v>78</v>
      </c>
      <c r="B25" s="30"/>
      <c r="C25" s="48">
        <f>SUM(C21:C24)</f>
        <v>286125</v>
      </c>
      <c r="D25" s="48">
        <f t="shared" ref="D25:Q25" si="7">SUM(D21:D24)</f>
        <v>199667.5</v>
      </c>
      <c r="E25" s="48">
        <f t="shared" si="7"/>
        <v>221636.5</v>
      </c>
      <c r="F25" s="48">
        <f t="shared" si="7"/>
        <v>251270.51250000001</v>
      </c>
      <c r="G25" s="49">
        <f t="shared" si="7"/>
        <v>958699.51249999995</v>
      </c>
      <c r="H25" s="48">
        <f t="shared" si="7"/>
        <v>301595.59437499999</v>
      </c>
      <c r="I25" s="48">
        <f t="shared" si="7"/>
        <v>326697.84096875001</v>
      </c>
      <c r="J25" s="48">
        <f t="shared" si="7"/>
        <v>352230.37757968751</v>
      </c>
      <c r="K25" s="48">
        <f t="shared" si="7"/>
        <v>380696.7476774219</v>
      </c>
      <c r="L25" s="49">
        <f t="shared" si="7"/>
        <v>1361220.5606008593</v>
      </c>
      <c r="M25" s="48">
        <f t="shared" si="7"/>
        <v>428751.53192191798</v>
      </c>
      <c r="N25" s="48">
        <f t="shared" si="7"/>
        <v>453587.92506470135</v>
      </c>
      <c r="O25" s="48">
        <f t="shared" si="7"/>
        <v>486073.89451929269</v>
      </c>
      <c r="P25" s="48">
        <f t="shared" si="7"/>
        <v>536859.19476674928</v>
      </c>
      <c r="Q25" s="49">
        <f t="shared" si="7"/>
        <v>1905272.5462726611</v>
      </c>
    </row>
    <row r="26" spans="1:17">
      <c r="C26" s="13"/>
      <c r="D26" s="13"/>
      <c r="E26" s="13"/>
      <c r="F26" s="13"/>
      <c r="G26" s="35"/>
      <c r="H26" s="13"/>
      <c r="I26" s="13"/>
      <c r="J26" s="13"/>
      <c r="K26" s="13"/>
      <c r="L26" s="35"/>
      <c r="M26" s="13"/>
      <c r="N26" s="13"/>
      <c r="O26" s="13"/>
      <c r="P26" s="13"/>
      <c r="Q26" s="35"/>
    </row>
    <row r="27" spans="1:17" s="1" customFormat="1" ht="15.75" thickBot="1">
      <c r="A27" s="31" t="s">
        <v>79</v>
      </c>
      <c r="B27" s="45"/>
      <c r="C27" s="50">
        <f>C17-C25</f>
        <v>-238125</v>
      </c>
      <c r="D27" s="50">
        <f t="shared" ref="D27:Q27" si="8">D17-D25</f>
        <v>-143267.5</v>
      </c>
      <c r="E27" s="50">
        <f t="shared" si="8"/>
        <v>-155306.5</v>
      </c>
      <c r="F27" s="50">
        <f t="shared" si="8"/>
        <v>-173189.51250000001</v>
      </c>
      <c r="G27" s="51">
        <f t="shared" si="8"/>
        <v>-709888.51249999995</v>
      </c>
      <c r="H27" s="50">
        <f t="shared" si="8"/>
        <v>-180798.75687499996</v>
      </c>
      <c r="I27" s="50">
        <f t="shared" si="8"/>
        <v>-183864.45659374999</v>
      </c>
      <c r="J27" s="50">
        <f t="shared" si="8"/>
        <v>-183169.02098593753</v>
      </c>
      <c r="K27" s="50">
        <f t="shared" si="8"/>
        <v>-180384.45629148436</v>
      </c>
      <c r="L27" s="51">
        <f t="shared" si="8"/>
        <v>-728216.69074617187</v>
      </c>
      <c r="M27" s="50">
        <f t="shared" si="8"/>
        <v>-114538.90861966793</v>
      </c>
      <c r="N27" s="50">
        <f t="shared" si="8"/>
        <v>-79931.070542066998</v>
      </c>
      <c r="O27" s="50">
        <f t="shared" si="8"/>
        <v>-41236.078679554455</v>
      </c>
      <c r="P27" s="50">
        <f t="shared" si="8"/>
        <v>-6689.751948784804</v>
      </c>
      <c r="Q27" s="51">
        <f t="shared" si="8"/>
        <v>-242395.80979007389</v>
      </c>
    </row>
    <row r="28" spans="1:17" ht="15.75" thickTop="1"/>
  </sheetData>
  <mergeCells count="3">
    <mergeCell ref="C3:G3"/>
    <mergeCell ref="H3:L3"/>
    <mergeCell ref="M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3"/>
  <sheetViews>
    <sheetView workbookViewId="0">
      <selection activeCell="E9" sqref="E9"/>
    </sheetView>
  </sheetViews>
  <sheetFormatPr defaultRowHeight="15"/>
  <cols>
    <col min="1" max="1" width="3" customWidth="1"/>
    <col min="2" max="2" width="21.140625" customWidth="1"/>
    <col min="3" max="3" width="2.85546875" customWidth="1"/>
    <col min="4" max="17" width="15.7109375" customWidth="1"/>
  </cols>
  <sheetData>
    <row r="1" spans="1:17" ht="21">
      <c r="A1" s="2" t="s">
        <v>0</v>
      </c>
    </row>
    <row r="2" spans="1:17">
      <c r="A2" s="1" t="s">
        <v>83</v>
      </c>
    </row>
    <row r="4" spans="1:17">
      <c r="D4" s="28" t="s">
        <v>7</v>
      </c>
      <c r="E4" s="28" t="s">
        <v>8</v>
      </c>
      <c r="F4" s="28" t="s">
        <v>9</v>
      </c>
      <c r="G4" s="28" t="s">
        <v>10</v>
      </c>
      <c r="H4" s="28" t="s">
        <v>11</v>
      </c>
      <c r="I4" s="28" t="s">
        <v>12</v>
      </c>
      <c r="J4" s="28" t="s">
        <v>13</v>
      </c>
      <c r="K4" s="28" t="s">
        <v>14</v>
      </c>
      <c r="L4" s="28" t="s">
        <v>15</v>
      </c>
      <c r="M4" s="28" t="s">
        <v>16</v>
      </c>
      <c r="N4" s="28" t="s">
        <v>17</v>
      </c>
      <c r="O4" s="28" t="s">
        <v>18</v>
      </c>
      <c r="P4" s="46"/>
    </row>
    <row r="5" spans="1:17">
      <c r="H5" s="47"/>
      <c r="L5" s="47"/>
      <c r="P5" s="47"/>
    </row>
    <row r="6" spans="1:17">
      <c r="A6" s="1" t="s">
        <v>91</v>
      </c>
      <c r="D6" s="13"/>
      <c r="E6" s="13"/>
      <c r="F6" s="13"/>
      <c r="G6" s="13"/>
      <c r="H6" s="52"/>
      <c r="I6" s="13"/>
      <c r="J6" s="13"/>
      <c r="K6" s="13"/>
      <c r="L6" s="52"/>
      <c r="M6" s="13"/>
      <c r="N6" s="13"/>
      <c r="O6" s="13"/>
      <c r="P6" s="47"/>
    </row>
    <row r="7" spans="1:17">
      <c r="A7" t="s">
        <v>90</v>
      </c>
      <c r="D7" s="13"/>
      <c r="E7" s="13"/>
      <c r="F7" s="13"/>
      <c r="G7" s="13"/>
      <c r="H7" s="52"/>
      <c r="I7" s="13"/>
      <c r="J7" s="13"/>
      <c r="K7" s="13"/>
      <c r="L7" s="52"/>
      <c r="M7" s="13"/>
      <c r="N7" s="13"/>
      <c r="O7" s="13"/>
      <c r="P7" s="47"/>
    </row>
    <row r="8" spans="1:17">
      <c r="B8" t="s">
        <v>87</v>
      </c>
      <c r="D8" s="13">
        <f>'Cash Flow'!D25</f>
        <v>792750</v>
      </c>
      <c r="E8" s="13">
        <f>'Cash Flow'!E25</f>
        <v>663558</v>
      </c>
      <c r="F8" s="13">
        <f>'Cash Flow'!F25</f>
        <v>119410.40000000002</v>
      </c>
      <c r="G8" s="13">
        <f>'Cash Flow'!G25</f>
        <v>31086.170000000013</v>
      </c>
      <c r="H8" s="52">
        <f>'Cash Flow'!I25</f>
        <v>1061430.8935</v>
      </c>
      <c r="I8" s="13">
        <f>'Cash Flow'!J25</f>
        <v>615483.34017500002</v>
      </c>
      <c r="J8" s="13">
        <f>'Cash Flow'!K25</f>
        <v>553715.59085875005</v>
      </c>
      <c r="K8" s="13">
        <f>'Cash Flow'!L25</f>
        <v>520608.67065168754</v>
      </c>
      <c r="L8" s="52">
        <f>'Cash Flow'!N25</f>
        <v>252987.11530377204</v>
      </c>
      <c r="M8" s="13">
        <f>'Cash Flow'!O25</f>
        <v>289155.15804467624</v>
      </c>
      <c r="N8" s="13">
        <f>'Cash Flow'!P25</f>
        <v>19702.42505388087</v>
      </c>
      <c r="O8" s="13">
        <f>'Cash Flow'!Q25</f>
        <v>159363.46807544012</v>
      </c>
      <c r="P8" s="47"/>
    </row>
    <row r="9" spans="1:17">
      <c r="A9" s="42"/>
      <c r="B9" s="42" t="s">
        <v>88</v>
      </c>
      <c r="C9" s="42"/>
      <c r="D9" s="53">
        <f>Assumptions!$C$69*'P&amp;L'!C9</f>
        <v>57000</v>
      </c>
      <c r="E9" s="53">
        <f>Assumptions!$C$69*'P&amp;L'!D9</f>
        <v>67350</v>
      </c>
      <c r="F9" s="53">
        <f>Assumptions!$C$69*'P&amp;L'!E9</f>
        <v>79657.5</v>
      </c>
      <c r="G9" s="53">
        <f>Assumptions!$C$69*'P&amp;L'!F9</f>
        <v>94308.375</v>
      </c>
      <c r="H9" s="54">
        <f>Assumptions!$C$69*'P&amp;L'!H9</f>
        <v>111767.64375000002</v>
      </c>
      <c r="I9" s="53">
        <f>Assumptions!$C$69*'P&amp;L'!I9</f>
        <v>132596.29593750002</v>
      </c>
      <c r="J9" s="53">
        <f>Assumptions!$C$69*'P&amp;L'!J9</f>
        <v>157471.810359375</v>
      </c>
      <c r="K9" s="53">
        <f>Assumptions!$C$69*'P&amp;L'!K9</f>
        <v>187213.19505234377</v>
      </c>
      <c r="L9" s="54">
        <f>Assumptions!$C$69*'P&amp;L'!M9</f>
        <v>222811.57145402345</v>
      </c>
      <c r="M9" s="53">
        <f>Assumptions!$C$69*'P&amp;L'!N9</f>
        <v>265467.5604659121</v>
      </c>
      <c r="N9" s="53">
        <f>Assumptions!$C$69*'P&amp;L'!O9</f>
        <v>316637.01938983041</v>
      </c>
      <c r="O9" s="53">
        <f>Assumptions!$C$69*'P&amp;L'!P9</f>
        <v>378087.03825000417</v>
      </c>
      <c r="P9" s="47"/>
    </row>
    <row r="10" spans="1:17">
      <c r="A10" s="1" t="s">
        <v>89</v>
      </c>
      <c r="D10" s="58">
        <f>SUM(D8:D9)</f>
        <v>849750</v>
      </c>
      <c r="E10" s="58">
        <f t="shared" ref="E10:O10" si="0">SUM(E8:E9)</f>
        <v>730908</v>
      </c>
      <c r="F10" s="58">
        <f t="shared" si="0"/>
        <v>199067.90000000002</v>
      </c>
      <c r="G10" s="58">
        <f t="shared" si="0"/>
        <v>125394.54500000001</v>
      </c>
      <c r="H10" s="59">
        <f t="shared" si="0"/>
        <v>1173198.5372500001</v>
      </c>
      <c r="I10" s="58">
        <f t="shared" si="0"/>
        <v>748079.63611249998</v>
      </c>
      <c r="J10" s="58">
        <f t="shared" si="0"/>
        <v>711187.40121812501</v>
      </c>
      <c r="K10" s="58">
        <f t="shared" si="0"/>
        <v>707821.86570403131</v>
      </c>
      <c r="L10" s="59">
        <f t="shared" si="0"/>
        <v>475798.68675779551</v>
      </c>
      <c r="M10" s="58">
        <f t="shared" si="0"/>
        <v>554622.7185105884</v>
      </c>
      <c r="N10" s="58">
        <f t="shared" si="0"/>
        <v>336339.44444371131</v>
      </c>
      <c r="O10" s="58">
        <f t="shared" si="0"/>
        <v>537450.50632544432</v>
      </c>
      <c r="P10" s="60"/>
      <c r="Q10" s="1"/>
    </row>
    <row r="11" spans="1:17">
      <c r="D11" s="13"/>
      <c r="E11" s="13"/>
      <c r="F11" s="13"/>
      <c r="G11" s="13"/>
      <c r="H11" s="52"/>
      <c r="I11" s="13"/>
      <c r="J11" s="13"/>
      <c r="K11" s="13"/>
      <c r="L11" s="52"/>
      <c r="M11" s="13"/>
      <c r="N11" s="13"/>
      <c r="O11" s="13"/>
      <c r="P11" s="47"/>
    </row>
    <row r="12" spans="1:17">
      <c r="A12" t="s">
        <v>127</v>
      </c>
      <c r="D12" s="13"/>
      <c r="E12" s="13"/>
      <c r="F12" s="13"/>
      <c r="G12" s="13"/>
      <c r="H12" s="52"/>
      <c r="I12" s="13"/>
      <c r="J12" s="13"/>
      <c r="K12" s="13"/>
      <c r="L12" s="52"/>
      <c r="M12" s="13"/>
      <c r="N12" s="13"/>
      <c r="O12" s="13"/>
      <c r="P12" s="47"/>
    </row>
    <row r="13" spans="1:17">
      <c r="A13" s="42"/>
      <c r="B13" s="42" t="s">
        <v>127</v>
      </c>
      <c r="C13" s="42"/>
      <c r="D13" s="53">
        <f>Inventory!D37</f>
        <v>399000</v>
      </c>
      <c r="E13" s="53">
        <f>Inventory!E37</f>
        <v>320700</v>
      </c>
      <c r="F13" s="53">
        <f>Inventory!F37</f>
        <v>692715</v>
      </c>
      <c r="G13" s="53">
        <f>Inventory!G37</f>
        <v>582179.25</v>
      </c>
      <c r="H13" s="54">
        <f>Inventory!H37</f>
        <v>351446.55</v>
      </c>
      <c r="I13" s="53">
        <f>Inventory!I37</f>
        <v>592087.34250000003</v>
      </c>
      <c r="J13" s="53">
        <f>Inventory!J37</f>
        <v>446205.07837499998</v>
      </c>
      <c r="K13" s="53">
        <f>Inventory!K37</f>
        <v>272090.97965624998</v>
      </c>
      <c r="L13" s="54">
        <f>Inventory!L37</f>
        <v>390883.12052951555</v>
      </c>
      <c r="M13" s="53">
        <f>Inventory!M37</f>
        <v>233604.85412032576</v>
      </c>
      <c r="N13" s="53">
        <f>Inventory!N37</f>
        <v>405168.63118040317</v>
      </c>
      <c r="O13" s="65">
        <f>Inventory!O37</f>
        <v>179163.99749835927</v>
      </c>
      <c r="P13" s="47"/>
    </row>
    <row r="14" spans="1:17">
      <c r="A14" s="1" t="s">
        <v>128</v>
      </c>
      <c r="D14" s="58">
        <f>D13</f>
        <v>399000</v>
      </c>
      <c r="E14" s="58">
        <f t="shared" ref="E14:O14" si="1">E13</f>
        <v>320700</v>
      </c>
      <c r="F14" s="58">
        <f t="shared" si="1"/>
        <v>692715</v>
      </c>
      <c r="G14" s="58">
        <f t="shared" si="1"/>
        <v>582179.25</v>
      </c>
      <c r="H14" s="59">
        <f t="shared" si="1"/>
        <v>351446.55</v>
      </c>
      <c r="I14" s="58">
        <f t="shared" si="1"/>
        <v>592087.34250000003</v>
      </c>
      <c r="J14" s="58">
        <f t="shared" si="1"/>
        <v>446205.07837499998</v>
      </c>
      <c r="K14" s="58">
        <f t="shared" si="1"/>
        <v>272090.97965624998</v>
      </c>
      <c r="L14" s="59">
        <f t="shared" si="1"/>
        <v>390883.12052951555</v>
      </c>
      <c r="M14" s="58">
        <f t="shared" si="1"/>
        <v>233604.85412032576</v>
      </c>
      <c r="N14" s="58">
        <f t="shared" si="1"/>
        <v>405168.63118040317</v>
      </c>
      <c r="O14" s="58">
        <f t="shared" si="1"/>
        <v>179163.99749835927</v>
      </c>
      <c r="P14" s="47"/>
    </row>
    <row r="15" spans="1:17">
      <c r="D15" s="13"/>
      <c r="E15" s="13"/>
      <c r="F15" s="13"/>
      <c r="G15" s="13"/>
      <c r="H15" s="52"/>
      <c r="I15" s="13"/>
      <c r="J15" s="13"/>
      <c r="K15" s="13"/>
      <c r="L15" s="52"/>
      <c r="M15" s="13"/>
      <c r="N15" s="13"/>
      <c r="O15" s="13"/>
      <c r="P15" s="47"/>
    </row>
    <row r="16" spans="1:17">
      <c r="A16" t="s">
        <v>92</v>
      </c>
      <c r="D16" s="13"/>
      <c r="E16" s="13"/>
      <c r="F16" s="13"/>
      <c r="G16" s="13"/>
      <c r="H16" s="52"/>
      <c r="I16" s="13"/>
      <c r="J16" s="13"/>
      <c r="K16" s="13"/>
      <c r="L16" s="52"/>
      <c r="M16" s="13"/>
      <c r="N16" s="13"/>
      <c r="O16" s="13"/>
      <c r="P16" s="47"/>
    </row>
    <row r="17" spans="1:19">
      <c r="B17" t="s">
        <v>93</v>
      </c>
      <c r="D17" s="13">
        <f>Assumptions!C88</f>
        <v>40000</v>
      </c>
      <c r="E17" s="13">
        <f>Assumptions!D88</f>
        <v>40000</v>
      </c>
      <c r="F17" s="13">
        <f>Assumptions!E88</f>
        <v>45000</v>
      </c>
      <c r="G17" s="13">
        <f>Assumptions!F88</f>
        <v>52500</v>
      </c>
      <c r="H17" s="52">
        <f>Assumptions!G88</f>
        <v>57500</v>
      </c>
      <c r="I17" s="13">
        <f>Assumptions!H88</f>
        <v>62500</v>
      </c>
      <c r="J17" s="13">
        <f>Assumptions!I88</f>
        <v>67500</v>
      </c>
      <c r="K17" s="13">
        <f>Assumptions!J88</f>
        <v>72500</v>
      </c>
      <c r="L17" s="52">
        <f>Assumptions!K88</f>
        <v>77500</v>
      </c>
      <c r="M17" s="13">
        <f>Assumptions!L88</f>
        <v>82500</v>
      </c>
      <c r="N17" s="13">
        <f>Assumptions!M88</f>
        <v>90000</v>
      </c>
      <c r="O17" s="13">
        <f>Assumptions!N88</f>
        <v>102500</v>
      </c>
      <c r="P17" s="47"/>
    </row>
    <row r="18" spans="1:19">
      <c r="A18" s="62"/>
      <c r="B18" s="62" t="s">
        <v>94</v>
      </c>
      <c r="C18" s="62"/>
      <c r="D18" s="63">
        <f>Assumptions!C89</f>
        <v>80000</v>
      </c>
      <c r="E18" s="63">
        <f>Assumptions!D89</f>
        <v>80000</v>
      </c>
      <c r="F18" s="63">
        <f>Assumptions!E89</f>
        <v>90000</v>
      </c>
      <c r="G18" s="63">
        <f>Assumptions!F89</f>
        <v>105000</v>
      </c>
      <c r="H18" s="52">
        <f>Assumptions!G89</f>
        <v>115000</v>
      </c>
      <c r="I18" s="63">
        <f>Assumptions!H89</f>
        <v>125000</v>
      </c>
      <c r="J18" s="63">
        <f>Assumptions!I89</f>
        <v>135000</v>
      </c>
      <c r="K18" s="63">
        <f>Assumptions!J89</f>
        <v>145000</v>
      </c>
      <c r="L18" s="52">
        <f>Assumptions!K89</f>
        <v>155000</v>
      </c>
      <c r="M18" s="63">
        <f>Assumptions!L89</f>
        <v>165000</v>
      </c>
      <c r="N18" s="63">
        <f>Assumptions!M89</f>
        <v>180000</v>
      </c>
      <c r="O18" s="64">
        <f>Assumptions!N89</f>
        <v>205000</v>
      </c>
      <c r="P18" s="47"/>
    </row>
    <row r="19" spans="1:19">
      <c r="A19" s="42"/>
      <c r="B19" s="42" t="s">
        <v>112</v>
      </c>
      <c r="C19" s="42"/>
      <c r="D19" s="53">
        <f>-'P&amp;L'!C24</f>
        <v>-6000</v>
      </c>
      <c r="E19" s="53">
        <f>D19-'P&amp;L'!D24</f>
        <v>-12000</v>
      </c>
      <c r="F19" s="53">
        <f>E19-'P&amp;L'!E24</f>
        <v>-18750</v>
      </c>
      <c r="G19" s="53">
        <f>F19-'P&amp;L'!F24</f>
        <v>-26625</v>
      </c>
      <c r="H19" s="54">
        <f>G19-'P&amp;L'!H24</f>
        <v>-35250</v>
      </c>
      <c r="I19" s="53">
        <f>H19-'P&amp;L'!I24</f>
        <v>-44625</v>
      </c>
      <c r="J19" s="53">
        <f>I19-'P&amp;L'!J24</f>
        <v>-54750</v>
      </c>
      <c r="K19" s="53">
        <f>J19-'P&amp;L'!K24</f>
        <v>-65625</v>
      </c>
      <c r="L19" s="54">
        <f>K19-'P&amp;L'!M24</f>
        <v>-76500</v>
      </c>
      <c r="M19" s="53">
        <f>L19-'P&amp;L'!N24</f>
        <v>-88125</v>
      </c>
      <c r="N19" s="53">
        <f>M19-'P&amp;L'!O24</f>
        <v>-100500</v>
      </c>
      <c r="O19" s="53">
        <f>N19-'P&amp;L'!P24</f>
        <v>-114000</v>
      </c>
      <c r="P19" s="47"/>
    </row>
    <row r="20" spans="1:19">
      <c r="A20" s="1" t="s">
        <v>95</v>
      </c>
      <c r="D20" s="58">
        <f>SUM(D17:D19)</f>
        <v>114000</v>
      </c>
      <c r="E20" s="58">
        <f t="shared" ref="E20:O20" si="2">SUM(E17:E19)</f>
        <v>108000</v>
      </c>
      <c r="F20" s="58">
        <f t="shared" si="2"/>
        <v>116250</v>
      </c>
      <c r="G20" s="58">
        <f t="shared" si="2"/>
        <v>130875</v>
      </c>
      <c r="H20" s="59">
        <f t="shared" si="2"/>
        <v>137250</v>
      </c>
      <c r="I20" s="58">
        <f t="shared" si="2"/>
        <v>142875</v>
      </c>
      <c r="J20" s="58">
        <f t="shared" si="2"/>
        <v>147750</v>
      </c>
      <c r="K20" s="58">
        <f t="shared" si="2"/>
        <v>151875</v>
      </c>
      <c r="L20" s="59">
        <f t="shared" si="2"/>
        <v>156000</v>
      </c>
      <c r="M20" s="58">
        <f t="shared" si="2"/>
        <v>159375</v>
      </c>
      <c r="N20" s="58">
        <f t="shared" si="2"/>
        <v>169500</v>
      </c>
      <c r="O20" s="58">
        <f t="shared" si="2"/>
        <v>193500</v>
      </c>
      <c r="P20" s="60"/>
      <c r="Q20" s="1"/>
      <c r="R20" s="1"/>
      <c r="S20" s="1"/>
    </row>
    <row r="21" spans="1:19">
      <c r="D21" s="58"/>
      <c r="E21" s="58"/>
      <c r="F21" s="58"/>
      <c r="G21" s="58"/>
      <c r="H21" s="59"/>
      <c r="I21" s="58"/>
      <c r="J21" s="58"/>
      <c r="K21" s="58"/>
      <c r="L21" s="59"/>
      <c r="M21" s="58"/>
      <c r="N21" s="58"/>
      <c r="O21" s="58"/>
      <c r="P21" s="60"/>
      <c r="Q21" s="1"/>
    </row>
    <row r="22" spans="1:19" ht="15.75" thickBot="1">
      <c r="A22" s="45" t="s">
        <v>96</v>
      </c>
      <c r="B22" s="32"/>
      <c r="C22" s="32"/>
      <c r="D22" s="50">
        <f>D10+D20+D14</f>
        <v>1362750</v>
      </c>
      <c r="E22" s="50">
        <f t="shared" ref="E22:O22" si="3">E10+E20+E14</f>
        <v>1159608</v>
      </c>
      <c r="F22" s="50">
        <f t="shared" si="3"/>
        <v>1008032.9</v>
      </c>
      <c r="G22" s="50">
        <f t="shared" si="3"/>
        <v>838448.79500000004</v>
      </c>
      <c r="H22" s="61">
        <f t="shared" si="3"/>
        <v>1661895.0872500001</v>
      </c>
      <c r="I22" s="50">
        <f t="shared" si="3"/>
        <v>1483041.9786125</v>
      </c>
      <c r="J22" s="50">
        <f t="shared" si="3"/>
        <v>1305142.4795931249</v>
      </c>
      <c r="K22" s="50">
        <f t="shared" si="3"/>
        <v>1131787.8453602814</v>
      </c>
      <c r="L22" s="61">
        <f t="shared" si="3"/>
        <v>1022681.8072873111</v>
      </c>
      <c r="M22" s="50">
        <f t="shared" si="3"/>
        <v>947602.57263091416</v>
      </c>
      <c r="N22" s="50">
        <f t="shared" si="3"/>
        <v>911008.07562411448</v>
      </c>
      <c r="O22" s="50">
        <f t="shared" si="3"/>
        <v>910114.50382380362</v>
      </c>
      <c r="P22" s="60"/>
      <c r="Q22" s="1"/>
    </row>
    <row r="23" spans="1:19" ht="15.75" thickTop="1">
      <c r="D23" s="13"/>
      <c r="E23" s="13"/>
      <c r="F23" s="13"/>
      <c r="G23" s="13"/>
      <c r="H23" s="52"/>
      <c r="I23" s="13"/>
      <c r="J23" s="13"/>
      <c r="K23" s="13"/>
      <c r="L23" s="52"/>
      <c r="M23" s="13"/>
      <c r="N23" s="13"/>
      <c r="O23" s="13"/>
      <c r="P23" s="47"/>
    </row>
    <row r="24" spans="1:19">
      <c r="D24" s="13"/>
      <c r="E24" s="13"/>
      <c r="F24" s="13"/>
      <c r="G24" s="13"/>
      <c r="H24" s="52"/>
      <c r="I24" s="13"/>
      <c r="J24" s="13"/>
      <c r="K24" s="13"/>
      <c r="L24" s="52"/>
      <c r="M24" s="13"/>
      <c r="N24" s="13"/>
      <c r="O24" s="13"/>
      <c r="P24" s="47"/>
    </row>
    <row r="25" spans="1:19">
      <c r="A25" s="1" t="s">
        <v>97</v>
      </c>
      <c r="D25" s="13"/>
      <c r="E25" s="13"/>
      <c r="F25" s="13"/>
      <c r="G25" s="13"/>
      <c r="H25" s="52"/>
      <c r="I25" s="13"/>
      <c r="J25" s="13"/>
      <c r="K25" s="13"/>
      <c r="L25" s="52"/>
      <c r="M25" s="13"/>
      <c r="N25" s="13"/>
      <c r="O25" s="13"/>
      <c r="P25" s="47"/>
    </row>
    <row r="26" spans="1:19">
      <c r="D26" s="13"/>
      <c r="E26" s="13"/>
      <c r="F26" s="13"/>
      <c r="G26" s="13"/>
      <c r="H26" s="52"/>
      <c r="I26" s="13"/>
      <c r="J26" s="13"/>
      <c r="K26" s="13"/>
      <c r="L26" s="52"/>
      <c r="M26" s="13"/>
      <c r="N26" s="13"/>
      <c r="O26" s="13"/>
      <c r="P26" s="47"/>
    </row>
    <row r="27" spans="1:19">
      <c r="A27" t="s">
        <v>99</v>
      </c>
      <c r="D27" s="13"/>
      <c r="E27" s="13"/>
      <c r="F27" s="13"/>
      <c r="G27" s="13"/>
      <c r="H27" s="52"/>
      <c r="I27" s="13"/>
      <c r="J27" s="13"/>
      <c r="K27" s="13"/>
      <c r="L27" s="52"/>
      <c r="M27" s="13"/>
      <c r="N27" s="13"/>
      <c r="O27" s="13"/>
      <c r="P27" s="47"/>
    </row>
    <row r="28" spans="1:19">
      <c r="A28" s="42"/>
      <c r="B28" s="42" t="s">
        <v>100</v>
      </c>
      <c r="C28" s="42"/>
      <c r="D28" s="53">
        <f>Assumptions!$C$70*(SUM('P&amp;L'!C22:C23))+Assumptions!C71</f>
        <v>75875</v>
      </c>
      <c r="E28" s="53">
        <f>Assumptions!$C$70*(SUM('P&amp;L'!D22:D23))</f>
        <v>16000.5</v>
      </c>
      <c r="F28" s="53">
        <f>Assumptions!$C$70*(SUM('P&amp;L'!E22:E23))</f>
        <v>19731.899999999998</v>
      </c>
      <c r="G28" s="53">
        <f>Assumptions!$C$70*(SUM('P&amp;L'!F22:F23))</f>
        <v>23337.307499999999</v>
      </c>
      <c r="H28" s="54">
        <f>Assumptions!$C$70*(SUM('P&amp;L'!H22:H23))</f>
        <v>27582.356625</v>
      </c>
      <c r="I28" s="53">
        <f>Assumptions!$C$70*(SUM('P&amp;L'!I22:I23))</f>
        <v>32593.704581249996</v>
      </c>
      <c r="J28" s="53">
        <f>Assumptions!$C$70*(SUM('P&amp;L'!J22:J23))</f>
        <v>37863.226547812505</v>
      </c>
      <c r="K28" s="53">
        <f>Assumptions!$C$70*(SUM('P&amp;L'!K22:K23))</f>
        <v>44893.048606453121</v>
      </c>
      <c r="L28" s="54">
        <f>Assumptions!$C$70*(SUM('P&amp;L'!M22:M23))</f>
        <v>50325.919153150775</v>
      </c>
      <c r="M28" s="53">
        <f>Assumptions!$C$70*(SUM('P&amp;L'!N22:N23))</f>
        <v>55177.755038820818</v>
      </c>
      <c r="N28" s="53">
        <f>Assumptions!$C$70*(SUM('P&amp;L'!O22:O23))</f>
        <v>59819.336711575619</v>
      </c>
      <c r="O28" s="53">
        <f>Assumptions!$C$70*(SUM('P&amp;L'!P22:P23))</f>
        <v>65615.516860049538</v>
      </c>
      <c r="P28" s="47"/>
    </row>
    <row r="29" spans="1:19">
      <c r="A29" s="1" t="s">
        <v>101</v>
      </c>
      <c r="D29" s="58">
        <f>D28</f>
        <v>75875</v>
      </c>
      <c r="E29" s="58">
        <f t="shared" ref="E29:O29" si="4">E28</f>
        <v>16000.5</v>
      </c>
      <c r="F29" s="58">
        <f t="shared" si="4"/>
        <v>19731.899999999998</v>
      </c>
      <c r="G29" s="58">
        <f t="shared" si="4"/>
        <v>23337.307499999999</v>
      </c>
      <c r="H29" s="59">
        <f t="shared" si="4"/>
        <v>27582.356625</v>
      </c>
      <c r="I29" s="58">
        <f t="shared" si="4"/>
        <v>32593.704581249996</v>
      </c>
      <c r="J29" s="58">
        <f t="shared" si="4"/>
        <v>37863.226547812505</v>
      </c>
      <c r="K29" s="58">
        <f t="shared" si="4"/>
        <v>44893.048606453121</v>
      </c>
      <c r="L29" s="59">
        <f t="shared" si="4"/>
        <v>50325.919153150775</v>
      </c>
      <c r="M29" s="58">
        <f t="shared" si="4"/>
        <v>55177.755038820818</v>
      </c>
      <c r="N29" s="58">
        <f t="shared" si="4"/>
        <v>59819.336711575619</v>
      </c>
      <c r="O29" s="58">
        <f t="shared" si="4"/>
        <v>65615.516860049538</v>
      </c>
      <c r="P29" s="47"/>
    </row>
    <row r="30" spans="1:19">
      <c r="D30" s="13"/>
      <c r="E30" s="13"/>
      <c r="F30" s="13"/>
      <c r="G30" s="13"/>
      <c r="H30" s="52"/>
      <c r="I30" s="13"/>
      <c r="J30" s="13"/>
      <c r="K30" s="13"/>
      <c r="L30" s="52"/>
      <c r="M30" s="13"/>
      <c r="N30" s="13"/>
      <c r="O30" s="13"/>
      <c r="P30" s="47"/>
    </row>
    <row r="31" spans="1:19">
      <c r="A31" t="s">
        <v>102</v>
      </c>
      <c r="D31" s="13"/>
      <c r="E31" s="13"/>
      <c r="F31" s="13"/>
      <c r="G31" s="13"/>
      <c r="H31" s="52"/>
      <c r="I31" s="13"/>
      <c r="J31" s="13"/>
      <c r="K31" s="13"/>
      <c r="L31" s="52"/>
      <c r="M31" s="13"/>
      <c r="N31" s="13"/>
      <c r="O31" s="13"/>
      <c r="P31" s="47"/>
    </row>
    <row r="32" spans="1:19">
      <c r="A32" s="42"/>
      <c r="B32" s="42" t="s">
        <v>103</v>
      </c>
      <c r="C32" s="42"/>
      <c r="D32" s="53">
        <v>0</v>
      </c>
      <c r="E32" s="53">
        <v>0</v>
      </c>
      <c r="F32" s="53">
        <v>0</v>
      </c>
      <c r="G32" s="53">
        <v>0</v>
      </c>
      <c r="H32" s="54">
        <v>0</v>
      </c>
      <c r="I32" s="53">
        <v>0</v>
      </c>
      <c r="J32" s="53">
        <v>0</v>
      </c>
      <c r="K32" s="53">
        <v>0</v>
      </c>
      <c r="L32" s="54">
        <v>0</v>
      </c>
      <c r="M32" s="53">
        <v>0</v>
      </c>
      <c r="N32" s="53">
        <v>0</v>
      </c>
      <c r="O32" s="53">
        <v>0</v>
      </c>
      <c r="P32" s="47"/>
    </row>
    <row r="33" spans="1:16">
      <c r="A33" s="1" t="s">
        <v>104</v>
      </c>
      <c r="D33" s="58">
        <f>D32</f>
        <v>0</v>
      </c>
      <c r="E33" s="58">
        <f t="shared" ref="E33" si="5">E32</f>
        <v>0</v>
      </c>
      <c r="F33" s="58">
        <f t="shared" ref="F33" si="6">F32</f>
        <v>0</v>
      </c>
      <c r="G33" s="58">
        <f t="shared" ref="G33" si="7">G32</f>
        <v>0</v>
      </c>
      <c r="H33" s="59">
        <f t="shared" ref="H33" si="8">H32</f>
        <v>0</v>
      </c>
      <c r="I33" s="58">
        <f t="shared" ref="I33" si="9">I32</f>
        <v>0</v>
      </c>
      <c r="J33" s="58">
        <f t="shared" ref="J33" si="10">J32</f>
        <v>0</v>
      </c>
      <c r="K33" s="58">
        <f t="shared" ref="K33" si="11">K32</f>
        <v>0</v>
      </c>
      <c r="L33" s="59">
        <f t="shared" ref="L33" si="12">L32</f>
        <v>0</v>
      </c>
      <c r="M33" s="58">
        <f t="shared" ref="M33" si="13">M32</f>
        <v>0</v>
      </c>
      <c r="N33" s="58">
        <f t="shared" ref="N33" si="14">N32</f>
        <v>0</v>
      </c>
      <c r="O33" s="58">
        <f t="shared" ref="O33" si="15">O32</f>
        <v>0</v>
      </c>
      <c r="P33" s="47"/>
    </row>
    <row r="34" spans="1:16">
      <c r="D34" s="13"/>
      <c r="E34" s="13"/>
      <c r="F34" s="13"/>
      <c r="G34" s="13"/>
      <c r="H34" s="52"/>
      <c r="I34" s="13"/>
      <c r="J34" s="13"/>
      <c r="K34" s="13"/>
      <c r="L34" s="52"/>
      <c r="M34" s="13"/>
      <c r="N34" s="13"/>
      <c r="O34" s="13"/>
      <c r="P34" s="47"/>
    </row>
    <row r="35" spans="1:16">
      <c r="A35" s="1" t="s">
        <v>98</v>
      </c>
      <c r="D35" s="13"/>
      <c r="E35" s="13"/>
      <c r="F35" s="13"/>
      <c r="G35" s="13"/>
      <c r="H35" s="52"/>
      <c r="I35" s="13"/>
      <c r="J35" s="13"/>
      <c r="K35" s="13"/>
      <c r="L35" s="52"/>
      <c r="M35" s="13"/>
      <c r="N35" s="13"/>
      <c r="O35" s="13"/>
      <c r="P35" s="47"/>
    </row>
    <row r="36" spans="1:16">
      <c r="B36" t="s">
        <v>105</v>
      </c>
      <c r="D36" s="13">
        <f>Assumptions!C93+Assumptions!C94</f>
        <v>1525000</v>
      </c>
      <c r="E36" s="13">
        <f>D36</f>
        <v>1525000</v>
      </c>
      <c r="F36" s="13">
        <f>E36</f>
        <v>1525000</v>
      </c>
      <c r="G36" s="13">
        <f>F36</f>
        <v>1525000</v>
      </c>
      <c r="H36" s="52">
        <f>Assumptions!C96+G36</f>
        <v>2525000</v>
      </c>
      <c r="I36" s="13">
        <f t="shared" ref="I36:O36" si="16">H36</f>
        <v>2525000</v>
      </c>
      <c r="J36" s="13">
        <f t="shared" si="16"/>
        <v>2525000</v>
      </c>
      <c r="K36" s="13">
        <f t="shared" si="16"/>
        <v>2525000</v>
      </c>
      <c r="L36" s="52">
        <f t="shared" si="16"/>
        <v>2525000</v>
      </c>
      <c r="M36" s="13">
        <f t="shared" si="16"/>
        <v>2525000</v>
      </c>
      <c r="N36" s="13">
        <f t="shared" si="16"/>
        <v>2525000</v>
      </c>
      <c r="O36" s="13">
        <f t="shared" si="16"/>
        <v>2525000</v>
      </c>
      <c r="P36" s="47"/>
    </row>
    <row r="37" spans="1:16">
      <c r="B37" t="s">
        <v>106</v>
      </c>
      <c r="D37" s="13">
        <v>0</v>
      </c>
      <c r="E37" s="13">
        <v>0</v>
      </c>
      <c r="F37" s="13">
        <v>0</v>
      </c>
      <c r="G37" s="13">
        <v>0</v>
      </c>
      <c r="H37" s="52">
        <f>G38</f>
        <v>-709888.51249999995</v>
      </c>
      <c r="I37" s="13">
        <f>H37</f>
        <v>-709888.51249999995</v>
      </c>
      <c r="J37" s="13">
        <f t="shared" ref="J37:K37" si="17">I37</f>
        <v>-709888.51249999995</v>
      </c>
      <c r="K37" s="13">
        <f t="shared" si="17"/>
        <v>-709888.51249999995</v>
      </c>
      <c r="L37" s="52">
        <f>K37+K38</f>
        <v>-1438105.2032461718</v>
      </c>
      <c r="M37" s="13">
        <f>L37</f>
        <v>-1438105.2032461718</v>
      </c>
      <c r="N37" s="13">
        <f t="shared" ref="N37:O37" si="18">M37</f>
        <v>-1438105.2032461718</v>
      </c>
      <c r="O37" s="13">
        <f t="shared" si="18"/>
        <v>-1438105.2032461718</v>
      </c>
      <c r="P37" s="47"/>
    </row>
    <row r="38" spans="1:16">
      <c r="A38" s="42"/>
      <c r="B38" s="42" t="s">
        <v>107</v>
      </c>
      <c r="C38" s="42"/>
      <c r="D38" s="53">
        <f>'P&amp;L'!C27</f>
        <v>-238125</v>
      </c>
      <c r="E38" s="53">
        <f>D38+'P&amp;L'!D27</f>
        <v>-381392.5</v>
      </c>
      <c r="F38" s="53">
        <f>E38+'P&amp;L'!E27</f>
        <v>-536699</v>
      </c>
      <c r="G38" s="53">
        <f>F38+'P&amp;L'!F27</f>
        <v>-709888.51249999995</v>
      </c>
      <c r="H38" s="54">
        <f>'P&amp;L'!H27</f>
        <v>-180798.75687499996</v>
      </c>
      <c r="I38" s="53">
        <f>H38+'P&amp;L'!I27</f>
        <v>-364663.21346874995</v>
      </c>
      <c r="J38" s="53">
        <f>I38+'P&amp;L'!J27</f>
        <v>-547832.23445468745</v>
      </c>
      <c r="K38" s="53">
        <f>J38+'P&amp;L'!K27</f>
        <v>-728216.69074617187</v>
      </c>
      <c r="L38" s="54">
        <f>'P&amp;L'!M27</f>
        <v>-114538.90861966793</v>
      </c>
      <c r="M38" s="53">
        <f>L38+'P&amp;L'!N27</f>
        <v>-194469.97916173493</v>
      </c>
      <c r="N38" s="53">
        <f>M38+'P&amp;L'!O27</f>
        <v>-235706.05784128938</v>
      </c>
      <c r="O38" s="53">
        <f>N38+'P&amp;L'!P27</f>
        <v>-242395.80979007419</v>
      </c>
      <c r="P38" s="47"/>
    </row>
    <row r="39" spans="1:16">
      <c r="A39" s="1" t="s">
        <v>108</v>
      </c>
      <c r="B39" s="1"/>
      <c r="C39" s="1"/>
      <c r="D39" s="58">
        <f>SUM(D36:D38)</f>
        <v>1286875</v>
      </c>
      <c r="E39" s="58">
        <f t="shared" ref="E39:O39" si="19">SUM(E36:E38)</f>
        <v>1143607.5</v>
      </c>
      <c r="F39" s="58">
        <f t="shared" si="19"/>
        <v>988301</v>
      </c>
      <c r="G39" s="58">
        <f t="shared" si="19"/>
        <v>815111.48750000005</v>
      </c>
      <c r="H39" s="59">
        <f t="shared" si="19"/>
        <v>1634312.7306250001</v>
      </c>
      <c r="I39" s="58">
        <f t="shared" si="19"/>
        <v>1450448.27403125</v>
      </c>
      <c r="J39" s="58">
        <f t="shared" si="19"/>
        <v>1267279.2530453126</v>
      </c>
      <c r="K39" s="58">
        <f t="shared" si="19"/>
        <v>1086894.7967538282</v>
      </c>
      <c r="L39" s="59">
        <f t="shared" si="19"/>
        <v>972355.88813416031</v>
      </c>
      <c r="M39" s="58">
        <f t="shared" si="19"/>
        <v>892424.81759209326</v>
      </c>
      <c r="N39" s="58">
        <f t="shared" si="19"/>
        <v>851188.73891253886</v>
      </c>
      <c r="O39" s="58">
        <f t="shared" si="19"/>
        <v>844498.98696375405</v>
      </c>
      <c r="P39" s="47"/>
    </row>
    <row r="40" spans="1:16">
      <c r="D40" s="13"/>
      <c r="E40" s="13"/>
      <c r="F40" s="13"/>
      <c r="G40" s="13"/>
      <c r="H40" s="52"/>
      <c r="I40" s="13"/>
      <c r="J40" s="13"/>
      <c r="K40" s="13"/>
      <c r="L40" s="52"/>
      <c r="M40" s="13"/>
      <c r="N40" s="13"/>
      <c r="O40" s="13"/>
      <c r="P40" s="47"/>
    </row>
    <row r="41" spans="1:16" ht="15.75" thickBot="1">
      <c r="A41" s="45" t="s">
        <v>109</v>
      </c>
      <c r="B41" s="32"/>
      <c r="C41" s="32"/>
      <c r="D41" s="50">
        <f>D29+D33+D39</f>
        <v>1362750</v>
      </c>
      <c r="E41" s="50">
        <f t="shared" ref="E41:O41" si="20">E29+E33+E39</f>
        <v>1159608</v>
      </c>
      <c r="F41" s="50">
        <f t="shared" si="20"/>
        <v>1008032.9</v>
      </c>
      <c r="G41" s="50">
        <f t="shared" si="20"/>
        <v>838448.79500000004</v>
      </c>
      <c r="H41" s="61">
        <f t="shared" si="20"/>
        <v>1661895.0872500001</v>
      </c>
      <c r="I41" s="50">
        <f t="shared" si="20"/>
        <v>1483041.9786125</v>
      </c>
      <c r="J41" s="50">
        <f t="shared" si="20"/>
        <v>1305142.4795931252</v>
      </c>
      <c r="K41" s="50">
        <f t="shared" si="20"/>
        <v>1131787.8453602814</v>
      </c>
      <c r="L41" s="61">
        <f t="shared" si="20"/>
        <v>1022681.8072873111</v>
      </c>
      <c r="M41" s="50">
        <f t="shared" si="20"/>
        <v>947602.57263091404</v>
      </c>
      <c r="N41" s="50">
        <f t="shared" si="20"/>
        <v>911008.07562411448</v>
      </c>
      <c r="O41" s="50">
        <f t="shared" si="20"/>
        <v>910114.50382380362</v>
      </c>
      <c r="P41" s="47"/>
    </row>
    <row r="42" spans="1:16" ht="15.75" thickTop="1"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6">
      <c r="D43" s="41">
        <f>D22-D41</f>
        <v>0</v>
      </c>
      <c r="E43" s="41">
        <f t="shared" ref="E43:O43" si="21">E22-E41</f>
        <v>0</v>
      </c>
      <c r="F43" s="41">
        <f t="shared" si="21"/>
        <v>0</v>
      </c>
      <c r="G43" s="41">
        <f t="shared" si="21"/>
        <v>0</v>
      </c>
      <c r="H43" s="41">
        <f t="shared" si="21"/>
        <v>0</v>
      </c>
      <c r="I43" s="41">
        <f t="shared" si="21"/>
        <v>0</v>
      </c>
      <c r="J43" s="41">
        <f t="shared" si="21"/>
        <v>0</v>
      </c>
      <c r="K43" s="41">
        <f t="shared" si="21"/>
        <v>0</v>
      </c>
      <c r="L43" s="41">
        <f t="shared" si="21"/>
        <v>0</v>
      </c>
      <c r="M43" s="41">
        <f t="shared" si="21"/>
        <v>0</v>
      </c>
      <c r="N43" s="41">
        <f t="shared" si="21"/>
        <v>0</v>
      </c>
      <c r="O43" s="41">
        <f t="shared" si="21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A23" sqref="A23"/>
    </sheetView>
  </sheetViews>
  <sheetFormatPr defaultRowHeight="15"/>
  <cols>
    <col min="1" max="1" width="4.7109375" customWidth="1"/>
    <col min="2" max="2" width="25.85546875" customWidth="1"/>
    <col min="3" max="3" width="3.140625" customWidth="1"/>
    <col min="4" max="21" width="14.85546875" customWidth="1"/>
  </cols>
  <sheetData>
    <row r="1" spans="1:18" ht="21">
      <c r="A1" s="2" t="s">
        <v>0</v>
      </c>
    </row>
    <row r="2" spans="1:18">
      <c r="A2" s="1" t="s">
        <v>113</v>
      </c>
    </row>
    <row r="4" spans="1:18">
      <c r="D4" s="95" t="s">
        <v>24</v>
      </c>
      <c r="E4" s="96"/>
      <c r="F4" s="96"/>
      <c r="G4" s="96"/>
      <c r="H4" s="97"/>
      <c r="I4" s="95" t="s">
        <v>25</v>
      </c>
      <c r="J4" s="96"/>
      <c r="K4" s="96"/>
      <c r="L4" s="96"/>
      <c r="M4" s="97"/>
      <c r="N4" s="98" t="s">
        <v>26</v>
      </c>
      <c r="O4" s="98"/>
      <c r="P4" s="98"/>
      <c r="Q4" s="98"/>
      <c r="R4" s="98"/>
    </row>
    <row r="5" spans="1:18">
      <c r="D5" s="6" t="s">
        <v>7</v>
      </c>
      <c r="E5" s="6" t="s">
        <v>8</v>
      </c>
      <c r="F5" s="6" t="s">
        <v>9</v>
      </c>
      <c r="G5" s="6" t="s">
        <v>10</v>
      </c>
      <c r="H5" s="33" t="s">
        <v>81</v>
      </c>
      <c r="I5" s="6" t="s">
        <v>11</v>
      </c>
      <c r="J5" s="6" t="s">
        <v>12</v>
      </c>
      <c r="K5" s="6" t="s">
        <v>13</v>
      </c>
      <c r="L5" s="6" t="s">
        <v>14</v>
      </c>
      <c r="M5" s="33" t="s">
        <v>81</v>
      </c>
      <c r="N5" s="6" t="s">
        <v>15</v>
      </c>
      <c r="O5" s="6" t="s">
        <v>16</v>
      </c>
      <c r="P5" s="6" t="s">
        <v>17</v>
      </c>
      <c r="Q5" s="6" t="s">
        <v>18</v>
      </c>
      <c r="R5" s="33" t="s">
        <v>81</v>
      </c>
    </row>
    <row r="6" spans="1:18">
      <c r="H6" s="34"/>
      <c r="M6" s="34"/>
      <c r="R6" s="34"/>
    </row>
    <row r="7" spans="1:18">
      <c r="A7" s="1" t="s">
        <v>114</v>
      </c>
      <c r="D7" s="13">
        <v>0</v>
      </c>
      <c r="E7" s="13">
        <f>D25</f>
        <v>792750</v>
      </c>
      <c r="F7" s="13">
        <f>E25</f>
        <v>663558</v>
      </c>
      <c r="G7" s="13">
        <f>F25</f>
        <v>119410.40000000002</v>
      </c>
      <c r="H7" s="35">
        <f>SUM(D7:G7)</f>
        <v>1575718.4</v>
      </c>
      <c r="I7" s="13">
        <f>G25</f>
        <v>31086.170000000013</v>
      </c>
      <c r="J7" s="13">
        <f>I25</f>
        <v>1061430.8935</v>
      </c>
      <c r="K7" s="13">
        <f t="shared" ref="K7:L7" si="0">J25</f>
        <v>615483.34017500002</v>
      </c>
      <c r="L7" s="13">
        <f t="shared" si="0"/>
        <v>553715.59085875005</v>
      </c>
      <c r="M7" s="35">
        <f>SUM(I7:L7)</f>
        <v>2261715.9945337502</v>
      </c>
      <c r="N7" s="13">
        <f>L25</f>
        <v>520608.67065168754</v>
      </c>
      <c r="O7" s="13">
        <f>N25</f>
        <v>252987.11530377204</v>
      </c>
      <c r="P7" s="13">
        <f t="shared" ref="P7:Q7" si="1">O25</f>
        <v>289155.15804467624</v>
      </c>
      <c r="Q7" s="13">
        <f t="shared" si="1"/>
        <v>19702.42505388087</v>
      </c>
      <c r="R7" s="35">
        <f>SUM(N7:Q7)</f>
        <v>1082453.3690540167</v>
      </c>
    </row>
    <row r="8" spans="1:18">
      <c r="D8" s="13"/>
      <c r="E8" s="13"/>
      <c r="F8" s="13"/>
      <c r="G8" s="13"/>
      <c r="H8" s="35"/>
      <c r="I8" s="13"/>
      <c r="J8" s="13"/>
      <c r="K8" s="13"/>
      <c r="L8" s="13"/>
      <c r="M8" s="35"/>
      <c r="N8" s="13"/>
      <c r="O8" s="13"/>
      <c r="P8" s="13"/>
      <c r="Q8" s="13"/>
      <c r="R8" s="35"/>
    </row>
    <row r="9" spans="1:18">
      <c r="A9" s="1" t="s">
        <v>115</v>
      </c>
      <c r="D9" s="13"/>
      <c r="E9" s="13"/>
      <c r="F9" s="13"/>
      <c r="G9" s="13"/>
      <c r="H9" s="35"/>
      <c r="I9" s="13"/>
      <c r="J9" s="13"/>
      <c r="K9" s="13"/>
      <c r="L9" s="13"/>
      <c r="M9" s="35"/>
      <c r="N9" s="13"/>
      <c r="O9" s="13"/>
      <c r="P9" s="13"/>
      <c r="Q9" s="13"/>
      <c r="R9" s="35"/>
    </row>
    <row r="10" spans="1:18">
      <c r="B10" t="s">
        <v>79</v>
      </c>
      <c r="D10" s="13">
        <f>'P&amp;L'!C27</f>
        <v>-238125</v>
      </c>
      <c r="E10" s="13">
        <f>'P&amp;L'!D27</f>
        <v>-143267.5</v>
      </c>
      <c r="F10" s="13">
        <f>'P&amp;L'!E27</f>
        <v>-155306.5</v>
      </c>
      <c r="G10" s="13">
        <f>'P&amp;L'!F27</f>
        <v>-173189.51250000001</v>
      </c>
      <c r="H10" s="35">
        <f t="shared" ref="H10:H14" si="2">SUM(D10:G10)</f>
        <v>-709888.51249999995</v>
      </c>
      <c r="I10" s="13">
        <f>'P&amp;L'!H27</f>
        <v>-180798.75687499996</v>
      </c>
      <c r="J10" s="13">
        <f>'P&amp;L'!I27</f>
        <v>-183864.45659374999</v>
      </c>
      <c r="K10" s="13">
        <f>'P&amp;L'!J27</f>
        <v>-183169.02098593753</v>
      </c>
      <c r="L10" s="13">
        <f>'P&amp;L'!K27</f>
        <v>-180384.45629148436</v>
      </c>
      <c r="M10" s="35">
        <f t="shared" ref="M10:M14" si="3">SUM(I10:L10)</f>
        <v>-728216.69074617187</v>
      </c>
      <c r="N10" s="13">
        <f>'P&amp;L'!M27</f>
        <v>-114538.90861966793</v>
      </c>
      <c r="O10" s="13">
        <f>'P&amp;L'!N27</f>
        <v>-79931.070542066998</v>
      </c>
      <c r="P10" s="13">
        <f>'P&amp;L'!O27</f>
        <v>-41236.078679554455</v>
      </c>
      <c r="Q10" s="13">
        <f>'P&amp;L'!P27</f>
        <v>-6689.751948784804</v>
      </c>
      <c r="R10" s="35">
        <f t="shared" ref="R10:R14" si="4">SUM(N10:Q10)</f>
        <v>-242395.80979007419</v>
      </c>
    </row>
    <row r="11" spans="1:18">
      <c r="B11" t="s">
        <v>119</v>
      </c>
      <c r="D11" s="13">
        <f>-'Bal Sheet'!D9</f>
        <v>-57000</v>
      </c>
      <c r="E11" s="13">
        <f>'Bal Sheet'!D9-'Bal Sheet'!E9</f>
        <v>-10350</v>
      </c>
      <c r="F11" s="13">
        <f>'Bal Sheet'!E9-'Bal Sheet'!F9</f>
        <v>-12307.5</v>
      </c>
      <c r="G11" s="13">
        <f>'Bal Sheet'!F9-'Bal Sheet'!G9</f>
        <v>-14650.875</v>
      </c>
      <c r="H11" s="35">
        <f t="shared" si="2"/>
        <v>-94308.375</v>
      </c>
      <c r="I11" s="13">
        <f>'Bal Sheet'!G9-'Bal Sheet'!H9</f>
        <v>-17459.268750000017</v>
      </c>
      <c r="J11" s="13">
        <f>'Bal Sheet'!H9-'Bal Sheet'!I9</f>
        <v>-20828.652187500003</v>
      </c>
      <c r="K11" s="13">
        <f>'Bal Sheet'!I9-'Bal Sheet'!J9</f>
        <v>-24875.514421874977</v>
      </c>
      <c r="L11" s="13">
        <f>'Bal Sheet'!J9-'Bal Sheet'!K9</f>
        <v>-29741.384692968772</v>
      </c>
      <c r="M11" s="35">
        <f t="shared" si="3"/>
        <v>-92904.82005234377</v>
      </c>
      <c r="N11" s="13">
        <f>'Bal Sheet'!K9-'Bal Sheet'!L9</f>
        <v>-35598.376401679678</v>
      </c>
      <c r="O11" s="13">
        <f>'Bal Sheet'!L9-'Bal Sheet'!M9</f>
        <v>-42655.989011888654</v>
      </c>
      <c r="P11" s="13">
        <f>'Bal Sheet'!M9-'Bal Sheet'!N9</f>
        <v>-51169.458923918311</v>
      </c>
      <c r="Q11" s="13">
        <f>'Bal Sheet'!N9-'Bal Sheet'!O9</f>
        <v>-61450.018860173761</v>
      </c>
      <c r="R11" s="35">
        <f t="shared" si="4"/>
        <v>-190873.8431976604</v>
      </c>
    </row>
    <row r="12" spans="1:18">
      <c r="B12" t="s">
        <v>129</v>
      </c>
      <c r="D12" s="13">
        <f>-'Bal Sheet'!D13</f>
        <v>-399000</v>
      </c>
      <c r="E12" s="13">
        <f>'Bal Sheet'!D13-'Bal Sheet'!E13</f>
        <v>78300</v>
      </c>
      <c r="F12" s="13">
        <f>'Bal Sheet'!E13-'Bal Sheet'!F13</f>
        <v>-372015</v>
      </c>
      <c r="G12" s="13">
        <f>'Bal Sheet'!F13-'Bal Sheet'!G13</f>
        <v>110535.75</v>
      </c>
      <c r="H12" s="35">
        <f t="shared" si="2"/>
        <v>-582179.25</v>
      </c>
      <c r="I12" s="13">
        <f>'Bal Sheet'!G13-'Bal Sheet'!H13</f>
        <v>230732.7</v>
      </c>
      <c r="J12" s="13">
        <f>'Bal Sheet'!H13-'Bal Sheet'!I13</f>
        <v>-240640.79250000004</v>
      </c>
      <c r="K12" s="13">
        <f>'Bal Sheet'!I13-'Bal Sheet'!J13</f>
        <v>145882.26412500005</v>
      </c>
      <c r="L12" s="13">
        <f>'Bal Sheet'!J13-'Bal Sheet'!K13</f>
        <v>174114.09871875</v>
      </c>
      <c r="M12" s="35">
        <f t="shared" si="3"/>
        <v>310088.27034375002</v>
      </c>
      <c r="N12" s="13">
        <f>'Bal Sheet'!K13-'Bal Sheet'!L13</f>
        <v>-118792.14087326557</v>
      </c>
      <c r="O12" s="13">
        <f>'Bal Sheet'!L13-'Bal Sheet'!M13</f>
        <v>157278.26640918979</v>
      </c>
      <c r="P12" s="13">
        <f>'Bal Sheet'!M13-'Bal Sheet'!N13</f>
        <v>-171563.77706007741</v>
      </c>
      <c r="Q12" s="13">
        <f>'Bal Sheet'!N13-'Bal Sheet'!O13</f>
        <v>226004.6336820439</v>
      </c>
      <c r="R12" s="35">
        <f t="shared" si="4"/>
        <v>92926.982157890714</v>
      </c>
    </row>
    <row r="13" spans="1:18">
      <c r="B13" t="s">
        <v>120</v>
      </c>
      <c r="D13" s="13">
        <f>'Bal Sheet'!D28</f>
        <v>75875</v>
      </c>
      <c r="E13" s="13">
        <f>'Bal Sheet'!E28-'Bal Sheet'!D28</f>
        <v>-59874.5</v>
      </c>
      <c r="F13" s="13">
        <f>'Bal Sheet'!F28-'Bal Sheet'!E28</f>
        <v>3731.3999999999978</v>
      </c>
      <c r="G13" s="13">
        <f>'Bal Sheet'!G28-'Bal Sheet'!F28</f>
        <v>3605.4075000000012</v>
      </c>
      <c r="H13" s="35">
        <f t="shared" si="2"/>
        <v>23337.307499999999</v>
      </c>
      <c r="I13" s="13">
        <f>'Bal Sheet'!H28-'Bal Sheet'!G28</f>
        <v>4245.0491250000014</v>
      </c>
      <c r="J13" s="13">
        <f>'Bal Sheet'!I28-'Bal Sheet'!H28</f>
        <v>5011.3479562499961</v>
      </c>
      <c r="K13" s="13">
        <f>'Bal Sheet'!J28-'Bal Sheet'!I28</f>
        <v>5269.5219665625082</v>
      </c>
      <c r="L13" s="13">
        <f>'Bal Sheet'!K28-'Bal Sheet'!J28</f>
        <v>7029.8220586406169</v>
      </c>
      <c r="M13" s="35">
        <f t="shared" si="3"/>
        <v>21555.741106453122</v>
      </c>
      <c r="N13" s="13">
        <f>'Bal Sheet'!L28-'Bal Sheet'!K28</f>
        <v>5432.8705466976535</v>
      </c>
      <c r="O13" s="13">
        <f>'Bal Sheet'!M28-'Bal Sheet'!L28</f>
        <v>4851.8358856700434</v>
      </c>
      <c r="P13" s="13">
        <f>'Bal Sheet'!N28-'Bal Sheet'!M28</f>
        <v>4641.5816727548008</v>
      </c>
      <c r="Q13" s="13">
        <f>'Bal Sheet'!O28-'Bal Sheet'!N28</f>
        <v>5796.180148473919</v>
      </c>
      <c r="R13" s="35">
        <f t="shared" si="4"/>
        <v>20722.468253596417</v>
      </c>
    </row>
    <row r="14" spans="1:18">
      <c r="B14" t="s">
        <v>122</v>
      </c>
      <c r="D14" s="13">
        <f>'Bal Sheet'!D32</f>
        <v>0</v>
      </c>
      <c r="E14" s="13">
        <f>'Bal Sheet'!E32-'Bal Sheet'!D32</f>
        <v>0</v>
      </c>
      <c r="F14" s="13">
        <f>'Bal Sheet'!F32-'Bal Sheet'!E32</f>
        <v>0</v>
      </c>
      <c r="G14" s="13">
        <f>'Bal Sheet'!G32-'Bal Sheet'!F32</f>
        <v>0</v>
      </c>
      <c r="H14" s="35">
        <f t="shared" si="2"/>
        <v>0</v>
      </c>
      <c r="I14" s="13">
        <f>'Bal Sheet'!H32-'Bal Sheet'!G32</f>
        <v>0</v>
      </c>
      <c r="J14" s="13">
        <f>'Bal Sheet'!I32-'Bal Sheet'!H32</f>
        <v>0</v>
      </c>
      <c r="K14" s="13">
        <f>'Bal Sheet'!J32-'Bal Sheet'!I32</f>
        <v>0</v>
      </c>
      <c r="L14" s="13">
        <f>'Bal Sheet'!K32-'Bal Sheet'!J32</f>
        <v>0</v>
      </c>
      <c r="M14" s="35">
        <f t="shared" si="3"/>
        <v>0</v>
      </c>
      <c r="N14" s="13">
        <f>'Bal Sheet'!L32-'Bal Sheet'!K32</f>
        <v>0</v>
      </c>
      <c r="O14" s="13">
        <f>'Bal Sheet'!M32-'Bal Sheet'!L32</f>
        <v>0</v>
      </c>
      <c r="P14" s="13">
        <f>'Bal Sheet'!N32-'Bal Sheet'!M32</f>
        <v>0</v>
      </c>
      <c r="Q14" s="13">
        <f>'Bal Sheet'!O32-'Bal Sheet'!N32</f>
        <v>0</v>
      </c>
      <c r="R14" s="35">
        <f t="shared" si="4"/>
        <v>0</v>
      </c>
    </row>
    <row r="15" spans="1:18">
      <c r="A15" s="30" t="s">
        <v>126</v>
      </c>
      <c r="B15" s="4"/>
      <c r="C15" s="4"/>
      <c r="D15" s="36">
        <f t="shared" ref="D15:R15" si="5">SUM(D9:D14)</f>
        <v>-618250</v>
      </c>
      <c r="E15" s="36">
        <f t="shared" si="5"/>
        <v>-135192</v>
      </c>
      <c r="F15" s="36">
        <f t="shared" si="5"/>
        <v>-535897.59999999998</v>
      </c>
      <c r="G15" s="36">
        <f t="shared" si="5"/>
        <v>-73699.23000000001</v>
      </c>
      <c r="H15" s="37">
        <f t="shared" si="5"/>
        <v>-1363038.8299999998</v>
      </c>
      <c r="I15" s="36">
        <f t="shared" si="5"/>
        <v>36719.723500000036</v>
      </c>
      <c r="J15" s="36">
        <f t="shared" si="5"/>
        <v>-440322.55332500004</v>
      </c>
      <c r="K15" s="36">
        <f t="shared" si="5"/>
        <v>-56892.74931624996</v>
      </c>
      <c r="L15" s="36">
        <f t="shared" si="5"/>
        <v>-28981.920207062511</v>
      </c>
      <c r="M15" s="37">
        <f t="shared" si="5"/>
        <v>-489477.4993483125</v>
      </c>
      <c r="N15" s="36">
        <f t="shared" si="5"/>
        <v>-263496.55534791551</v>
      </c>
      <c r="O15" s="36">
        <f t="shared" si="5"/>
        <v>39543.04274090418</v>
      </c>
      <c r="P15" s="36">
        <f t="shared" si="5"/>
        <v>-259327.73299079537</v>
      </c>
      <c r="Q15" s="36">
        <f t="shared" si="5"/>
        <v>163661.04302155925</v>
      </c>
      <c r="R15" s="37">
        <f t="shared" si="5"/>
        <v>-319620.20257624745</v>
      </c>
    </row>
    <row r="16" spans="1:18">
      <c r="D16" s="13"/>
      <c r="E16" s="13"/>
      <c r="F16" s="13"/>
      <c r="G16" s="13"/>
      <c r="H16" s="35"/>
      <c r="I16" s="13"/>
      <c r="J16" s="13"/>
      <c r="K16" s="13"/>
      <c r="L16" s="13"/>
      <c r="M16" s="35"/>
      <c r="N16" s="13"/>
      <c r="O16" s="13"/>
      <c r="P16" s="13"/>
      <c r="Q16" s="13"/>
      <c r="R16" s="35"/>
    </row>
    <row r="17" spans="1:18">
      <c r="A17" s="1" t="s">
        <v>116</v>
      </c>
      <c r="D17" s="13"/>
      <c r="E17" s="13"/>
      <c r="F17" s="13"/>
      <c r="G17" s="13"/>
      <c r="H17" s="35"/>
      <c r="I17" s="13"/>
      <c r="J17" s="13"/>
      <c r="K17" s="13"/>
      <c r="L17" s="13"/>
      <c r="M17" s="35"/>
      <c r="N17" s="13"/>
      <c r="O17" s="13"/>
      <c r="P17" s="13"/>
      <c r="Q17" s="13"/>
      <c r="R17" s="35"/>
    </row>
    <row r="18" spans="1:18">
      <c r="B18" t="s">
        <v>121</v>
      </c>
      <c r="D18" s="13">
        <f>-'Bal Sheet'!D20</f>
        <v>-114000</v>
      </c>
      <c r="E18" s="13">
        <f>'Bal Sheet'!D20-'Bal Sheet'!E20</f>
        <v>6000</v>
      </c>
      <c r="F18" s="13">
        <f>'Bal Sheet'!E20-'Bal Sheet'!F20</f>
        <v>-8250</v>
      </c>
      <c r="G18" s="13">
        <f>'Bal Sheet'!F20-'Bal Sheet'!G20</f>
        <v>-14625</v>
      </c>
      <c r="H18" s="35">
        <f t="shared" ref="H18" si="6">SUM(D18:G18)</f>
        <v>-130875</v>
      </c>
      <c r="I18" s="13">
        <f>'Bal Sheet'!G20-'Bal Sheet'!H20</f>
        <v>-6375</v>
      </c>
      <c r="J18" s="13">
        <f>'Bal Sheet'!H20-'Bal Sheet'!I20</f>
        <v>-5625</v>
      </c>
      <c r="K18" s="13">
        <f>'Bal Sheet'!I20-'Bal Sheet'!J20</f>
        <v>-4875</v>
      </c>
      <c r="L18" s="13">
        <f>'Bal Sheet'!J20-'Bal Sheet'!K20</f>
        <v>-4125</v>
      </c>
      <c r="M18" s="35">
        <f t="shared" ref="M18" si="7">SUM(I18:L18)</f>
        <v>-21000</v>
      </c>
      <c r="N18" s="13">
        <f>'Bal Sheet'!K20-'Bal Sheet'!L20</f>
        <v>-4125</v>
      </c>
      <c r="O18" s="13">
        <f>'Bal Sheet'!L20-'Bal Sheet'!M20</f>
        <v>-3375</v>
      </c>
      <c r="P18" s="13">
        <f>'Bal Sheet'!M20-'Bal Sheet'!N20</f>
        <v>-10125</v>
      </c>
      <c r="Q18" s="13">
        <f>'Bal Sheet'!N20-'Bal Sheet'!O20</f>
        <v>-24000</v>
      </c>
      <c r="R18" s="35">
        <f t="shared" ref="R18" si="8">SUM(N18:Q18)</f>
        <v>-41625</v>
      </c>
    </row>
    <row r="19" spans="1:18">
      <c r="A19" s="30" t="s">
        <v>125</v>
      </c>
      <c r="B19" s="4"/>
      <c r="C19" s="4"/>
      <c r="D19" s="36">
        <f>D18</f>
        <v>-114000</v>
      </c>
      <c r="E19" s="36">
        <f t="shared" ref="E19:R19" si="9">E18</f>
        <v>6000</v>
      </c>
      <c r="F19" s="36">
        <f t="shared" si="9"/>
        <v>-8250</v>
      </c>
      <c r="G19" s="36">
        <f t="shared" si="9"/>
        <v>-14625</v>
      </c>
      <c r="H19" s="37">
        <f t="shared" si="9"/>
        <v>-130875</v>
      </c>
      <c r="I19" s="36">
        <f t="shared" si="9"/>
        <v>-6375</v>
      </c>
      <c r="J19" s="36">
        <f t="shared" si="9"/>
        <v>-5625</v>
      </c>
      <c r="K19" s="36">
        <f t="shared" si="9"/>
        <v>-4875</v>
      </c>
      <c r="L19" s="36">
        <f t="shared" si="9"/>
        <v>-4125</v>
      </c>
      <c r="M19" s="37">
        <f t="shared" si="9"/>
        <v>-21000</v>
      </c>
      <c r="N19" s="36">
        <f t="shared" si="9"/>
        <v>-4125</v>
      </c>
      <c r="O19" s="36">
        <f t="shared" si="9"/>
        <v>-3375</v>
      </c>
      <c r="P19" s="36">
        <f t="shared" si="9"/>
        <v>-10125</v>
      </c>
      <c r="Q19" s="36">
        <f t="shared" si="9"/>
        <v>-24000</v>
      </c>
      <c r="R19" s="37">
        <f t="shared" si="9"/>
        <v>-41625</v>
      </c>
    </row>
    <row r="20" spans="1:18">
      <c r="D20" s="13"/>
      <c r="E20" s="13"/>
      <c r="F20" s="13"/>
      <c r="G20" s="13"/>
      <c r="H20" s="35"/>
      <c r="I20" s="13"/>
      <c r="J20" s="13"/>
      <c r="K20" s="13"/>
      <c r="L20" s="13"/>
      <c r="M20" s="35"/>
      <c r="N20" s="13"/>
      <c r="O20" s="13"/>
      <c r="P20" s="13"/>
      <c r="Q20" s="13"/>
      <c r="R20" s="35"/>
    </row>
    <row r="21" spans="1:18">
      <c r="A21" s="1" t="s">
        <v>117</v>
      </c>
      <c r="D21" s="13"/>
      <c r="E21" s="13"/>
      <c r="F21" s="13"/>
      <c r="G21" s="13"/>
      <c r="H21" s="35"/>
      <c r="I21" s="13"/>
      <c r="J21" s="13"/>
      <c r="K21" s="13"/>
      <c r="L21" s="13"/>
      <c r="M21" s="35"/>
      <c r="N21" s="13"/>
      <c r="O21" s="13"/>
      <c r="P21" s="13"/>
      <c r="Q21" s="13"/>
      <c r="R21" s="35"/>
    </row>
    <row r="22" spans="1:18">
      <c r="B22" t="s">
        <v>123</v>
      </c>
      <c r="D22" s="13">
        <f>'Bal Sheet'!D36</f>
        <v>1525000</v>
      </c>
      <c r="E22" s="13">
        <f>'Bal Sheet'!E36-'Bal Sheet'!D36</f>
        <v>0</v>
      </c>
      <c r="F22" s="13">
        <f>'Bal Sheet'!F36-'Bal Sheet'!E36</f>
        <v>0</v>
      </c>
      <c r="G22" s="13">
        <f>'Bal Sheet'!G36-'Bal Sheet'!F36</f>
        <v>0</v>
      </c>
      <c r="H22" s="35">
        <f t="shared" ref="H22" si="10">SUM(D22:G22)</f>
        <v>1525000</v>
      </c>
      <c r="I22" s="13">
        <f>'Bal Sheet'!H36-'Bal Sheet'!G36</f>
        <v>1000000</v>
      </c>
      <c r="J22" s="13">
        <f>'Bal Sheet'!I36-'Bal Sheet'!H36</f>
        <v>0</v>
      </c>
      <c r="K22" s="13">
        <f>'Bal Sheet'!J36-'Bal Sheet'!I36</f>
        <v>0</v>
      </c>
      <c r="L22" s="13">
        <f>'Bal Sheet'!K36-'Bal Sheet'!J36</f>
        <v>0</v>
      </c>
      <c r="M22" s="35">
        <f t="shared" ref="M22" si="11">SUM(I22:L22)</f>
        <v>1000000</v>
      </c>
      <c r="N22" s="13">
        <f>'Bal Sheet'!L36-'Bal Sheet'!K36</f>
        <v>0</v>
      </c>
      <c r="O22" s="13">
        <f>'Bal Sheet'!M36-'Bal Sheet'!L36</f>
        <v>0</v>
      </c>
      <c r="P22" s="13">
        <f>'Bal Sheet'!N36-'Bal Sheet'!M36</f>
        <v>0</v>
      </c>
      <c r="Q22" s="13">
        <f>'Bal Sheet'!O36-'Bal Sheet'!N36</f>
        <v>0</v>
      </c>
      <c r="R22" s="35">
        <f t="shared" ref="R22" si="12">SUM(N22:Q22)</f>
        <v>0</v>
      </c>
    </row>
    <row r="23" spans="1:18">
      <c r="A23" s="30" t="s">
        <v>124</v>
      </c>
      <c r="B23" s="4"/>
      <c r="C23" s="4"/>
      <c r="D23" s="36">
        <f>D22</f>
        <v>1525000</v>
      </c>
      <c r="E23" s="36">
        <f t="shared" ref="E23:R23" si="13">E22</f>
        <v>0</v>
      </c>
      <c r="F23" s="36">
        <f t="shared" si="13"/>
        <v>0</v>
      </c>
      <c r="G23" s="36">
        <f t="shared" si="13"/>
        <v>0</v>
      </c>
      <c r="H23" s="37">
        <f t="shared" si="13"/>
        <v>1525000</v>
      </c>
      <c r="I23" s="36">
        <f t="shared" si="13"/>
        <v>1000000</v>
      </c>
      <c r="J23" s="36">
        <f t="shared" si="13"/>
        <v>0</v>
      </c>
      <c r="K23" s="36">
        <f t="shared" si="13"/>
        <v>0</v>
      </c>
      <c r="L23" s="36">
        <f t="shared" si="13"/>
        <v>0</v>
      </c>
      <c r="M23" s="37">
        <f t="shared" si="13"/>
        <v>1000000</v>
      </c>
      <c r="N23" s="36">
        <f t="shared" si="13"/>
        <v>0</v>
      </c>
      <c r="O23" s="36">
        <f t="shared" si="13"/>
        <v>0</v>
      </c>
      <c r="P23" s="36">
        <f t="shared" si="13"/>
        <v>0</v>
      </c>
      <c r="Q23" s="36">
        <f t="shared" si="13"/>
        <v>0</v>
      </c>
      <c r="R23" s="37">
        <f t="shared" si="13"/>
        <v>0</v>
      </c>
    </row>
    <row r="24" spans="1:18">
      <c r="D24" s="13"/>
      <c r="E24" s="13"/>
      <c r="F24" s="13"/>
      <c r="G24" s="13"/>
      <c r="H24" s="35"/>
      <c r="I24" s="13"/>
      <c r="J24" s="13"/>
      <c r="K24" s="13"/>
      <c r="L24" s="13"/>
      <c r="M24" s="35"/>
      <c r="N24" s="13"/>
      <c r="O24" s="13"/>
      <c r="P24" s="13"/>
      <c r="Q24" s="13"/>
      <c r="R24" s="35"/>
    </row>
    <row r="25" spans="1:18" ht="15.75" thickBot="1">
      <c r="A25" s="45" t="s">
        <v>118</v>
      </c>
      <c r="B25" s="32"/>
      <c r="C25" s="32"/>
      <c r="D25" s="38">
        <f>D7+D15+D19+D23</f>
        <v>792750</v>
      </c>
      <c r="E25" s="38">
        <f t="shared" ref="E25:Q25" si="14">E7+E15+E19+E23</f>
        <v>663558</v>
      </c>
      <c r="F25" s="38">
        <f t="shared" si="14"/>
        <v>119410.40000000002</v>
      </c>
      <c r="G25" s="38">
        <f t="shared" si="14"/>
        <v>31086.170000000013</v>
      </c>
      <c r="H25" s="39"/>
      <c r="I25" s="38">
        <f t="shared" si="14"/>
        <v>1061430.8935</v>
      </c>
      <c r="J25" s="38">
        <f t="shared" si="14"/>
        <v>615483.34017500002</v>
      </c>
      <c r="K25" s="38">
        <f t="shared" si="14"/>
        <v>553715.59085875005</v>
      </c>
      <c r="L25" s="38">
        <f t="shared" si="14"/>
        <v>520608.67065168754</v>
      </c>
      <c r="M25" s="39"/>
      <c r="N25" s="38">
        <f t="shared" si="14"/>
        <v>252987.11530377204</v>
      </c>
      <c r="O25" s="38">
        <f t="shared" si="14"/>
        <v>289155.15804467624</v>
      </c>
      <c r="P25" s="38">
        <f t="shared" si="14"/>
        <v>19702.42505388087</v>
      </c>
      <c r="Q25" s="38">
        <f t="shared" si="14"/>
        <v>159363.46807544012</v>
      </c>
      <c r="R25" s="39"/>
    </row>
    <row r="26" spans="1:18" ht="15.75" thickTop="1"/>
  </sheetData>
  <mergeCells count="3">
    <mergeCell ref="D4:H4"/>
    <mergeCell ref="I4:M4"/>
    <mergeCell ref="N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8"/>
  <sheetViews>
    <sheetView workbookViewId="0">
      <selection sqref="A1:A2"/>
    </sheetView>
  </sheetViews>
  <sheetFormatPr defaultRowHeight="15"/>
  <cols>
    <col min="1" max="1" width="3.7109375" customWidth="1"/>
    <col min="2" max="2" width="19.140625" bestFit="1" customWidth="1"/>
    <col min="4" max="16" width="12.5703125" customWidth="1"/>
  </cols>
  <sheetData>
    <row r="1" spans="1:16" ht="21">
      <c r="A1" s="2" t="s">
        <v>0</v>
      </c>
    </row>
    <row r="2" spans="1:16">
      <c r="A2" s="1" t="s">
        <v>130</v>
      </c>
    </row>
    <row r="4" spans="1:16">
      <c r="D4" s="95" t="s">
        <v>24</v>
      </c>
      <c r="E4" s="96"/>
      <c r="F4" s="96"/>
      <c r="G4" s="96"/>
      <c r="H4" s="95" t="s">
        <v>25</v>
      </c>
      <c r="I4" s="96"/>
      <c r="J4" s="96"/>
      <c r="K4" s="96"/>
      <c r="L4" s="98" t="s">
        <v>26</v>
      </c>
      <c r="M4" s="98"/>
      <c r="N4" s="98"/>
      <c r="O4" s="98"/>
    </row>
    <row r="5" spans="1:16"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N5" s="6" t="s">
        <v>17</v>
      </c>
      <c r="O5" s="6" t="s">
        <v>18</v>
      </c>
    </row>
    <row r="6" spans="1:16">
      <c r="A6" s="1" t="s">
        <v>140</v>
      </c>
    </row>
    <row r="7" spans="1:16">
      <c r="A7" s="12" t="s">
        <v>1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</row>
    <row r="8" spans="1:16">
      <c r="B8" t="s">
        <v>131</v>
      </c>
      <c r="D8" s="68">
        <v>0</v>
      </c>
      <c r="E8" s="68">
        <f>+D11</f>
        <v>58</v>
      </c>
      <c r="F8" s="68">
        <f>+E11</f>
        <v>44.2</v>
      </c>
      <c r="G8" s="68">
        <f>+F11</f>
        <v>98.33</v>
      </c>
      <c r="H8" s="68">
        <f t="shared" ref="H8:O8" si="0">+G11</f>
        <v>80.079499999999996</v>
      </c>
      <c r="I8" s="68">
        <f t="shared" si="0"/>
        <v>59.091424999999994</v>
      </c>
      <c r="J8" s="68">
        <f t="shared" si="0"/>
        <v>104.95513874999999</v>
      </c>
      <c r="K8" s="68">
        <f t="shared" si="0"/>
        <v>77.19840956249999</v>
      </c>
      <c r="L8" s="68">
        <f t="shared" si="0"/>
        <v>45.278170996874991</v>
      </c>
      <c r="M8" s="68">
        <f t="shared" si="0"/>
        <v>108.56989664640625</v>
      </c>
      <c r="N8" s="68">
        <f t="shared" si="0"/>
        <v>66.355381143367197</v>
      </c>
      <c r="O8" s="68">
        <f t="shared" si="0"/>
        <v>117.80868831487228</v>
      </c>
      <c r="P8" s="68"/>
    </row>
    <row r="9" spans="1:16">
      <c r="B9" t="s">
        <v>132</v>
      </c>
      <c r="D9" s="68">
        <f>Assumptions!C81</f>
        <v>70</v>
      </c>
      <c r="E9" s="68">
        <f>Assumptions!D81</f>
        <v>0</v>
      </c>
      <c r="F9" s="68">
        <f>Assumptions!E81</f>
        <v>70</v>
      </c>
      <c r="G9" s="68">
        <f>Assumptions!F81</f>
        <v>0</v>
      </c>
      <c r="H9" s="68">
        <f>Assumptions!G81</f>
        <v>0</v>
      </c>
      <c r="I9" s="68">
        <f>Assumptions!H81</f>
        <v>70</v>
      </c>
      <c r="J9" s="68">
        <f>Assumptions!I81</f>
        <v>0</v>
      </c>
      <c r="K9" s="68">
        <f>Assumptions!J81</f>
        <v>0</v>
      </c>
      <c r="L9" s="68">
        <f>Assumptions!K81</f>
        <v>100</v>
      </c>
      <c r="M9" s="68">
        <f>Assumptions!L81</f>
        <v>0</v>
      </c>
      <c r="N9" s="68">
        <f>Assumptions!M81</f>
        <v>100</v>
      </c>
      <c r="O9" s="68">
        <f>Assumptions!N81</f>
        <v>0</v>
      </c>
      <c r="P9" s="68"/>
    </row>
    <row r="10" spans="1:16">
      <c r="B10" t="s">
        <v>133</v>
      </c>
      <c r="D10" s="68">
        <f>+Assumptions!C7</f>
        <v>12</v>
      </c>
      <c r="E10" s="68">
        <f>+Assumptions!D7</f>
        <v>13.8</v>
      </c>
      <c r="F10" s="68">
        <f>+Assumptions!E7</f>
        <v>15.870000000000001</v>
      </c>
      <c r="G10" s="68">
        <f>+Assumptions!F7</f>
        <v>18.250500000000002</v>
      </c>
      <c r="H10" s="68">
        <f>+Assumptions!G7</f>
        <v>20.988075000000002</v>
      </c>
      <c r="I10" s="68">
        <f>+Assumptions!H7</f>
        <v>24.136286250000001</v>
      </c>
      <c r="J10" s="68">
        <f>+Assumptions!I7</f>
        <v>27.7567291875</v>
      </c>
      <c r="K10" s="68">
        <f>+Assumptions!J7</f>
        <v>31.920238565624999</v>
      </c>
      <c r="L10" s="68">
        <f>+Assumptions!K7</f>
        <v>36.708274350468749</v>
      </c>
      <c r="M10" s="68">
        <f>+Assumptions!L7</f>
        <v>42.21451550303906</v>
      </c>
      <c r="N10" s="68">
        <f>+Assumptions!M7</f>
        <v>48.546692828494919</v>
      </c>
      <c r="O10" s="68">
        <f>+Assumptions!N7</f>
        <v>55.828696752769154</v>
      </c>
      <c r="P10" s="68"/>
    </row>
    <row r="11" spans="1:16">
      <c r="B11" s="66" t="s">
        <v>134</v>
      </c>
      <c r="C11" s="66"/>
      <c r="D11" s="69">
        <f>+D8+D9-D10</f>
        <v>58</v>
      </c>
      <c r="E11" s="69">
        <f t="shared" ref="E11:O11" si="1">+E8+E9-E10</f>
        <v>44.2</v>
      </c>
      <c r="F11" s="69">
        <f t="shared" si="1"/>
        <v>98.33</v>
      </c>
      <c r="G11" s="69">
        <f t="shared" si="1"/>
        <v>80.079499999999996</v>
      </c>
      <c r="H11" s="69">
        <f t="shared" si="1"/>
        <v>59.091424999999994</v>
      </c>
      <c r="I11" s="69">
        <f t="shared" si="1"/>
        <v>104.95513874999999</v>
      </c>
      <c r="J11" s="69">
        <f t="shared" si="1"/>
        <v>77.19840956249999</v>
      </c>
      <c r="K11" s="69">
        <f t="shared" si="1"/>
        <v>45.278170996874991</v>
      </c>
      <c r="L11" s="69">
        <f t="shared" si="1"/>
        <v>108.56989664640625</v>
      </c>
      <c r="M11" s="69">
        <f t="shared" si="1"/>
        <v>66.355381143367197</v>
      </c>
      <c r="N11" s="69">
        <f t="shared" si="1"/>
        <v>117.80868831487228</v>
      </c>
      <c r="O11" s="69">
        <f t="shared" si="1"/>
        <v>61.97999156210313</v>
      </c>
      <c r="P11" s="68"/>
    </row>
    <row r="12" spans="1:16">
      <c r="B12" s="70" t="s">
        <v>137</v>
      </c>
      <c r="D12" s="68">
        <f>Assumptions!C76</f>
        <v>25</v>
      </c>
      <c r="E12" s="68">
        <f>D12</f>
        <v>25</v>
      </c>
      <c r="F12" s="68">
        <f t="shared" ref="F12:O12" si="2">E12</f>
        <v>25</v>
      </c>
      <c r="G12" s="68">
        <f t="shared" si="2"/>
        <v>25</v>
      </c>
      <c r="H12" s="68">
        <f t="shared" si="2"/>
        <v>25</v>
      </c>
      <c r="I12" s="68">
        <f t="shared" si="2"/>
        <v>25</v>
      </c>
      <c r="J12" s="68">
        <f t="shared" si="2"/>
        <v>25</v>
      </c>
      <c r="K12" s="68">
        <f t="shared" si="2"/>
        <v>25</v>
      </c>
      <c r="L12" s="68">
        <f t="shared" si="2"/>
        <v>25</v>
      </c>
      <c r="M12" s="68">
        <f t="shared" si="2"/>
        <v>25</v>
      </c>
      <c r="N12" s="68">
        <f t="shared" si="2"/>
        <v>25</v>
      </c>
      <c r="O12" s="68">
        <f t="shared" si="2"/>
        <v>25</v>
      </c>
      <c r="P12" s="68"/>
    </row>
    <row r="13" spans="1:16">
      <c r="B13" s="70" t="s">
        <v>138</v>
      </c>
      <c r="D13" s="68">
        <f>IF(D11&lt;D12,D11-D12,0)</f>
        <v>0</v>
      </c>
      <c r="E13" s="68">
        <f>IF(E11&lt;E12,E11-E12,0)</f>
        <v>0</v>
      </c>
      <c r="F13" s="68">
        <f>IF(F11&lt;F12,F11-F12,0)</f>
        <v>0</v>
      </c>
      <c r="G13" s="68">
        <f t="shared" ref="G13:O13" si="3">IF(G11&lt;G12,G11-G12,0)</f>
        <v>0</v>
      </c>
      <c r="H13" s="68">
        <f t="shared" si="3"/>
        <v>0</v>
      </c>
      <c r="I13" s="68">
        <f t="shared" si="3"/>
        <v>0</v>
      </c>
      <c r="J13" s="68">
        <f t="shared" si="3"/>
        <v>0</v>
      </c>
      <c r="K13" s="68">
        <f t="shared" si="3"/>
        <v>0</v>
      </c>
      <c r="L13" s="68">
        <f t="shared" si="3"/>
        <v>0</v>
      </c>
      <c r="M13" s="68">
        <f t="shared" si="3"/>
        <v>0</v>
      </c>
      <c r="N13" s="68">
        <f t="shared" si="3"/>
        <v>0</v>
      </c>
      <c r="O13" s="68">
        <f t="shared" si="3"/>
        <v>0</v>
      </c>
      <c r="P13" s="68"/>
    </row>
    <row r="15" spans="1:16">
      <c r="A15" s="12" t="s">
        <v>2</v>
      </c>
    </row>
    <row r="16" spans="1:16">
      <c r="B16" t="s">
        <v>131</v>
      </c>
      <c r="D16" s="68">
        <v>0</v>
      </c>
      <c r="E16" s="68">
        <f>+D19</f>
        <v>78</v>
      </c>
      <c r="F16" s="68">
        <f>+E19</f>
        <v>63.6</v>
      </c>
      <c r="G16" s="68">
        <f>+F19</f>
        <v>136.32</v>
      </c>
      <c r="H16" s="68">
        <f t="shared" ref="H16:O16" si="4">+G19</f>
        <v>115.58399999999999</v>
      </c>
      <c r="I16" s="68">
        <f t="shared" si="4"/>
        <v>90.700799999999987</v>
      </c>
      <c r="J16" s="68">
        <f t="shared" si="4"/>
        <v>150.84096</v>
      </c>
      <c r="K16" s="68">
        <f t="shared" si="4"/>
        <v>115.009152</v>
      </c>
      <c r="L16" s="68">
        <f t="shared" si="4"/>
        <v>72.010982399999989</v>
      </c>
      <c r="M16" s="68">
        <f t="shared" si="4"/>
        <v>160.41317887999998</v>
      </c>
      <c r="N16" s="68">
        <f t="shared" si="4"/>
        <v>98.495814655999965</v>
      </c>
      <c r="O16" s="68">
        <f t="shared" si="4"/>
        <v>164.19497758719996</v>
      </c>
      <c r="P16" s="68"/>
    </row>
    <row r="17" spans="1:16">
      <c r="B17" t="s">
        <v>132</v>
      </c>
      <c r="D17" s="68">
        <f>Assumptions!C82</f>
        <v>90</v>
      </c>
      <c r="E17" s="68">
        <f>Assumptions!D82</f>
        <v>0</v>
      </c>
      <c r="F17" s="68">
        <f>Assumptions!E82</f>
        <v>90</v>
      </c>
      <c r="G17" s="68">
        <f>Assumptions!F82</f>
        <v>0</v>
      </c>
      <c r="H17" s="68">
        <f>Assumptions!G82</f>
        <v>0</v>
      </c>
      <c r="I17" s="68">
        <f>Assumptions!H82</f>
        <v>90</v>
      </c>
      <c r="J17" s="68">
        <f>Assumptions!I82</f>
        <v>0</v>
      </c>
      <c r="K17" s="68">
        <f>Assumptions!J82</f>
        <v>0</v>
      </c>
      <c r="L17" s="68">
        <f>Assumptions!K82</f>
        <v>140</v>
      </c>
      <c r="M17" s="68">
        <f>Assumptions!L82</f>
        <v>0</v>
      </c>
      <c r="N17" s="68">
        <f>Assumptions!M82</f>
        <v>140</v>
      </c>
      <c r="O17" s="68">
        <f>Assumptions!N82</f>
        <v>0</v>
      </c>
      <c r="P17" s="68"/>
    </row>
    <row r="18" spans="1:16">
      <c r="B18" t="s">
        <v>133</v>
      </c>
      <c r="D18" s="68">
        <f>+Assumptions!C8</f>
        <v>12</v>
      </c>
      <c r="E18" s="68">
        <f>+Assumptions!D8</f>
        <v>14.4</v>
      </c>
      <c r="F18" s="68">
        <f>+Assumptions!E8</f>
        <v>17.28</v>
      </c>
      <c r="G18" s="68">
        <f>+Assumptions!F8</f>
        <v>20.736000000000001</v>
      </c>
      <c r="H18" s="68">
        <f>+Assumptions!G8</f>
        <v>24.883200000000002</v>
      </c>
      <c r="I18" s="68">
        <f>+Assumptions!H8</f>
        <v>29.859840000000002</v>
      </c>
      <c r="J18" s="68">
        <f>+Assumptions!I8</f>
        <v>35.831808000000002</v>
      </c>
      <c r="K18" s="68">
        <f>+Assumptions!J8</f>
        <v>42.998169600000004</v>
      </c>
      <c r="L18" s="68">
        <f>+Assumptions!K8</f>
        <v>51.597803520000006</v>
      </c>
      <c r="M18" s="68">
        <f>+Assumptions!L8</f>
        <v>61.917364224000011</v>
      </c>
      <c r="N18" s="68">
        <f>+Assumptions!M8</f>
        <v>74.300837068800007</v>
      </c>
      <c r="O18" s="68">
        <f>+Assumptions!N8</f>
        <v>89.161004482560003</v>
      </c>
      <c r="P18" s="68"/>
    </row>
    <row r="19" spans="1:16">
      <c r="B19" s="66" t="s">
        <v>134</v>
      </c>
      <c r="C19" s="66"/>
      <c r="D19" s="69">
        <f>+D16+D17-D18</f>
        <v>78</v>
      </c>
      <c r="E19" s="69">
        <f t="shared" ref="E19" si="5">+E16+E17-E18</f>
        <v>63.6</v>
      </c>
      <c r="F19" s="69">
        <f t="shared" ref="F19" si="6">+F16+F17-F18</f>
        <v>136.32</v>
      </c>
      <c r="G19" s="69">
        <f t="shared" ref="G19" si="7">+G16+G17-G18</f>
        <v>115.58399999999999</v>
      </c>
      <c r="H19" s="69">
        <f t="shared" ref="H19" si="8">+H16+H17-H18</f>
        <v>90.700799999999987</v>
      </c>
      <c r="I19" s="69">
        <f t="shared" ref="I19" si="9">+I16+I17-I18</f>
        <v>150.84096</v>
      </c>
      <c r="J19" s="69">
        <f t="shared" ref="J19" si="10">+J16+J17-J18</f>
        <v>115.009152</v>
      </c>
      <c r="K19" s="69">
        <f t="shared" ref="K19" si="11">+K16+K17-K18</f>
        <v>72.010982399999989</v>
      </c>
      <c r="L19" s="69">
        <f t="shared" ref="L19" si="12">+L16+L17-L18</f>
        <v>160.41317887999998</v>
      </c>
      <c r="M19" s="69">
        <f t="shared" ref="M19" si="13">+M16+M17-M18</f>
        <v>98.495814655999965</v>
      </c>
      <c r="N19" s="69">
        <f t="shared" ref="N19" si="14">+N16+N17-N18</f>
        <v>164.19497758719996</v>
      </c>
      <c r="O19" s="69">
        <f t="shared" ref="O19" si="15">+O16+O17-O18</f>
        <v>75.033973104639955</v>
      </c>
      <c r="P19" s="68"/>
    </row>
    <row r="20" spans="1:16">
      <c r="B20" s="70" t="s">
        <v>137</v>
      </c>
      <c r="D20" s="68">
        <f>Assumptions!C77</f>
        <v>35</v>
      </c>
      <c r="E20" s="68">
        <f>D20</f>
        <v>35</v>
      </c>
      <c r="F20" s="68">
        <f t="shared" ref="F20:O20" si="16">E20</f>
        <v>35</v>
      </c>
      <c r="G20" s="68">
        <f t="shared" si="16"/>
        <v>35</v>
      </c>
      <c r="H20" s="68">
        <f t="shared" si="16"/>
        <v>35</v>
      </c>
      <c r="I20" s="68">
        <f t="shared" si="16"/>
        <v>35</v>
      </c>
      <c r="J20" s="68">
        <f t="shared" si="16"/>
        <v>35</v>
      </c>
      <c r="K20" s="68">
        <f t="shared" si="16"/>
        <v>35</v>
      </c>
      <c r="L20" s="68">
        <f t="shared" si="16"/>
        <v>35</v>
      </c>
      <c r="M20" s="68">
        <f t="shared" si="16"/>
        <v>35</v>
      </c>
      <c r="N20" s="68">
        <f t="shared" si="16"/>
        <v>35</v>
      </c>
      <c r="O20" s="68">
        <f t="shared" si="16"/>
        <v>35</v>
      </c>
      <c r="P20" s="68"/>
    </row>
    <row r="21" spans="1:16">
      <c r="B21" s="70" t="s">
        <v>138</v>
      </c>
      <c r="D21" s="68">
        <f>IF(D19&lt;D20,D19-D20,0)</f>
        <v>0</v>
      </c>
      <c r="E21" s="68">
        <f>IF(E19&lt;E20,E19-E20,0)</f>
        <v>0</v>
      </c>
      <c r="F21" s="68">
        <f>IF(F19&lt;F20,F19-F20,0)</f>
        <v>0</v>
      </c>
      <c r="G21" s="68">
        <f t="shared" ref="G21" si="17">IF(G19&lt;G20,G19-G20,0)</f>
        <v>0</v>
      </c>
      <c r="H21" s="68">
        <f t="shared" ref="H21" si="18">IF(H19&lt;H20,H19-H20,0)</f>
        <v>0</v>
      </c>
      <c r="I21" s="68">
        <f t="shared" ref="I21" si="19">IF(I19&lt;I20,I19-I20,0)</f>
        <v>0</v>
      </c>
      <c r="J21" s="68">
        <f t="shared" ref="J21" si="20">IF(J19&lt;J20,J19-J20,0)</f>
        <v>0</v>
      </c>
      <c r="K21" s="68">
        <f t="shared" ref="K21" si="21">IF(K19&lt;K20,K19-K20,0)</f>
        <v>0</v>
      </c>
      <c r="L21" s="68">
        <f t="shared" ref="L21" si="22">IF(L19&lt;L20,L19-L20,0)</f>
        <v>0</v>
      </c>
      <c r="M21" s="68">
        <f t="shared" ref="M21" si="23">IF(M19&lt;M20,M19-M20,0)</f>
        <v>0</v>
      </c>
      <c r="N21" s="68">
        <f t="shared" ref="N21" si="24">IF(N19&lt;N20,N19-N20,0)</f>
        <v>0</v>
      </c>
      <c r="O21" s="68">
        <f t="shared" ref="O21" si="25">IF(O19&lt;O20,O19-O20,0)</f>
        <v>0</v>
      </c>
      <c r="P21" s="68"/>
    </row>
    <row r="24" spans="1:16">
      <c r="A24" s="12" t="s">
        <v>3</v>
      </c>
    </row>
    <row r="25" spans="1:16">
      <c r="B25" t="s">
        <v>131</v>
      </c>
      <c r="D25" s="68">
        <v>0</v>
      </c>
      <c r="E25" s="68">
        <f>+D28</f>
        <v>98</v>
      </c>
      <c r="F25" s="68">
        <f>+E28</f>
        <v>83</v>
      </c>
      <c r="G25" s="68">
        <f>+F28</f>
        <v>174.25</v>
      </c>
      <c r="H25" s="68">
        <f t="shared" ref="H25:O25" si="26">+G28</f>
        <v>150.8125</v>
      </c>
      <c r="I25" s="68">
        <f t="shared" si="26"/>
        <v>121.515625</v>
      </c>
      <c r="J25" s="68">
        <f t="shared" si="26"/>
        <v>194.89453125</v>
      </c>
      <c r="K25" s="68">
        <f t="shared" si="26"/>
        <v>149.1181640625</v>
      </c>
      <c r="L25" s="68">
        <f t="shared" si="26"/>
        <v>91.897705078125</v>
      </c>
      <c r="M25" s="68">
        <f t="shared" si="26"/>
        <v>200.37213134765625</v>
      </c>
      <c r="N25" s="68">
        <f t="shared" si="26"/>
        <v>110.96516418457031</v>
      </c>
      <c r="O25" s="68">
        <f t="shared" si="26"/>
        <v>199.20645523071289</v>
      </c>
      <c r="P25" s="68"/>
    </row>
    <row r="26" spans="1:16">
      <c r="B26" t="s">
        <v>132</v>
      </c>
      <c r="D26" s="68">
        <f>Assumptions!C83</f>
        <v>110</v>
      </c>
      <c r="E26" s="68">
        <f>Assumptions!D83</f>
        <v>0</v>
      </c>
      <c r="F26" s="68">
        <f>Assumptions!E83</f>
        <v>110</v>
      </c>
      <c r="G26" s="68">
        <f>Assumptions!F83</f>
        <v>0</v>
      </c>
      <c r="H26" s="68">
        <f>Assumptions!G83</f>
        <v>0</v>
      </c>
      <c r="I26" s="68">
        <f>Assumptions!H83</f>
        <v>110</v>
      </c>
      <c r="J26" s="68">
        <f>Assumptions!I83</f>
        <v>0</v>
      </c>
      <c r="K26" s="68">
        <f>Assumptions!J83</f>
        <v>0</v>
      </c>
      <c r="L26" s="68">
        <f>Assumptions!K83</f>
        <v>180</v>
      </c>
      <c r="M26" s="68">
        <f>Assumptions!L83</f>
        <v>0</v>
      </c>
      <c r="N26" s="68">
        <f>Assumptions!M83</f>
        <v>200</v>
      </c>
      <c r="O26" s="68">
        <f>Assumptions!N83</f>
        <v>0</v>
      </c>
      <c r="P26" s="68"/>
    </row>
    <row r="27" spans="1:16">
      <c r="B27" t="s">
        <v>133</v>
      </c>
      <c r="D27" s="68">
        <f>+Assumptions!C9</f>
        <v>12</v>
      </c>
      <c r="E27" s="68">
        <f>+Assumptions!D9</f>
        <v>15</v>
      </c>
      <c r="F27" s="68">
        <f>+Assumptions!E9</f>
        <v>18.75</v>
      </c>
      <c r="G27" s="68">
        <f>+Assumptions!F9</f>
        <v>23.4375</v>
      </c>
      <c r="H27" s="68">
        <f>+Assumptions!G9</f>
        <v>29.296875</v>
      </c>
      <c r="I27" s="68">
        <f>+Assumptions!H9</f>
        <v>36.62109375</v>
      </c>
      <c r="J27" s="68">
        <f>+Assumptions!I9</f>
        <v>45.7763671875</v>
      </c>
      <c r="K27" s="68">
        <f>+Assumptions!J9</f>
        <v>57.220458984375</v>
      </c>
      <c r="L27" s="68">
        <f>+Assumptions!K9</f>
        <v>71.52557373046875</v>
      </c>
      <c r="M27" s="68">
        <f>+Assumptions!L9</f>
        <v>89.406967163085938</v>
      </c>
      <c r="N27" s="68">
        <f>+Assumptions!M9</f>
        <v>111.75870895385742</v>
      </c>
      <c r="O27" s="68">
        <f>+Assumptions!N9</f>
        <v>139.69838619232178</v>
      </c>
      <c r="P27" s="68"/>
    </row>
    <row r="28" spans="1:16">
      <c r="B28" s="66" t="s">
        <v>134</v>
      </c>
      <c r="C28" s="66"/>
      <c r="D28" s="69">
        <f>+D25+D26-D27</f>
        <v>98</v>
      </c>
      <c r="E28" s="69">
        <f t="shared" ref="E28" si="27">+E25+E26-E27</f>
        <v>83</v>
      </c>
      <c r="F28" s="69">
        <f t="shared" ref="F28" si="28">+F25+F26-F27</f>
        <v>174.25</v>
      </c>
      <c r="G28" s="69">
        <f t="shared" ref="G28" si="29">+G25+G26-G27</f>
        <v>150.8125</v>
      </c>
      <c r="H28" s="69">
        <f t="shared" ref="H28" si="30">+H25+H26-H27</f>
        <v>121.515625</v>
      </c>
      <c r="I28" s="69">
        <f t="shared" ref="I28" si="31">+I25+I26-I27</f>
        <v>194.89453125</v>
      </c>
      <c r="J28" s="69">
        <f t="shared" ref="J28" si="32">+J25+J26-J27</f>
        <v>149.1181640625</v>
      </c>
      <c r="K28" s="69">
        <f t="shared" ref="K28" si="33">+K25+K26-K27</f>
        <v>91.897705078125</v>
      </c>
      <c r="L28" s="69">
        <f t="shared" ref="L28" si="34">+L25+L26-L27</f>
        <v>200.37213134765625</v>
      </c>
      <c r="M28" s="69">
        <f t="shared" ref="M28" si="35">+M25+M26-M27</f>
        <v>110.96516418457031</v>
      </c>
      <c r="N28" s="69">
        <f t="shared" ref="N28" si="36">+N25+N26-N27</f>
        <v>199.20645523071289</v>
      </c>
      <c r="O28" s="69">
        <f t="shared" ref="O28" si="37">+O25+O26-O27</f>
        <v>59.508069038391113</v>
      </c>
      <c r="P28" s="68"/>
    </row>
    <row r="29" spans="1:16">
      <c r="B29" s="70" t="s">
        <v>137</v>
      </c>
      <c r="D29" s="68">
        <f>Assumptions!C78</f>
        <v>45</v>
      </c>
      <c r="E29" s="68">
        <f>D29</f>
        <v>45</v>
      </c>
      <c r="F29" s="68">
        <f t="shared" ref="F29:O29" si="38">E29</f>
        <v>45</v>
      </c>
      <c r="G29" s="68">
        <f t="shared" si="38"/>
        <v>45</v>
      </c>
      <c r="H29" s="68">
        <f t="shared" si="38"/>
        <v>45</v>
      </c>
      <c r="I29" s="68">
        <f t="shared" si="38"/>
        <v>45</v>
      </c>
      <c r="J29" s="68">
        <f t="shared" si="38"/>
        <v>45</v>
      </c>
      <c r="K29" s="68">
        <f t="shared" si="38"/>
        <v>45</v>
      </c>
      <c r="L29" s="68">
        <f t="shared" si="38"/>
        <v>45</v>
      </c>
      <c r="M29" s="68">
        <f t="shared" si="38"/>
        <v>45</v>
      </c>
      <c r="N29" s="68">
        <f t="shared" si="38"/>
        <v>45</v>
      </c>
      <c r="O29" s="68">
        <f t="shared" si="38"/>
        <v>45</v>
      </c>
      <c r="P29" s="68"/>
    </row>
    <row r="30" spans="1:16">
      <c r="B30" s="70" t="s">
        <v>138</v>
      </c>
      <c r="D30" s="68">
        <f>IF(D28&lt;D29,D28-D29,0)</f>
        <v>0</v>
      </c>
      <c r="E30" s="68">
        <f>IF(E28&lt;E29,E28-E29,0)</f>
        <v>0</v>
      </c>
      <c r="F30" s="68">
        <f>IF(F28&lt;F29,F28-F29,0)</f>
        <v>0</v>
      </c>
      <c r="G30" s="68">
        <f t="shared" ref="G30" si="39">IF(G28&lt;G29,G28-G29,0)</f>
        <v>0</v>
      </c>
      <c r="H30" s="68">
        <f t="shared" ref="H30" si="40">IF(H28&lt;H29,H28-H29,0)</f>
        <v>0</v>
      </c>
      <c r="I30" s="68">
        <f t="shared" ref="I30" si="41">IF(I28&lt;I29,I28-I29,0)</f>
        <v>0</v>
      </c>
      <c r="J30" s="68">
        <f t="shared" ref="J30" si="42">IF(J28&lt;J29,J28-J29,0)</f>
        <v>0</v>
      </c>
      <c r="K30" s="68">
        <f t="shared" ref="K30" si="43">IF(K28&lt;K29,K28-K29,0)</f>
        <v>0</v>
      </c>
      <c r="L30" s="68">
        <f t="shared" ref="L30" si="44">IF(L28&lt;L29,L28-L29,0)</f>
        <v>0</v>
      </c>
      <c r="M30" s="68">
        <f t="shared" ref="M30" si="45">IF(M28&lt;M29,M28-M29,0)</f>
        <v>0</v>
      </c>
      <c r="N30" s="68">
        <f t="shared" ref="N30" si="46">IF(N28&lt;N29,N28-N29,0)</f>
        <v>0</v>
      </c>
      <c r="O30" s="68">
        <f t="shared" ref="O30" si="47">IF(O28&lt;O29,O28-O29,0)</f>
        <v>0</v>
      </c>
      <c r="P30" s="68"/>
    </row>
    <row r="33" spans="1:15">
      <c r="A33" s="1" t="s">
        <v>139</v>
      </c>
    </row>
    <row r="34" spans="1:15">
      <c r="B34" t="s">
        <v>1</v>
      </c>
      <c r="D34" s="13">
        <f>D11*Assumptions!$C$24</f>
        <v>145000</v>
      </c>
      <c r="E34" s="13">
        <f>E11*Assumptions!$C$24</f>
        <v>110500</v>
      </c>
      <c r="F34" s="13">
        <f>F11*Assumptions!$C$24</f>
        <v>245825</v>
      </c>
      <c r="G34" s="13">
        <f>G11*Assumptions!$C$24</f>
        <v>200198.75</v>
      </c>
      <c r="H34" s="13">
        <f>H11*Assumptions!$D$24</f>
        <v>118182.84999999999</v>
      </c>
      <c r="I34" s="13">
        <f>I11*Assumptions!$D$24</f>
        <v>209910.27749999997</v>
      </c>
      <c r="J34" s="13">
        <f>J11*Assumptions!$D$24</f>
        <v>154396.81912499998</v>
      </c>
      <c r="K34" s="13">
        <f>K11*Assumptions!$D$24</f>
        <v>90556.341993749986</v>
      </c>
      <c r="L34" s="13">
        <f>L11*Assumptions!$E$24</f>
        <v>130283.87597568749</v>
      </c>
      <c r="M34" s="13">
        <f>M11*Assumptions!$E$24</f>
        <v>79626.457372040633</v>
      </c>
      <c r="N34" s="13">
        <f>N11*Assumptions!$E$24</f>
        <v>141370.42597784675</v>
      </c>
      <c r="O34" s="13">
        <f>O11*Assumptions!$E$24</f>
        <v>74375.989874523759</v>
      </c>
    </row>
    <row r="35" spans="1:15">
      <c r="B35" t="s">
        <v>2</v>
      </c>
      <c r="D35" s="13">
        <f>D19*Assumptions!$C$25</f>
        <v>156000</v>
      </c>
      <c r="E35" s="13">
        <f>E19*Assumptions!$C$25</f>
        <v>127200</v>
      </c>
      <c r="F35" s="13">
        <f>F19*Assumptions!$C$25</f>
        <v>272640</v>
      </c>
      <c r="G35" s="13">
        <f>G19*Assumptions!$C$25</f>
        <v>231167.99999999997</v>
      </c>
      <c r="H35" s="13">
        <f>H19*Assumptions!$D$25</f>
        <v>136051.19999999998</v>
      </c>
      <c r="I35" s="13">
        <f>I19*Assumptions!$D$25</f>
        <v>226261.44</v>
      </c>
      <c r="J35" s="13">
        <f>J19*Assumptions!$D$25</f>
        <v>172513.728</v>
      </c>
      <c r="K35" s="13">
        <f>K19*Assumptions!$D$25</f>
        <v>108016.47359999998</v>
      </c>
      <c r="L35" s="13">
        <f>L19*Assumptions!$E$25</f>
        <v>160413.17887999996</v>
      </c>
      <c r="M35" s="13">
        <f>M19*Assumptions!$E$25</f>
        <v>98495.814655999959</v>
      </c>
      <c r="N35" s="13">
        <f>N19*Assumptions!$E$25</f>
        <v>164194.97758719994</v>
      </c>
      <c r="O35" s="13">
        <f>O19*Assumptions!$E$25</f>
        <v>75033.973104639954</v>
      </c>
    </row>
    <row r="36" spans="1:15">
      <c r="B36" t="s">
        <v>3</v>
      </c>
      <c r="D36" s="13">
        <f>D28*Assumptions!$C$26</f>
        <v>98000</v>
      </c>
      <c r="E36" s="13">
        <f>E28*Assumptions!$C$26</f>
        <v>83000</v>
      </c>
      <c r="F36" s="13">
        <f>F28*Assumptions!$C$26</f>
        <v>174250</v>
      </c>
      <c r="G36" s="13">
        <f>G28*Assumptions!$C$26</f>
        <v>150812.5</v>
      </c>
      <c r="H36" s="13">
        <f>H28*Assumptions!$D$26</f>
        <v>97212.5</v>
      </c>
      <c r="I36" s="13">
        <f>I28*Assumptions!$D$26</f>
        <v>155915.625</v>
      </c>
      <c r="J36" s="13">
        <f>J28*Assumptions!$D$26</f>
        <v>119294.53125</v>
      </c>
      <c r="K36" s="13">
        <f>K28*Assumptions!$D$26</f>
        <v>73518.1640625</v>
      </c>
      <c r="L36" s="13">
        <f>L28*Assumptions!$E$26</f>
        <v>100186.06567382812</v>
      </c>
      <c r="M36" s="13">
        <f>M28*Assumptions!$E$26</f>
        <v>55482.582092285156</v>
      </c>
      <c r="N36" s="13">
        <f>N28*Assumptions!$E$26</f>
        <v>99603.227615356445</v>
      </c>
      <c r="O36" s="13">
        <f>O28*Assumptions!$E$26</f>
        <v>29754.034519195557</v>
      </c>
    </row>
    <row r="37" spans="1:15" s="1" customFormat="1" ht="15.75" thickBot="1">
      <c r="A37" s="43" t="s">
        <v>139</v>
      </c>
      <c r="B37" s="43"/>
      <c r="C37" s="43"/>
      <c r="D37" s="72">
        <f>SUM(D34:D36)</f>
        <v>399000</v>
      </c>
      <c r="E37" s="72">
        <f t="shared" ref="E37:O37" si="48">SUM(E34:E36)</f>
        <v>320700</v>
      </c>
      <c r="F37" s="72">
        <f t="shared" si="48"/>
        <v>692715</v>
      </c>
      <c r="G37" s="72">
        <f t="shared" si="48"/>
        <v>582179.25</v>
      </c>
      <c r="H37" s="72">
        <f t="shared" si="48"/>
        <v>351446.55</v>
      </c>
      <c r="I37" s="72">
        <f t="shared" si="48"/>
        <v>592087.34250000003</v>
      </c>
      <c r="J37" s="72">
        <f t="shared" si="48"/>
        <v>446205.07837499998</v>
      </c>
      <c r="K37" s="72">
        <f t="shared" si="48"/>
        <v>272090.97965624998</v>
      </c>
      <c r="L37" s="72">
        <f t="shared" si="48"/>
        <v>390883.12052951555</v>
      </c>
      <c r="M37" s="72">
        <f t="shared" si="48"/>
        <v>233604.85412032576</v>
      </c>
      <c r="N37" s="72">
        <f t="shared" si="48"/>
        <v>405168.63118040317</v>
      </c>
      <c r="O37" s="72">
        <f t="shared" si="48"/>
        <v>179163.99749835927</v>
      </c>
    </row>
    <row r="38" spans="1:15" ht="15.75" thickTop="1"/>
  </sheetData>
  <mergeCells count="3">
    <mergeCell ref="D4:G4"/>
    <mergeCell ref="H4:K4"/>
    <mergeCell ref="L4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E34" sqref="E34"/>
    </sheetView>
  </sheetViews>
  <sheetFormatPr defaultRowHeight="15"/>
  <cols>
    <col min="1" max="1" width="23.85546875" bestFit="1" customWidth="1"/>
    <col min="3" max="5" width="13.85546875" customWidth="1"/>
    <col min="6" max="6" width="10.28515625" customWidth="1"/>
    <col min="7" max="11" width="13.7109375" customWidth="1"/>
  </cols>
  <sheetData>
    <row r="1" spans="1:10" ht="21">
      <c r="A1" s="2" t="s">
        <v>0</v>
      </c>
    </row>
    <row r="2" spans="1:10">
      <c r="A2" s="1" t="s">
        <v>141</v>
      </c>
    </row>
    <row r="4" spans="1:10">
      <c r="C4" s="99" t="s">
        <v>143</v>
      </c>
      <c r="D4" s="100"/>
      <c r="E4" s="100"/>
      <c r="F4" s="101"/>
      <c r="G4" s="99" t="s">
        <v>144</v>
      </c>
      <c r="H4" s="100"/>
      <c r="I4" s="100"/>
      <c r="J4" s="101"/>
    </row>
    <row r="5" spans="1:10">
      <c r="C5" s="46" t="s">
        <v>24</v>
      </c>
      <c r="D5" s="75" t="s">
        <v>25</v>
      </c>
      <c r="E5" s="75" t="s">
        <v>26</v>
      </c>
      <c r="F5" s="76" t="s">
        <v>145</v>
      </c>
      <c r="G5" s="46" t="s">
        <v>24</v>
      </c>
      <c r="H5" s="75" t="s">
        <v>25</v>
      </c>
      <c r="I5" s="75" t="s">
        <v>26</v>
      </c>
      <c r="J5" s="76" t="s">
        <v>145</v>
      </c>
    </row>
    <row r="6" spans="1:10">
      <c r="A6" s="1" t="s">
        <v>72</v>
      </c>
      <c r="C6" s="52"/>
      <c r="D6" s="63"/>
      <c r="E6" s="63"/>
      <c r="F6" s="77"/>
      <c r="G6" s="52"/>
      <c r="H6" s="63"/>
      <c r="I6" s="63"/>
      <c r="J6" s="77"/>
    </row>
    <row r="7" spans="1:10">
      <c r="A7" s="12" t="s">
        <v>1</v>
      </c>
      <c r="C7" s="52">
        <f>'P&amp;L'!$G$6*'Variance Analysis'!F7+'P&amp;L'!$G$6</f>
        <v>329562.75</v>
      </c>
      <c r="D7" s="63">
        <f>'P&amp;L'!$L$6*'Variance Analysis'!F7+'P&amp;L'!$L$6</f>
        <v>576407.30951718753</v>
      </c>
      <c r="E7" s="63">
        <f>'P&amp;L'!$Q$6*'Variance Analysis'!F7+'P&amp;L'!$Q$6</f>
        <v>1008139.9868912454</v>
      </c>
      <c r="F7" s="81">
        <f>Assumptions!B105</f>
        <v>0.1</v>
      </c>
      <c r="G7" s="52">
        <f>'P&amp;L'!$G6*'Variance Analysis'!J7+'P&amp;L'!$G6</f>
        <v>269642.25</v>
      </c>
      <c r="H7" s="63">
        <f>'P&amp;L'!$L6*'Variance Analysis'!J7+'P&amp;L'!$L6</f>
        <v>471605.98051406257</v>
      </c>
      <c r="I7" s="63">
        <f>'P&amp;L'!$Q6*'Variance Analysis'!J7+'P&amp;L'!$Q6</f>
        <v>824841.80745647347</v>
      </c>
      <c r="J7" s="81">
        <f>Assumptions!C105</f>
        <v>-0.1</v>
      </c>
    </row>
    <row r="8" spans="1:10">
      <c r="A8" s="12" t="s">
        <v>2</v>
      </c>
      <c r="C8" s="52">
        <f>'P&amp;L'!G7*'Variance Analysis'!F8+'P&amp;L'!G7</f>
        <v>222235.2</v>
      </c>
      <c r="D8" s="63">
        <f>'P&amp;L'!L7*'Variance Analysis'!F8+'P&amp;L'!L7</f>
        <v>460826.91071999999</v>
      </c>
      <c r="E8" s="63">
        <f>'P&amp;L'!Q7*'Variance Analysis'!F8+'P&amp;L'!Q7</f>
        <v>955570.68206899206</v>
      </c>
      <c r="F8" s="81">
        <f>Assumptions!B106</f>
        <v>0.15</v>
      </c>
      <c r="G8" s="52">
        <f>'P&amp;L'!$G7*'Variance Analysis'!J8+'P&amp;L'!$G7</f>
        <v>164260.79999999999</v>
      </c>
      <c r="H8" s="63">
        <f>'P&amp;L'!$L7*'Variance Analysis'!J8+'P&amp;L'!$L7</f>
        <v>340611.19488000002</v>
      </c>
      <c r="I8" s="63">
        <f>'P&amp;L'!$Q7*'Variance Analysis'!J8+'P&amp;L'!$Q7</f>
        <v>706291.37370316812</v>
      </c>
      <c r="J8" s="81">
        <f>Assumptions!C106</f>
        <v>-0.15</v>
      </c>
    </row>
    <row r="9" spans="1:10">
      <c r="A9" s="12" t="s">
        <v>3</v>
      </c>
      <c r="C9" s="52">
        <f>'P&amp;L'!G8*'Variance Analysis'!F9+'P&amp;L'!G8</f>
        <v>124537.5</v>
      </c>
      <c r="D9" s="63">
        <f>'P&amp;L'!L8*'Variance Analysis'!F9+'P&amp;L'!L8</f>
        <v>304046.630859375</v>
      </c>
      <c r="E9" s="63">
        <f>'P&amp;L'!Q8*'Variance Analysis'!F9+'P&amp;L'!Q8</f>
        <v>742301.344871521</v>
      </c>
      <c r="F9" s="81">
        <f>Assumptions!B107</f>
        <v>0.2</v>
      </c>
      <c r="G9" s="52">
        <f>'P&amp;L'!$G8*'Variance Analysis'!J9+'P&amp;L'!$G8</f>
        <v>83025</v>
      </c>
      <c r="H9" s="63">
        <f>'P&amp;L'!$L8*'Variance Analysis'!J9+'P&amp;L'!$L8</f>
        <v>202697.75390625</v>
      </c>
      <c r="I9" s="63">
        <f>'P&amp;L'!$Q8*'Variance Analysis'!J9+'P&amp;L'!$Q8</f>
        <v>494867.56324768066</v>
      </c>
      <c r="J9" s="81">
        <f>Assumptions!C107</f>
        <v>-0.2</v>
      </c>
    </row>
    <row r="10" spans="1:10">
      <c r="A10" s="29" t="s">
        <v>74</v>
      </c>
      <c r="B10" s="29"/>
      <c r="C10" s="82">
        <f>SUM(C7:C9)</f>
        <v>676335.45</v>
      </c>
      <c r="D10" s="83">
        <f>SUM(D7:D9)</f>
        <v>1341280.8510965626</v>
      </c>
      <c r="E10" s="83">
        <f>SUM(E7:E9)</f>
        <v>2706012.0138317584</v>
      </c>
      <c r="F10" s="78"/>
      <c r="G10" s="82">
        <f>SUM(G7:G9)</f>
        <v>516928.05</v>
      </c>
      <c r="H10" s="83">
        <f>SUM(H7:H9)</f>
        <v>1014914.9293003127</v>
      </c>
      <c r="I10" s="83">
        <f>SUM(I7:I9)</f>
        <v>2026000.7444073223</v>
      </c>
      <c r="J10" s="78"/>
    </row>
    <row r="11" spans="1:10">
      <c r="C11" s="52"/>
      <c r="D11" s="63"/>
      <c r="E11" s="63"/>
      <c r="F11" s="77"/>
      <c r="G11" s="52"/>
      <c r="H11" s="63"/>
      <c r="I11" s="63"/>
      <c r="J11" s="77"/>
    </row>
    <row r="12" spans="1:10">
      <c r="A12" s="1" t="s">
        <v>22</v>
      </c>
      <c r="C12" s="52"/>
      <c r="D12" s="63"/>
      <c r="E12" s="63"/>
      <c r="F12" s="77"/>
      <c r="G12" s="52"/>
      <c r="H12" s="63"/>
      <c r="I12" s="63"/>
      <c r="J12" s="77"/>
    </row>
    <row r="13" spans="1:10">
      <c r="A13" s="12" t="s">
        <v>1</v>
      </c>
      <c r="C13" s="52">
        <f>'P&amp;L'!G12*'Variance Analysis'!F13+'P&amp;L'!G12</f>
        <v>164781.375</v>
      </c>
      <c r="D13" s="63">
        <f>'P&amp;L'!L12*'Variance Analysis'!F13+'P&amp;L'!L12</f>
        <v>230562.92380687501</v>
      </c>
      <c r="E13" s="63">
        <f>'P&amp;L'!Q12*'Variance Analysis'!F13+'P&amp;L'!Q12</f>
        <v>241953.5968538989</v>
      </c>
      <c r="F13" s="81">
        <f>Assumptions!B110</f>
        <v>0.1</v>
      </c>
      <c r="G13" s="52">
        <f>'P&amp;L'!$G12*'Variance Analysis'!J13+'P&amp;L'!$G12</f>
        <v>134821.125</v>
      </c>
      <c r="H13" s="63">
        <f>'P&amp;L'!$L12*'Variance Analysis'!J13+'P&amp;L'!$L12</f>
        <v>188642.39220562502</v>
      </c>
      <c r="I13" s="63">
        <f>'P&amp;L'!$Q12*'Variance Analysis'!J13+'P&amp;L'!$Q12</f>
        <v>197962.03378955362</v>
      </c>
      <c r="J13" s="81">
        <f>Assumptions!C110</f>
        <v>-0.1</v>
      </c>
    </row>
    <row r="14" spans="1:10">
      <c r="A14" s="12" t="s">
        <v>2</v>
      </c>
      <c r="C14" s="52">
        <f>'P&amp;L'!G13*'Variance Analysis'!F14+'P&amp;L'!G13</f>
        <v>148156.79999999999</v>
      </c>
      <c r="D14" s="63">
        <f>'P&amp;L'!L13*'Variance Analysis'!F14+'P&amp;L'!L13</f>
        <v>230413.45535999999</v>
      </c>
      <c r="E14" s="63">
        <f>'P&amp;L'!Q13*'Variance Analysis'!F14+'P&amp;L'!Q13</f>
        <v>318523.5606896641</v>
      </c>
      <c r="F14" s="81">
        <f>Assumptions!B111</f>
        <v>0.15</v>
      </c>
      <c r="G14" s="52">
        <f>'P&amp;L'!$G13*'Variance Analysis'!J14+'P&amp;L'!$G13</f>
        <v>109507.2</v>
      </c>
      <c r="H14" s="63">
        <f>'P&amp;L'!$L13*'Variance Analysis'!J14+'P&amp;L'!$L13</f>
        <v>170305.59744000001</v>
      </c>
      <c r="I14" s="63">
        <f>'P&amp;L'!$Q13*'Variance Analysis'!J14+'P&amp;L'!$Q13</f>
        <v>235430.45790105607</v>
      </c>
      <c r="J14" s="81">
        <f>Assumptions!C111</f>
        <v>-0.15</v>
      </c>
    </row>
    <row r="15" spans="1:10">
      <c r="A15" s="12" t="s">
        <v>3</v>
      </c>
      <c r="C15" s="52">
        <f>'P&amp;L'!G14*'Variance Analysis'!F15+'P&amp;L'!G14</f>
        <v>83025</v>
      </c>
      <c r="D15" s="63">
        <f>'P&amp;L'!L14*'Variance Analysis'!F15+'P&amp;L'!L14</f>
        <v>162158.203125</v>
      </c>
      <c r="E15" s="63">
        <f>'P&amp;L'!Q14*'Variance Analysis'!F15+'P&amp;L'!Q14</f>
        <v>247433.78162384033</v>
      </c>
      <c r="F15" s="81">
        <f>Assumptions!B112</f>
        <v>0.2</v>
      </c>
      <c r="G15" s="52">
        <f>'P&amp;L'!$G14*'Variance Analysis'!J15+'P&amp;L'!$G14</f>
        <v>55350</v>
      </c>
      <c r="H15" s="63">
        <f>'P&amp;L'!$L14*'Variance Analysis'!J15+'P&amp;L'!$L14</f>
        <v>108105.46875</v>
      </c>
      <c r="I15" s="63">
        <f>'P&amp;L'!$Q14*'Variance Analysis'!J15+'P&amp;L'!$Q14</f>
        <v>164955.85441589355</v>
      </c>
      <c r="J15" s="81">
        <f>Assumptions!C112</f>
        <v>-0.2</v>
      </c>
    </row>
    <row r="16" spans="1:10">
      <c r="A16" s="29" t="s">
        <v>73</v>
      </c>
      <c r="B16" s="29"/>
      <c r="C16" s="82">
        <f>SUM(C13:C15)</f>
        <v>395963.17499999999</v>
      </c>
      <c r="D16" s="83">
        <f>SUM(D13:D15)</f>
        <v>623134.58229187503</v>
      </c>
      <c r="E16" s="83">
        <f>SUM(E13:E15)</f>
        <v>807910.93916740338</v>
      </c>
      <c r="F16" s="78"/>
      <c r="G16" s="82">
        <f>SUM(G13:G15)</f>
        <v>299678.32500000001</v>
      </c>
      <c r="H16" s="83">
        <f>SUM(H13:H15)</f>
        <v>467053.458395625</v>
      </c>
      <c r="I16" s="83">
        <f>SUM(I13:I15)</f>
        <v>598348.34610650328</v>
      </c>
      <c r="J16" s="78"/>
    </row>
    <row r="17" spans="1:10">
      <c r="C17" s="52"/>
      <c r="D17" s="63"/>
      <c r="E17" s="63"/>
      <c r="F17" s="77"/>
      <c r="G17" s="52"/>
      <c r="H17" s="63"/>
      <c r="I17" s="63"/>
      <c r="J17" s="77"/>
    </row>
    <row r="18" spans="1:10">
      <c r="A18" s="29" t="s">
        <v>75</v>
      </c>
      <c r="B18" s="29"/>
      <c r="C18" s="82">
        <f>C10-C16</f>
        <v>280372.27499999997</v>
      </c>
      <c r="D18" s="83">
        <f>D10-D16</f>
        <v>718146.26880468754</v>
      </c>
      <c r="E18" s="83">
        <f>E10-E16</f>
        <v>1898101.074664355</v>
      </c>
      <c r="F18" s="78"/>
      <c r="G18" s="82">
        <f>G10-G16</f>
        <v>217249.72499999998</v>
      </c>
      <c r="H18" s="83">
        <f>H10-H16</f>
        <v>547861.47090468765</v>
      </c>
      <c r="I18" s="83">
        <f>I10-I16</f>
        <v>1427652.3983008191</v>
      </c>
      <c r="J18" s="78"/>
    </row>
    <row r="19" spans="1:10">
      <c r="A19" s="1" t="s">
        <v>76</v>
      </c>
      <c r="C19" s="87">
        <f>C18/C10</f>
        <v>0.41454617675297073</v>
      </c>
      <c r="D19" s="88">
        <f>D18/D10</f>
        <v>0.53541826696293171</v>
      </c>
      <c r="E19" s="88">
        <f>E18/E10</f>
        <v>0.70143852464890277</v>
      </c>
      <c r="F19" s="77"/>
      <c r="G19" s="87">
        <f>G18/G10</f>
        <v>0.4202707223955055</v>
      </c>
      <c r="H19" s="88">
        <f>H18/H10</f>
        <v>0.53981023934920935</v>
      </c>
      <c r="I19" s="88">
        <f>I18/I10</f>
        <v>0.70466528812577434</v>
      </c>
      <c r="J19" s="77"/>
    </row>
    <row r="20" spans="1:10">
      <c r="C20" s="52"/>
      <c r="D20" s="63"/>
      <c r="E20" s="63"/>
      <c r="F20" s="77"/>
      <c r="G20" s="52"/>
      <c r="H20" s="63"/>
      <c r="I20" s="63"/>
      <c r="J20" s="77"/>
    </row>
    <row r="21" spans="1:10">
      <c r="A21" s="1" t="s">
        <v>77</v>
      </c>
      <c r="C21" s="52"/>
      <c r="D21" s="63"/>
      <c r="E21" s="63"/>
      <c r="F21" s="77"/>
      <c r="G21" s="52"/>
      <c r="H21" s="63"/>
      <c r="I21" s="63"/>
      <c r="J21" s="77"/>
    </row>
    <row r="22" spans="1:10">
      <c r="A22" s="12" t="s">
        <v>28</v>
      </c>
      <c r="C22" s="52">
        <f>'P&amp;L'!G21*'Variance Analysis'!F22+'P&amp;L'!G21</f>
        <v>684475</v>
      </c>
      <c r="D22" s="63">
        <f>'P&amp;L'!L21*'Variance Analysis'!F22+'P&amp;L'!L21</f>
        <v>1029800</v>
      </c>
      <c r="E22" s="63">
        <f>'P&amp;L'!Q21*'Variance Analysis'!F22+'P&amp;L'!Q21</f>
        <v>1398400</v>
      </c>
      <c r="F22" s="81">
        <f>Assumptions!B115</f>
        <v>-0.05</v>
      </c>
      <c r="G22" s="52">
        <f>'P&amp;L'!$G21*'Variance Analysis'!J22+'P&amp;L'!$G21</f>
        <v>756525</v>
      </c>
      <c r="H22" s="63">
        <f>'P&amp;L'!$L21*'Variance Analysis'!J22+'P&amp;L'!$L21</f>
        <v>1138200</v>
      </c>
      <c r="I22" s="63">
        <f>'P&amp;L'!$Q21*'Variance Analysis'!J22+'P&amp;L'!$Q21</f>
        <v>1545600</v>
      </c>
      <c r="J22" s="81">
        <f>Assumptions!C115</f>
        <v>0.05</v>
      </c>
    </row>
    <row r="23" spans="1:10">
      <c r="A23" s="12" t="s">
        <v>27</v>
      </c>
      <c r="C23" s="52">
        <f>'P&amp;L'!G22*'Variance Analysis'!F23+'P&amp;L'!G22</f>
        <v>22061.386875</v>
      </c>
      <c r="D23" s="63">
        <f>'P&amp;L'!L22*'Variance Analysis'!F23+'P&amp;L'!L22</f>
        <v>34205.560730816411</v>
      </c>
      <c r="E23" s="63">
        <f>'P&amp;L'!Q22*'Variance Analysis'!F23+'P&amp;L'!Q22</f>
        <v>49954.670278964164</v>
      </c>
      <c r="F23" s="81">
        <f>Assumptions!B116</f>
        <v>-0.05</v>
      </c>
      <c r="G23" s="52">
        <f>'P&amp;L'!$G22*'Variance Analysis'!J23+'P&amp;L'!$G22</f>
        <v>24383.638125000001</v>
      </c>
      <c r="H23" s="63">
        <f>'P&amp;L'!$L22*'Variance Analysis'!J23+'P&amp;L'!$L22</f>
        <v>37806.146070902345</v>
      </c>
      <c r="I23" s="63">
        <f>'P&amp;L'!$Q22*'Variance Analysis'!J23+'P&amp;L'!$Q22</f>
        <v>55213.05662411829</v>
      </c>
      <c r="J23" s="81">
        <f>Assumptions!C116</f>
        <v>0.05</v>
      </c>
    </row>
    <row r="24" spans="1:10">
      <c r="A24" s="12" t="s">
        <v>45</v>
      </c>
      <c r="C24" s="52">
        <f>'P&amp;L'!G23*'Variance Analysis'!F24+'P&amp;L'!G23</f>
        <v>169516.79999999999</v>
      </c>
      <c r="D24" s="63">
        <f>'P&amp;L'!L23*'Variance Analysis'!F24+'P&amp;L'!L23</f>
        <v>181993.23647999999</v>
      </c>
      <c r="E24" s="63">
        <f>'P&amp;L'!Q23*'Variance Analysis'!F24+'P&amp;L'!Q23</f>
        <v>299082.31453900802</v>
      </c>
      <c r="F24" s="81">
        <f>Assumptions!B117</f>
        <v>-0.1</v>
      </c>
      <c r="G24" s="52">
        <f>'P&amp;L'!$G23*'Variance Analysis'!J24+'P&amp;L'!$G23</f>
        <v>207187.20000000001</v>
      </c>
      <c r="H24" s="63">
        <f>'P&amp;L'!$L23*'Variance Analysis'!J24+'P&amp;L'!$L23</f>
        <v>222436.17792000002</v>
      </c>
      <c r="I24" s="63">
        <f>'P&amp;L'!$Q23*'Variance Analysis'!J24+'P&amp;L'!$Q23</f>
        <v>365545.05110323202</v>
      </c>
      <c r="J24" s="81">
        <f>Assumptions!C117</f>
        <v>0.1</v>
      </c>
    </row>
    <row r="25" spans="1:10">
      <c r="A25" s="12" t="s">
        <v>80</v>
      </c>
      <c r="C25" s="52">
        <f>'P&amp;L'!G24*'Variance Analysis'!F25+'P&amp;L'!G24</f>
        <v>26625</v>
      </c>
      <c r="D25" s="63">
        <f>'P&amp;L'!L24*'Variance Analysis'!F25+'P&amp;L'!L24</f>
        <v>39000</v>
      </c>
      <c r="E25" s="63">
        <f>'P&amp;L'!Q24*'Variance Analysis'!F25+'P&amp;L'!Q24</f>
        <v>48375</v>
      </c>
      <c r="F25" s="81">
        <f>Assumptions!B118</f>
        <v>0</v>
      </c>
      <c r="G25" s="52">
        <f>'P&amp;L'!$G24*'Variance Analysis'!J25+'P&amp;L'!$G24</f>
        <v>26625</v>
      </c>
      <c r="H25" s="63">
        <f>'P&amp;L'!$L24*'Variance Analysis'!J25+'P&amp;L'!$L24</f>
        <v>39000</v>
      </c>
      <c r="I25" s="63">
        <f>'P&amp;L'!$Q24*'Variance Analysis'!J25+'P&amp;L'!$Q24</f>
        <v>48375</v>
      </c>
      <c r="J25" s="81">
        <f>Assumptions!C118</f>
        <v>0</v>
      </c>
    </row>
    <row r="26" spans="1:10">
      <c r="A26" s="30" t="s">
        <v>78</v>
      </c>
      <c r="B26" s="30"/>
      <c r="C26" s="84">
        <f>SUM(C22:C25)</f>
        <v>902678.1868749999</v>
      </c>
      <c r="D26" s="48">
        <f>SUM(D21:D25)</f>
        <v>1284998.7972108163</v>
      </c>
      <c r="E26" s="48">
        <f>SUM(E21:E25)</f>
        <v>1795811.9848179722</v>
      </c>
      <c r="F26" s="79"/>
      <c r="G26" s="84">
        <f>SUM(G22:G25)</f>
        <v>1014720.838125</v>
      </c>
      <c r="H26" s="48">
        <f>SUM(H21:H25)</f>
        <v>1437442.3239909022</v>
      </c>
      <c r="I26" s="48">
        <f>SUM(I21:I25)</f>
        <v>2014733.1077273502</v>
      </c>
      <c r="J26" s="79"/>
    </row>
    <row r="27" spans="1:10">
      <c r="C27" s="52"/>
      <c r="D27" s="63"/>
      <c r="E27" s="63"/>
      <c r="F27" s="77"/>
      <c r="G27" s="52"/>
      <c r="H27" s="63"/>
      <c r="I27" s="63"/>
      <c r="J27" s="77"/>
    </row>
    <row r="28" spans="1:10" ht="15.75" thickBot="1">
      <c r="A28" s="31" t="s">
        <v>79</v>
      </c>
      <c r="B28" s="31"/>
      <c r="C28" s="85">
        <f>C18-C26</f>
        <v>-622305.91187499999</v>
      </c>
      <c r="D28" s="86">
        <f>D18-D26</f>
        <v>-566852.52840612875</v>
      </c>
      <c r="E28" s="86">
        <f>E18-E26</f>
        <v>102289.08984638285</v>
      </c>
      <c r="F28" s="80"/>
      <c r="G28" s="85">
        <f>G18-G26</f>
        <v>-797471.11312500003</v>
      </c>
      <c r="H28" s="86">
        <f>H18-H26</f>
        <v>-889580.85308621451</v>
      </c>
      <c r="I28" s="86">
        <f>I18-I26</f>
        <v>-587080.7094265311</v>
      </c>
      <c r="J28" s="80"/>
    </row>
    <row r="29" spans="1:10" ht="15.75" thickTop="1">
      <c r="C29" s="13"/>
      <c r="D29" s="13"/>
      <c r="E29" s="13"/>
      <c r="G29" s="13"/>
      <c r="H29" s="13"/>
      <c r="I29" s="13"/>
    </row>
  </sheetData>
  <mergeCells count="2">
    <mergeCell ref="C4:F4"/>
    <mergeCell ref="G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Assumptions</vt:lpstr>
      <vt:lpstr>Summary</vt:lpstr>
      <vt:lpstr>P&amp;L</vt:lpstr>
      <vt:lpstr>Bal Sheet</vt:lpstr>
      <vt:lpstr>Cash Flow</vt:lpstr>
      <vt:lpstr>Inventory</vt:lpstr>
      <vt:lpstr>Variance Analysis</vt:lpstr>
      <vt:lpstr>PriceWidgetA</vt:lpstr>
      <vt:lpstr>PriceWidgetB</vt:lpstr>
      <vt:lpstr>PriceWidgetC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Benjamin</dc:creator>
  <cp:lastModifiedBy>Admin</cp:lastModifiedBy>
  <dcterms:created xsi:type="dcterms:W3CDTF">2013-12-17T00:15:43Z</dcterms:created>
  <dcterms:modified xsi:type="dcterms:W3CDTF">2019-08-04T14:14:49Z</dcterms:modified>
</cp:coreProperties>
</file>