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athens\Public Share\Mike &amp; Sarah\Program Response Analysis\"/>
    </mc:Choice>
  </mc:AlternateContent>
  <xr:revisionPtr revIDLastSave="0" documentId="13_ncr:1_{6589A4A2-0F75-48AA-ACA1-9988C62A2E40}" xr6:coauthVersionLast="47" xr6:coauthVersionMax="47" xr10:uidLastSave="{00000000-0000-0000-0000-000000000000}"/>
  <bookViews>
    <workbookView xWindow="-120" yWindow="-120" windowWidth="29040" windowHeight="15720" xr2:uid="{4E06D342-0687-49AD-9C5D-886744165F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1" l="1"/>
  <c r="F62" i="1"/>
  <c r="N68" i="1"/>
  <c r="N67" i="1"/>
  <c r="N66" i="1"/>
  <c r="N64" i="1"/>
  <c r="N62" i="1"/>
  <c r="N60" i="1"/>
  <c r="N58" i="1"/>
  <c r="N55" i="1"/>
  <c r="N53" i="1"/>
  <c r="N50" i="1"/>
  <c r="N48" i="1"/>
  <c r="N46" i="1"/>
  <c r="N44" i="1"/>
  <c r="N43" i="1"/>
  <c r="N42" i="1"/>
  <c r="N40" i="1"/>
  <c r="N39" i="1"/>
  <c r="N38" i="1"/>
  <c r="N36" i="1"/>
  <c r="N34" i="1"/>
  <c r="F24" i="1"/>
  <c r="F23" i="1"/>
  <c r="F22" i="1"/>
  <c r="F20" i="1"/>
  <c r="F19" i="1"/>
  <c r="F15" i="1"/>
  <c r="F13" i="1"/>
  <c r="F12" i="1"/>
  <c r="F11" i="1"/>
  <c r="F10" i="1"/>
  <c r="F7" i="1"/>
  <c r="F5" i="1"/>
  <c r="F4" i="1"/>
  <c r="F3" i="1"/>
  <c r="I48" i="1" l="1"/>
  <c r="I59" i="1"/>
  <c r="I67" i="1"/>
  <c r="I66" i="1"/>
  <c r="I64" i="1"/>
  <c r="G68" i="1"/>
  <c r="F68" i="1"/>
  <c r="G67" i="1"/>
  <c r="F67" i="1"/>
  <c r="G64" i="1"/>
  <c r="F64" i="1"/>
  <c r="F60" i="1"/>
  <c r="G60" i="1"/>
  <c r="G58" i="1"/>
  <c r="F58" i="1"/>
  <c r="G55" i="1"/>
  <c r="F55" i="1"/>
  <c r="I49" i="1"/>
  <c r="I53" i="1"/>
  <c r="G53" i="1"/>
  <c r="F53" i="1"/>
  <c r="G50" i="1"/>
  <c r="F50" i="1"/>
  <c r="F48" i="1"/>
  <c r="G48" i="1"/>
  <c r="G46" i="1"/>
  <c r="F46" i="1"/>
  <c r="G44" i="1"/>
  <c r="F44" i="1"/>
  <c r="G43" i="1"/>
  <c r="F43" i="1"/>
  <c r="F42" i="1"/>
  <c r="G42" i="1"/>
  <c r="G40" i="1"/>
  <c r="F40" i="1"/>
  <c r="L39" i="1"/>
  <c r="L35" i="1"/>
  <c r="G39" i="1"/>
  <c r="F39" i="1"/>
  <c r="G38" i="1"/>
  <c r="F38" i="1"/>
  <c r="G36" i="1"/>
  <c r="F36" i="1"/>
  <c r="G35" i="1"/>
  <c r="F35" i="1"/>
  <c r="G34" i="1" l="1"/>
  <c r="F34" i="1"/>
  <c r="F33" i="1"/>
  <c r="G33" i="1"/>
  <c r="G31" i="1"/>
  <c r="F31" i="1"/>
  <c r="G30" i="1"/>
  <c r="F30" i="1"/>
  <c r="G29" i="1"/>
  <c r="F29" i="1"/>
  <c r="F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Sarah Kester</author>
    <author>Michael Fletcher</author>
  </authors>
  <commentList>
    <comment ref="F3" authorId="0" shapeId="0" xr:uid="{540019FA-A7BF-4B4C-9D32-DD92EA2B528A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Print- 59
PDF- 10</t>
        </r>
      </text>
    </comment>
    <comment ref="G3" authorId="1" shapeId="0" xr:uid="{D4FD631D-E6B9-4336-A3AB-1A914E649B8D}">
      <text>
        <r>
          <rPr>
            <b/>
            <sz val="9"/>
            <color indexed="81"/>
            <rFont val="Tahoma"/>
            <family val="2"/>
          </rPr>
          <t>Michael Fletcher:</t>
        </r>
        <r>
          <rPr>
            <sz val="9"/>
            <color indexed="81"/>
            <rFont val="Tahoma"/>
            <family val="2"/>
          </rPr>
          <t xml:space="preserve">
CD - 61
DVD - 77
MP3 - 7
MP4- 8
USB - 10</t>
        </r>
      </text>
    </comment>
    <comment ref="F4" authorId="0" shapeId="0" xr:uid="{6A364C3D-2B2E-4985-96E9-0E071E303CAA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Print- 45
PDF- 6</t>
        </r>
      </text>
    </comment>
    <comment ref="G4" authorId="1" shapeId="0" xr:uid="{6389BCD8-7FAB-4C07-9515-C09AFA366C34}">
      <text>
        <r>
          <rPr>
            <b/>
            <sz val="9"/>
            <color indexed="81"/>
            <rFont val="Tahoma"/>
            <family val="2"/>
          </rPr>
          <t>Michael Fletcher:</t>
        </r>
        <r>
          <rPr>
            <sz val="9"/>
            <color indexed="81"/>
            <rFont val="Tahoma"/>
            <family val="2"/>
          </rPr>
          <t xml:space="preserve">
CD - 48
DVD - 44
MP3 - 7
MP4 - 5
USB - 5</t>
        </r>
      </text>
    </comment>
    <comment ref="F5" authorId="0" shapeId="0" xr:uid="{A6DC86E2-F930-4973-A08E-10074167C276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Print- 77
PDF- 10</t>
        </r>
      </text>
    </comment>
    <comment ref="G5" authorId="1" shapeId="0" xr:uid="{739C0448-315E-40B9-8538-ABCF58CF756C}">
      <text>
        <r>
          <rPr>
            <b/>
            <sz val="9"/>
            <color indexed="81"/>
            <rFont val="Tahoma"/>
            <family val="2"/>
          </rPr>
          <t>Michael Fletcher:</t>
        </r>
        <r>
          <rPr>
            <sz val="9"/>
            <color indexed="81"/>
            <rFont val="Tahoma"/>
            <family val="2"/>
          </rPr>
          <t xml:space="preserve">
CD - 67
DVD - 71
MP3 - 4
MP4 - 8
USB - 8
</t>
        </r>
      </text>
    </comment>
    <comment ref="F7" authorId="0" shapeId="0" xr:uid="{1858B9D0-2E94-4549-9098-67EA15AAC3B6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Print- 57
PDF- 8</t>
        </r>
      </text>
    </comment>
    <comment ref="G7" authorId="1" shapeId="0" xr:uid="{BBF3C042-28B3-4090-AC26-FBF151AF03DA}">
      <text>
        <r>
          <rPr>
            <b/>
            <sz val="9"/>
            <color indexed="81"/>
            <rFont val="Tahoma"/>
            <family val="2"/>
          </rPr>
          <t>Michael Fletcher:</t>
        </r>
        <r>
          <rPr>
            <sz val="9"/>
            <color indexed="81"/>
            <rFont val="Tahoma"/>
            <family val="2"/>
          </rPr>
          <t xml:space="preserve">
CD - 68
DVD - 69
MP3 - 11
MP4 - 10
USB - 11</t>
        </r>
      </text>
    </comment>
    <comment ref="F10" authorId="0" shapeId="0" xr:uid="{E6A243DA-1D2B-4931-BB4D-DB3FF15874B3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Print-53
PDF- 8</t>
        </r>
      </text>
    </comment>
    <comment ref="G10" authorId="1" shapeId="0" xr:uid="{7F6EA756-4EF1-469B-8612-DC67C73024FF}">
      <text>
        <r>
          <rPr>
            <b/>
            <sz val="9"/>
            <color indexed="81"/>
            <rFont val="Tahoma"/>
            <family val="2"/>
          </rPr>
          <t>Michael Fletcher:</t>
        </r>
        <r>
          <rPr>
            <sz val="9"/>
            <color indexed="81"/>
            <rFont val="Tahoma"/>
            <family val="2"/>
          </rPr>
          <t xml:space="preserve">
CD - 55
DVD - 70
MP3 - 13
MP4 - 5
USB - 10</t>
        </r>
      </text>
    </comment>
    <comment ref="F11" authorId="0" shapeId="0" xr:uid="{A0181047-409F-4B53-AA21-6998FED91F08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Print- 37
PDF- 4</t>
        </r>
      </text>
    </comment>
    <comment ref="G11" authorId="1" shapeId="0" xr:uid="{877105C4-28B1-4F92-A606-60E3439FD166}">
      <text>
        <r>
          <rPr>
            <b/>
            <sz val="9"/>
            <color indexed="81"/>
            <rFont val="Tahoma"/>
            <family val="2"/>
          </rPr>
          <t>Michael Fletcher:</t>
        </r>
        <r>
          <rPr>
            <sz val="9"/>
            <color indexed="81"/>
            <rFont val="Tahoma"/>
            <family val="2"/>
          </rPr>
          <t xml:space="preserve">
CD - 32
DVD - 34
MP3 - 7
MP4 - 4
USB - 5</t>
        </r>
      </text>
    </comment>
    <comment ref="F12" authorId="0" shapeId="0" xr:uid="{85F5DB9A-FACD-45BC-BC9D-879D7E8DAC78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Print- 46
PDF- 5</t>
        </r>
      </text>
    </comment>
    <comment ref="G12" authorId="1" shapeId="0" xr:uid="{5C1611F1-E222-4EEC-BD14-40B4DB550A57}">
      <text>
        <r>
          <rPr>
            <b/>
            <sz val="9"/>
            <color indexed="81"/>
            <rFont val="Tahoma"/>
            <family val="2"/>
          </rPr>
          <t>Michael Fletcher:</t>
        </r>
        <r>
          <rPr>
            <sz val="9"/>
            <color indexed="81"/>
            <rFont val="Tahoma"/>
            <family val="2"/>
          </rPr>
          <t xml:space="preserve">
CD - 41
DVD - 54
MP3 - 3
MP4 - 4
USB - 7</t>
        </r>
      </text>
    </comment>
    <comment ref="F13" authorId="0" shapeId="0" xr:uid="{862AC6C6-8E50-44CB-80B3-74B60AB3F1CB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Print- 176
PDF- 27</t>
        </r>
      </text>
    </comment>
    <comment ref="G13" authorId="1" shapeId="0" xr:uid="{9143ECF9-5974-4E73-AB6D-2F3FE2E5C993}">
      <text>
        <r>
          <rPr>
            <b/>
            <sz val="9"/>
            <color indexed="81"/>
            <rFont val="Tahoma"/>
            <family val="2"/>
          </rPr>
          <t>Michael Fletcher:</t>
        </r>
        <r>
          <rPr>
            <sz val="9"/>
            <color indexed="81"/>
            <rFont val="Tahoma"/>
            <family val="2"/>
          </rPr>
          <t xml:space="preserve">
CD - 172
DVD - 188
MP3 - 19
MP4 - 11
USB - 22</t>
        </r>
      </text>
    </comment>
    <comment ref="F15" authorId="0" shapeId="0" xr:uid="{E9C01D41-C1D4-43CD-9A5A-BB13FC8F7D0F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Print- 22
PDF- 5</t>
        </r>
      </text>
    </comment>
    <comment ref="G15" authorId="1" shapeId="0" xr:uid="{2513DD37-4A47-41E7-9FA1-6644773605F3}">
      <text>
        <r>
          <rPr>
            <b/>
            <sz val="9"/>
            <color indexed="81"/>
            <rFont val="Tahoma"/>
            <family val="2"/>
          </rPr>
          <t>Michael Fletcher:</t>
        </r>
        <r>
          <rPr>
            <sz val="9"/>
            <color indexed="81"/>
            <rFont val="Tahoma"/>
            <family val="2"/>
          </rPr>
          <t xml:space="preserve">
CD - 17
DVD - 23
MP3 - 2
MP4 - 3
USB - 6</t>
        </r>
      </text>
    </comment>
    <comment ref="F19" authorId="0" shapeId="0" xr:uid="{5A9AB32E-C1C8-4FE8-8268-6BFB1A586B50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Print- 52
PDF- 5</t>
        </r>
      </text>
    </comment>
    <comment ref="G19" authorId="1" shapeId="0" xr:uid="{5B822BAB-B0D4-4680-B9BE-F6F9E763753A}">
      <text>
        <r>
          <rPr>
            <b/>
            <sz val="9"/>
            <color indexed="81"/>
            <rFont val="Tahoma"/>
            <family val="2"/>
          </rPr>
          <t>Michael Fletcher:</t>
        </r>
        <r>
          <rPr>
            <sz val="9"/>
            <color indexed="81"/>
            <rFont val="Tahoma"/>
            <family val="2"/>
          </rPr>
          <t xml:space="preserve">
CD - 58
DVD - 45
MP3 - 7
MP4 - 4
USB - 6</t>
        </r>
      </text>
    </comment>
    <comment ref="F20" authorId="0" shapeId="0" xr:uid="{C0226233-67A5-4250-82E8-EA603A20D99F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Print- 97
PDF- 15</t>
        </r>
      </text>
    </comment>
    <comment ref="G20" authorId="1" shapeId="0" xr:uid="{6BBF26D4-ED23-4362-A40F-3066C2A20D38}">
      <text>
        <r>
          <rPr>
            <b/>
            <sz val="9"/>
            <color indexed="81"/>
            <rFont val="Tahoma"/>
            <family val="2"/>
          </rPr>
          <t>Michael Fletcher:</t>
        </r>
        <r>
          <rPr>
            <sz val="9"/>
            <color indexed="81"/>
            <rFont val="Tahoma"/>
            <family val="2"/>
          </rPr>
          <t xml:space="preserve">
CD - 67
DVD - 154
MP3 - 10
MP4 - 15
USB - 10</t>
        </r>
      </text>
    </comment>
    <comment ref="F22" authorId="0" shapeId="0" xr:uid="{E14E5EFF-C480-4F6E-8F74-4B157E7C998C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Print- 29
PDF- 10</t>
        </r>
      </text>
    </comment>
    <comment ref="G22" authorId="1" shapeId="0" xr:uid="{E2704625-6513-4AE2-8833-2B0791E896E8}">
      <text>
        <r>
          <rPr>
            <b/>
            <sz val="9"/>
            <color indexed="81"/>
            <rFont val="Tahoma"/>
            <family val="2"/>
          </rPr>
          <t>Michael Fletcher:</t>
        </r>
        <r>
          <rPr>
            <sz val="9"/>
            <color indexed="81"/>
            <rFont val="Tahoma"/>
            <family val="2"/>
          </rPr>
          <t xml:space="preserve">
CD - 32
DVD - 33
MP3 - 3
MP4 - 4
USB - 1
</t>
        </r>
      </text>
    </comment>
    <comment ref="F23" authorId="0" shapeId="0" xr:uid="{888EA0B1-886A-47DF-82CE-525D09AAF6D1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Print- 88
PDF- 6</t>
        </r>
      </text>
    </comment>
    <comment ref="G23" authorId="1" shapeId="0" xr:uid="{7A3E8440-B987-4DC5-A29D-D7E76D6B09EC}">
      <text>
        <r>
          <rPr>
            <b/>
            <sz val="9"/>
            <color indexed="81"/>
            <rFont val="Tahoma"/>
            <family val="2"/>
          </rPr>
          <t>Michael Fletcher:</t>
        </r>
        <r>
          <rPr>
            <sz val="9"/>
            <color indexed="81"/>
            <rFont val="Tahoma"/>
            <family val="2"/>
          </rPr>
          <t xml:space="preserve">
CD - 35
DVD - 62
MP3 - 7
MP4 - 0
USB - 5</t>
        </r>
      </text>
    </comment>
    <comment ref="F24" authorId="0" shapeId="0" xr:uid="{F3B063F9-7CD0-4F2D-A2B7-7C46AF2D2FE6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Print- 39
PDF- 5</t>
        </r>
      </text>
    </comment>
    <comment ref="G24" authorId="1" shapeId="0" xr:uid="{01749FE6-A7B7-40DA-B466-9F8463605437}">
      <text>
        <r>
          <rPr>
            <b/>
            <sz val="9"/>
            <color indexed="81"/>
            <rFont val="Tahoma"/>
            <family val="2"/>
          </rPr>
          <t>Michael Fletcher:</t>
        </r>
        <r>
          <rPr>
            <sz val="9"/>
            <color indexed="81"/>
            <rFont val="Tahoma"/>
            <family val="2"/>
          </rPr>
          <t xml:space="preserve">
CD- 64
DVD- 77
MP3- 5
MP4- 7
USB- 9</t>
        </r>
      </text>
    </comment>
    <comment ref="F28" authorId="0" shapeId="0" xr:uid="{6CAB67FC-D806-4013-A1A8-B295F685FB1E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Print- 43
PDF- 9
</t>
        </r>
      </text>
    </comment>
    <comment ref="G28" authorId="1" shapeId="0" xr:uid="{8153385E-C80A-422D-90AA-0EF3EFF22306}">
      <text>
        <r>
          <rPr>
            <b/>
            <sz val="9"/>
            <color indexed="81"/>
            <rFont val="Tahoma"/>
            <family val="2"/>
          </rPr>
          <t>Michael Fletcher:</t>
        </r>
        <r>
          <rPr>
            <sz val="9"/>
            <color indexed="81"/>
            <rFont val="Tahoma"/>
            <family val="2"/>
          </rPr>
          <t xml:space="preserve">
CD- 64
DVD- 61
MP3- 8
MP4- 6
USB- 7</t>
        </r>
      </text>
    </comment>
    <comment ref="H28" authorId="1" shapeId="0" xr:uid="{2FE74D83-D7D3-41EB-AF55-0F8A296A7F79}">
      <text>
        <r>
          <rPr>
            <b/>
            <sz val="9"/>
            <color indexed="81"/>
            <rFont val="Tahoma"/>
            <family val="2"/>
          </rPr>
          <t>Michael Fletcher:</t>
        </r>
        <r>
          <rPr>
            <sz val="9"/>
            <color indexed="81"/>
            <rFont val="Tahoma"/>
            <family val="2"/>
          </rPr>
          <t xml:space="preserve">
-Who Stole Cinderella?
-Redeemed from Shame
-Do You Know What Time it is?
-The Gift of Forgiveness</t>
        </r>
      </text>
    </comment>
    <comment ref="F29" authorId="0" shapeId="0" xr:uid="{FFCE2A61-A2C2-4429-B869-EC8BF1319746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Print- 21 
PDF- 4</t>
        </r>
      </text>
    </comment>
    <comment ref="G29" authorId="0" shapeId="0" xr:uid="{BFCEB2EB-FD5F-4E1B-99CA-2C6DC840B01B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CD- 21
DVD- 26
MP3- 3
MP4- 4
USB- 3</t>
        </r>
      </text>
    </comment>
    <comment ref="F30" authorId="0" shapeId="0" xr:uid="{29C7DB27-EA66-42CD-92F3-1DADA2801E96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Print- 80
PDF - 10
</t>
        </r>
      </text>
    </comment>
    <comment ref="G30" authorId="0" shapeId="0" xr:uid="{D2CB8065-39A8-4361-B1F3-4DC8156FD939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DVD- 77
CD- 55
MP3- 6
MP4- 4
USB- 8</t>
        </r>
      </text>
    </comment>
    <comment ref="F31" authorId="0" shapeId="0" xr:uid="{B028829A-9C4F-48D7-9F59-40152E85A145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Print- 45
PDF- 6</t>
        </r>
      </text>
    </comment>
    <comment ref="G31" authorId="0" shapeId="0" xr:uid="{861C9069-CC86-4B14-A889-91CBCCAE01B5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DVD- 53
CD- 35
MP3- 4
MP4- 7
USB- 8
</t>
        </r>
      </text>
    </comment>
    <comment ref="F33" authorId="0" shapeId="0" xr:uid="{66F536EE-F6B5-4FD0-A929-E92A40E6ED6D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Print- 42
PDF- 6
</t>
        </r>
      </text>
    </comment>
    <comment ref="G33" authorId="0" shapeId="0" xr:uid="{AEE83B30-538B-4966-BCF3-6C8FF89BBE2B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DVD- 51
CD- 48
MP3- 7
MP4- 3
USB- 4</t>
        </r>
      </text>
    </comment>
    <comment ref="F34" authorId="0" shapeId="0" xr:uid="{1F571AFC-D92F-4FFC-A847-C9773B99AF7B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Print- 56
PDF- 5</t>
        </r>
      </text>
    </comment>
    <comment ref="G34" authorId="0" shapeId="0" xr:uid="{CA5D769A-0C0E-427E-9DE7-4C1363AAD009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DVD- 36
CD- 38
MP3- 2
MP4- 7
USB- 7</t>
        </r>
      </text>
    </comment>
    <comment ref="F35" authorId="0" shapeId="0" xr:uid="{D4C54425-2AAC-402D-86B6-682DCAB8F51D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Print- 51
PDF- 7</t>
        </r>
      </text>
    </comment>
    <comment ref="G35" authorId="0" shapeId="0" xr:uid="{12A2BFB4-E0DE-4B53-B081-2D93737D23C5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DVD- 85
CD- 72
MP4- 7
MP3- 4
USB- 4</t>
        </r>
      </text>
    </comment>
    <comment ref="L35" authorId="0" shapeId="0" xr:uid="{DB11D761-592A-479C-AC78-2F1663865E6C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Print- 621
PDF- 136</t>
        </r>
      </text>
    </comment>
    <comment ref="F36" authorId="0" shapeId="0" xr:uid="{7F36F946-5002-41D8-913F-1927E0B8B5AC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Print- 12
PDF- 2</t>
        </r>
      </text>
    </comment>
    <comment ref="G36" authorId="0" shapeId="0" xr:uid="{6E3C6066-08C8-4120-A764-59D02F7FA2EC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DVD- 16
CD- 15
MP4- 2
MP3- 4
USB- 4</t>
        </r>
      </text>
    </comment>
    <comment ref="F38" authorId="0" shapeId="0" xr:uid="{04AC555D-5BD6-46B1-A7BB-EE4BD037DBDB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Print- 36
PDF- 1</t>
        </r>
      </text>
    </comment>
    <comment ref="G38" authorId="0" shapeId="0" xr:uid="{3CE61D77-2218-4C40-9FDF-D93FC9F310B8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DVD- 33
CD- 20
MP4- 2
MP3- 3
USB- 8</t>
        </r>
      </text>
    </comment>
    <comment ref="F39" authorId="0" shapeId="0" xr:uid="{641CC630-0495-40BA-A577-CA5C73ED6F07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Print- 60
PDF- 3</t>
        </r>
      </text>
    </comment>
    <comment ref="G39" authorId="0" shapeId="0" xr:uid="{331C0864-CAED-4B3B-AE7F-90BE5ECD0ED8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DVD- 65
CD- 20
MP4- 5
MP3- 0
USB- 3</t>
        </r>
      </text>
    </comment>
    <comment ref="L39" authorId="0" shapeId="0" xr:uid="{A3A6248A-3D7A-4A19-8289-4F4EC8CC217E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B046-FREE- 959
PC005-FREE- 2</t>
        </r>
      </text>
    </comment>
    <comment ref="F40" authorId="0" shapeId="0" xr:uid="{49E2EE2A-699C-4119-B8EF-24E9DCEB05C3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Print- 9
PDF- 3</t>
        </r>
      </text>
    </comment>
    <comment ref="G40" authorId="0" shapeId="0" xr:uid="{80A736D4-89D1-49A4-A993-571D6F5BB3FA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DVD- 10
CD- 12
MP4- 0
MP3- 2
USB- 3</t>
        </r>
      </text>
    </comment>
    <comment ref="F42" authorId="0" shapeId="0" xr:uid="{D9ADADFC-4427-4F5D-BE07-9699BA88AED3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Print- 155
PDF- 15</t>
        </r>
      </text>
    </comment>
    <comment ref="G42" authorId="0" shapeId="0" xr:uid="{6C0C6765-1B1F-4E6F-9278-F53C8C70F136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DVD- 128
CD- 143
MP4- 18
MP3- 6
USB- 15</t>
        </r>
      </text>
    </comment>
    <comment ref="F43" authorId="0" shapeId="0" xr:uid="{7BAEF9BD-5B0D-4118-AED9-55435B999ED2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Print- 117
PDF- 9</t>
        </r>
      </text>
    </comment>
    <comment ref="G43" authorId="0" shapeId="0" xr:uid="{926A9F87-75D3-4DCF-9912-85C8D1229FF9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DVD- 110
CD- 76
MP4- 7
MP3- 5
USB- 14</t>
        </r>
      </text>
    </comment>
    <comment ref="F44" authorId="0" shapeId="0" xr:uid="{AD29930A-1440-461B-8A0F-9CA86DEE1CB2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Print- 54
PDF- 5</t>
        </r>
      </text>
    </comment>
    <comment ref="G44" authorId="0" shapeId="0" xr:uid="{2EB3E0F7-2CAA-4EE2-8631-51E73B64EF49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DVD- 50 
CD- 25
MP4- 2
MP3- 3
USB- 5</t>
        </r>
      </text>
    </comment>
    <comment ref="F46" authorId="0" shapeId="0" xr:uid="{41EE738E-72A3-4B7B-9048-29AFE164EA1E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Print- 78
PDF- 8</t>
        </r>
      </text>
    </comment>
    <comment ref="G46" authorId="0" shapeId="0" xr:uid="{E1EEB937-87CD-430E-8465-6F4F10CA5DA3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DVD- 93
CD- 57
MP4- 6
MP3- 9
USB- 12</t>
        </r>
      </text>
    </comment>
    <comment ref="F48" authorId="0" shapeId="0" xr:uid="{218A3CE6-7A0B-464C-9FFA-FBC6BCE71C1F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Print- 27
PDF- 1</t>
        </r>
      </text>
    </comment>
    <comment ref="G48" authorId="0" shapeId="0" xr:uid="{60D0273D-B27F-4135-9CD7-1C642B0D8E6F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DVD- 27
CD- 32
MP4- 3
MP3- 2
USB- 5</t>
        </r>
      </text>
    </comment>
    <comment ref="I49" authorId="0" shapeId="0" xr:uid="{40C9E26E-8107-41FB-9783-B3C893F8354C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DVD- 9
CD- 7
</t>
        </r>
      </text>
    </comment>
    <comment ref="F50" authorId="0" shapeId="0" xr:uid="{2A96F175-94CA-4465-B6B9-C3B4545E7ADF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Print- 71
PDF- 5</t>
        </r>
      </text>
    </comment>
    <comment ref="G50" authorId="0" shapeId="0" xr:uid="{9D86EF3E-2BAB-4449-8746-8574D8320221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DVD- 64
CD- 55
MP4- 5
MP3- 7
USB- 8</t>
        </r>
      </text>
    </comment>
    <comment ref="F53" authorId="0" shapeId="0" xr:uid="{8488F300-362C-48F8-9BDB-D96CEF9A8366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Print- 35
PDF- 6</t>
        </r>
      </text>
    </comment>
    <comment ref="G53" authorId="0" shapeId="0" xr:uid="{45B2B7E8-00A2-4DC1-BFBA-A4C081BA9CDB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DVD- 32 
CD- 38
MP4- 4
MP3- 4
USB- 8</t>
        </r>
      </text>
    </comment>
    <comment ref="I53" authorId="0" shapeId="0" xr:uid="{E383218E-8D47-4028-B01C-A0E6164985FE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HB- 3 @ 20.00
PB- 135 @ 15.00
</t>
        </r>
      </text>
    </comment>
    <comment ref="F55" authorId="0" shapeId="0" xr:uid="{66D6D741-246E-4E2D-9A1C-28D33A271523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Print- 40
PDF- 4</t>
        </r>
      </text>
    </comment>
    <comment ref="G55" authorId="0" shapeId="0" xr:uid="{5A4F34B6-4174-4BBC-8B02-63F88AE893D3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DVD- 35
CD- 22
MP4- 6
MP3- 6
USB- 3</t>
        </r>
      </text>
    </comment>
    <comment ref="F58" authorId="0" shapeId="0" xr:uid="{C19CE6FA-7433-41EF-8755-47B6AF1F05A9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Print- 60
PDF- 6
</t>
        </r>
      </text>
    </comment>
    <comment ref="G58" authorId="0" shapeId="0" xr:uid="{5885B263-9AC2-4854-9D99-F08716CC2C94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DVD- 47
CD- 34
MP4- 5
MP3- 5
USB- 1</t>
        </r>
      </text>
    </comment>
    <comment ref="F60" authorId="0" shapeId="0" xr:uid="{EF95B4D0-2DFE-4FA7-98C7-B4594880D806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Print- 17
PDF- 2</t>
        </r>
      </text>
    </comment>
    <comment ref="G60" authorId="0" shapeId="0" xr:uid="{7402BCD4-5582-4745-BCF4-FDB5153BFD3C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DVD- 26
CD- 27
MP4- 3
MP3- 2
USB- 1</t>
        </r>
      </text>
    </comment>
    <comment ref="D62" authorId="0" shapeId="0" xr:uid="{48174504-0CDC-4ED9-A9CB-C115EE58818D}">
      <text>
        <r>
          <rPr>
            <b/>
            <sz val="9"/>
            <color indexed="81"/>
            <rFont val="Tahoma"/>
            <charset val="1"/>
          </rPr>
          <t>Sarah Kester:</t>
        </r>
        <r>
          <rPr>
            <sz val="9"/>
            <color indexed="81"/>
            <rFont val="Tahoma"/>
            <charset val="1"/>
          </rPr>
          <t xml:space="preserve">
Teaching offered was How To Keep Your Head on Straight in a World Gone Crazy </t>
        </r>
      </text>
    </comment>
    <comment ref="F62" authorId="0" shapeId="0" xr:uid="{AC8BE4CF-F5CB-4450-B4DF-3E0D97574992}">
      <text>
        <r>
          <rPr>
            <b/>
            <sz val="9"/>
            <color indexed="81"/>
            <rFont val="Tahoma"/>
            <charset val="1"/>
          </rPr>
          <t>Sarah Kester:</t>
        </r>
        <r>
          <rPr>
            <sz val="9"/>
            <color indexed="81"/>
            <rFont val="Tahoma"/>
            <charset val="1"/>
          </rPr>
          <t xml:space="preserve">
Print- 31
PDF- 4</t>
        </r>
      </text>
    </comment>
    <comment ref="G62" authorId="0" shapeId="0" xr:uid="{C0EEFC84-D80D-458D-9F0C-8EB5DF4AEE99}">
      <text>
        <r>
          <rPr>
            <b/>
            <sz val="9"/>
            <color indexed="81"/>
            <rFont val="Tahoma"/>
            <charset val="1"/>
          </rPr>
          <t>Sarah Kester:</t>
        </r>
        <r>
          <rPr>
            <sz val="9"/>
            <color indexed="81"/>
            <rFont val="Tahoma"/>
            <charset val="1"/>
          </rPr>
          <t xml:space="preserve">
DVD- 29
CD- 29
MP4- 3
MP3- 0
USB- 3</t>
        </r>
      </text>
    </comment>
    <comment ref="F64" authorId="0" shapeId="0" xr:uid="{A0CADD49-823F-4590-AFCE-D405AF9ACDB6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Print- 29
PDF- 2</t>
        </r>
      </text>
    </comment>
    <comment ref="G64" authorId="0" shapeId="0" xr:uid="{9CB1820F-C383-464A-A224-76E382EAB709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DVD- 20
CD- 9
MP4- 5
MP3- 2
USB- 4</t>
        </r>
      </text>
    </comment>
    <comment ref="F67" authorId="0" shapeId="0" xr:uid="{13C874BA-34A5-488E-943D-6F32DAF1F124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Print- 206
PDF- 34</t>
        </r>
      </text>
    </comment>
    <comment ref="G67" authorId="0" shapeId="0" xr:uid="{3B097CAF-296D-4943-B260-C17EED4DB3D5}">
      <text>
        <r>
          <rPr>
            <b/>
            <sz val="9"/>
            <color indexed="81"/>
            <rFont val="Tahoma"/>
            <family val="2"/>
          </rPr>
          <t>Sarah Kester:</t>
        </r>
        <r>
          <rPr>
            <sz val="9"/>
            <color indexed="81"/>
            <rFont val="Tahoma"/>
            <family val="2"/>
          </rPr>
          <t xml:space="preserve">
DVD- 357
CD- 100
MP4- 48
MP3- 23
USB- 36</t>
        </r>
      </text>
    </comment>
  </commentList>
</comments>
</file>

<file path=xl/sharedStrings.xml><?xml version="1.0" encoding="utf-8"?>
<sst xmlns="http://schemas.openxmlformats.org/spreadsheetml/2006/main" count="370" uniqueCount="198">
  <si>
    <t>Broadcast Week</t>
  </si>
  <si>
    <t>Air Date</t>
  </si>
  <si>
    <t># of Programs</t>
  </si>
  <si>
    <t>Program Name</t>
  </si>
  <si>
    <t>SG Downloaded</t>
  </si>
  <si>
    <t>SG Sold</t>
  </si>
  <si>
    <t>Series Sold</t>
  </si>
  <si>
    <t>Product Offer</t>
  </si>
  <si>
    <t>Sold</t>
  </si>
  <si>
    <t>Price</t>
  </si>
  <si>
    <t>Free Resource Offered</t>
  </si>
  <si>
    <t>Total Given Away</t>
  </si>
  <si>
    <t>Ministry Stand up</t>
  </si>
  <si>
    <t>January</t>
  </si>
  <si>
    <t>Week 1</t>
  </si>
  <si>
    <t>Signs You'll See Just Before Jesus Comes</t>
  </si>
  <si>
    <t>Last Days Survival Guide</t>
  </si>
  <si>
    <t>A Life Ablaze</t>
  </si>
  <si>
    <t>February</t>
  </si>
  <si>
    <t>March</t>
  </si>
  <si>
    <t>Week 10</t>
  </si>
  <si>
    <t>Week 11</t>
  </si>
  <si>
    <t>Paid in Full</t>
  </si>
  <si>
    <t>April</t>
  </si>
  <si>
    <t>May</t>
  </si>
  <si>
    <t>Week 19</t>
  </si>
  <si>
    <t>School of Cinderella</t>
  </si>
  <si>
    <t>The Holy Spirit and You</t>
  </si>
  <si>
    <t>June</t>
  </si>
  <si>
    <t>Week 24</t>
  </si>
  <si>
    <t>Week 25</t>
  </si>
  <si>
    <t>The Point of No Return</t>
  </si>
  <si>
    <t>Week 26</t>
  </si>
  <si>
    <t>July</t>
  </si>
  <si>
    <t>Week 27</t>
  </si>
  <si>
    <t>August</t>
  </si>
  <si>
    <t>September</t>
  </si>
  <si>
    <t>October</t>
  </si>
  <si>
    <t>Week 47</t>
  </si>
  <si>
    <t>Week 48</t>
  </si>
  <si>
    <t>Jan 3-7</t>
  </si>
  <si>
    <t>Week 2</t>
  </si>
  <si>
    <t>Jan 10-14</t>
  </si>
  <si>
    <t>Jan 17-21</t>
  </si>
  <si>
    <t>Jan 24-28</t>
  </si>
  <si>
    <t>Week 3</t>
  </si>
  <si>
    <t>Week 4</t>
  </si>
  <si>
    <t>Jan 31 - Feb 4</t>
  </si>
  <si>
    <t>Feb 7-11</t>
  </si>
  <si>
    <t>Feb 14-18</t>
  </si>
  <si>
    <t>Week 5</t>
  </si>
  <si>
    <t>Week 6</t>
  </si>
  <si>
    <t>Week 7</t>
  </si>
  <si>
    <t>Week 8</t>
  </si>
  <si>
    <t>Week 9</t>
  </si>
  <si>
    <t>Feb 21-25</t>
  </si>
  <si>
    <t>Feb 28 - Mar 4</t>
  </si>
  <si>
    <t>Mar 14-18</t>
  </si>
  <si>
    <t>Mar 7-11</t>
  </si>
  <si>
    <t>Apr 4-8</t>
  </si>
  <si>
    <t>Week 18</t>
  </si>
  <si>
    <t>Apr 25-29</t>
  </si>
  <si>
    <t>May 2-6</t>
  </si>
  <si>
    <t>May 9-13</t>
  </si>
  <si>
    <t>Week 20</t>
  </si>
  <si>
    <t>Week 21</t>
  </si>
  <si>
    <t>May 16-20</t>
  </si>
  <si>
    <t>May 23-27</t>
  </si>
  <si>
    <t>Week 22</t>
  </si>
  <si>
    <t>Week 23</t>
  </si>
  <si>
    <t>May 30 - Jun 3</t>
  </si>
  <si>
    <t>Jun 6-10</t>
  </si>
  <si>
    <t>Jun 13-17</t>
  </si>
  <si>
    <t>Jun 20-24</t>
  </si>
  <si>
    <t>Jun 27 - Jul 1</t>
  </si>
  <si>
    <t>Jul 4 -8</t>
  </si>
  <si>
    <t>Jul 25-29</t>
  </si>
  <si>
    <t>How to Determine What God Gives and Never Gives</t>
  </si>
  <si>
    <t>Real Faith vs Fake Faith</t>
  </si>
  <si>
    <t>Taming the Tongue and Discerning the Real Source of Revelation</t>
  </si>
  <si>
    <t>Partnering with the Holy Spirit and Planning for Tomorrow and the Future</t>
  </si>
  <si>
    <t>Getting the Basics Right</t>
  </si>
  <si>
    <t>The Tragic Mistake of Moral Surrender</t>
  </si>
  <si>
    <t>Why Christians Get Sick and How They Can Become Healthy Again</t>
  </si>
  <si>
    <t>Emergency Situation</t>
  </si>
  <si>
    <t>Recalculating</t>
  </si>
  <si>
    <t>The Coming of the Anti-Christ</t>
  </si>
  <si>
    <t>Mar 21- Apr 1</t>
  </si>
  <si>
    <t>Week 12-13</t>
  </si>
  <si>
    <t>How to Open the Window of Heaven Over Your Life</t>
  </si>
  <si>
    <t>Unknown Facts</t>
  </si>
  <si>
    <t>Apr 11-22</t>
  </si>
  <si>
    <t>Encountering God's Powerful Presence in Worship</t>
  </si>
  <si>
    <t>Update: Emergency Situation</t>
  </si>
  <si>
    <t>You Are God's Restoration Project</t>
  </si>
  <si>
    <t>Earnestly Contending for the Faith</t>
  </si>
  <si>
    <t>The Apostate Church</t>
  </si>
  <si>
    <t>Mockers in the Last Days</t>
  </si>
  <si>
    <t>How to Build Up Your Most Holy Faith</t>
  </si>
  <si>
    <t>How to Intercede for People Who Are In Trouble</t>
  </si>
  <si>
    <t>The Baptism in the Holy Spirit</t>
  </si>
  <si>
    <t>John's Vision of the Exalted Christ</t>
  </si>
  <si>
    <t>Christ's Message to Ephesus</t>
  </si>
  <si>
    <t>Christ's Message to Smyrna</t>
  </si>
  <si>
    <t>Jul 11-22</t>
  </si>
  <si>
    <t>Week 31</t>
  </si>
  <si>
    <t>Week 32</t>
  </si>
  <si>
    <t>How to Keep Your Head on Straight in a World Gone Crazy</t>
  </si>
  <si>
    <t>Dream Thieves</t>
  </si>
  <si>
    <t xml:space="preserve">Testing the Supernatural </t>
  </si>
  <si>
    <t>The Grace of Healing (Bob Yandian)</t>
  </si>
  <si>
    <t>Bodily Healing and the Atonement (McCrossan &amp; Hagin)</t>
  </si>
  <si>
    <t>The Will of God, The Key To Your Success</t>
  </si>
  <si>
    <t>Worship Without Limits (Philip Renner)</t>
  </si>
  <si>
    <t>Denise 4-Book Bundle</t>
  </si>
  <si>
    <t>The Gift of Forgiveness</t>
  </si>
  <si>
    <t>Who Stole Cinderella</t>
  </si>
  <si>
    <t>A Light in Darkness</t>
  </si>
  <si>
    <t>Incoming Calls</t>
  </si>
  <si>
    <t>1245/1253</t>
  </si>
  <si>
    <t>1003/994</t>
  </si>
  <si>
    <t>n/a</t>
  </si>
  <si>
    <t>Partnering With Jesus and Working With God</t>
  </si>
  <si>
    <t>Life in the Combat Zone</t>
  </si>
  <si>
    <t>Week 14</t>
  </si>
  <si>
    <t>Week 15-16</t>
  </si>
  <si>
    <t>Week 17</t>
  </si>
  <si>
    <t>Week 28-29</t>
  </si>
  <si>
    <t>Week 30</t>
  </si>
  <si>
    <t>Week 33-34</t>
  </si>
  <si>
    <t>Week 35</t>
  </si>
  <si>
    <t>Week 36</t>
  </si>
  <si>
    <t>Week 37-39</t>
  </si>
  <si>
    <t>Week 40-41</t>
  </si>
  <si>
    <t>Week 42-43</t>
  </si>
  <si>
    <t>November</t>
  </si>
  <si>
    <t>December</t>
  </si>
  <si>
    <t>Week 44</t>
  </si>
  <si>
    <t>Week 45</t>
  </si>
  <si>
    <t>Week 46</t>
  </si>
  <si>
    <t>Week 49-51</t>
  </si>
  <si>
    <t>Week 52</t>
  </si>
  <si>
    <t>Aug 1-5</t>
  </si>
  <si>
    <t>Aug 8-12</t>
  </si>
  <si>
    <t>Aug 15-26</t>
  </si>
  <si>
    <t>Aug 29 - Sep 2</t>
  </si>
  <si>
    <t>Sep 5-9</t>
  </si>
  <si>
    <t>Sep 12-30</t>
  </si>
  <si>
    <t>Oct 3-14</t>
  </si>
  <si>
    <t>Oct 17-28</t>
  </si>
  <si>
    <t>Nov 7-11</t>
  </si>
  <si>
    <t>Nov 14-18</t>
  </si>
  <si>
    <t>Nov 21-25</t>
  </si>
  <si>
    <t>Nov 28 - Dec 2</t>
  </si>
  <si>
    <t>Oct 31 - Nov 4</t>
  </si>
  <si>
    <t>Dec 5-23</t>
  </si>
  <si>
    <t>Dec 26-30</t>
  </si>
  <si>
    <t>Different Kinds of Prayer</t>
  </si>
  <si>
    <t>Insights on Communion</t>
  </si>
  <si>
    <t>Christ's Message to Pergamum</t>
  </si>
  <si>
    <t>These Signs Shall Follow Them That Believe</t>
  </si>
  <si>
    <t>Unstoppable</t>
  </si>
  <si>
    <t>Chosen By God</t>
  </si>
  <si>
    <t>Dressed to Kill</t>
  </si>
  <si>
    <t>Resisting Evil</t>
  </si>
  <si>
    <t>Rick Renner Answers You Difficult Question</t>
  </si>
  <si>
    <t>Most Popular Programs (repeat from various series)</t>
  </si>
  <si>
    <t>Christmas: The Rest of the Story</t>
  </si>
  <si>
    <t>Decisions</t>
  </si>
  <si>
    <t>Prayers that Avail Much</t>
  </si>
  <si>
    <t>Redeemed From Shame</t>
  </si>
  <si>
    <t>No Room for Compromise</t>
  </si>
  <si>
    <t>Resisting the Enemy (2-CD Series)</t>
  </si>
  <si>
    <t>Spiritual Weapons to Defeat the Enemy</t>
  </si>
  <si>
    <t>$6/$12</t>
  </si>
  <si>
    <t>30% off for ALL</t>
  </si>
  <si>
    <t>$35/Cyber Sale 30% off for ALL</t>
  </si>
  <si>
    <t>$15/Cyber Sale 30% off for ALL</t>
  </si>
  <si>
    <t>Expansion Project</t>
  </si>
  <si>
    <t>Helping the Elderly</t>
  </si>
  <si>
    <t>Children with Disabilities</t>
  </si>
  <si>
    <t>Expansion Project/Changing Lives</t>
  </si>
  <si>
    <t>Helping the Addicted</t>
  </si>
  <si>
    <t>Expansion Project/Summer Meetings</t>
  </si>
  <si>
    <t>Summer Meetings</t>
  </si>
  <si>
    <t>Homeless People/Summer Meetings</t>
  </si>
  <si>
    <t>Helping People/ Summer Meetings/ Outreaches Overview</t>
  </si>
  <si>
    <t>House of Mercy/Expansion Project</t>
  </si>
  <si>
    <t>Infilling of the Holy Spirit SG</t>
  </si>
  <si>
    <t>Repentance</t>
  </si>
  <si>
    <t>How to Receive Answers from Heaven</t>
  </si>
  <si>
    <t>Unstoppable Bundle</t>
  </si>
  <si>
    <t>DVD: $36.00
CD: $31.00</t>
  </si>
  <si>
    <t>$35/$17.50</t>
  </si>
  <si>
    <t>$35/30% off for ALL</t>
  </si>
  <si>
    <t>Beware of Deceptive Times</t>
  </si>
  <si>
    <t>How to Keep Your Head On Straight in a World Gone Crazy</t>
  </si>
  <si>
    <t>Keeping Your Thinking Straight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</si>
</sst>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entury Gothic"/>
      <family val="2"/>
    </font>
    <font>
      <sz val="12"/>
      <color rgb="FF000000"/>
      <name val="Calibri"/>
      <family val="2"/>
      <scheme val="minor"/>
    </font>
    <font>
      <sz val="12"/>
      <color rgb="FF0F1111"/>
      <name val="Calibri"/>
      <family val="2"/>
      <scheme val="minor"/>
    </font>
    <font>
      <sz val="11"/>
      <color rgb="FF000000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6" fontId="3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8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3" fillId="0" borderId="0" xfId="1" applyFont="1" applyAlignment="1">
      <alignment horizontal="center" vertical="center"/>
    </xf>
    <xf numFmtId="44" fontId="3" fillId="2" borderId="0" xfId="1" applyFont="1" applyFill="1" applyAlignment="1">
      <alignment horizontal="center"/>
    </xf>
    <xf numFmtId="44" fontId="3" fillId="3" borderId="0" xfId="1" applyFont="1" applyFill="1" applyAlignment="1">
      <alignment horizontal="center" vertical="center"/>
    </xf>
    <xf numFmtId="44" fontId="3" fillId="0" borderId="0" xfId="1" applyFont="1" applyAlignment="1">
      <alignment horizontal="center" vertical="center" wrapText="1"/>
    </xf>
    <xf numFmtId="44" fontId="5" fillId="0" borderId="0" xfId="1" applyFont="1" applyAlignment="1">
      <alignment horizontal="center" vertical="center"/>
    </xf>
    <xf numFmtId="44" fontId="3" fillId="3" borderId="0" xfId="1" applyFont="1" applyFill="1"/>
    <xf numFmtId="44" fontId="9" fillId="0" borderId="0" xfId="1" applyFont="1" applyAlignment="1">
      <alignment horizontal="center" vertical="center"/>
    </xf>
    <xf numFmtId="44" fontId="3" fillId="4" borderId="0" xfId="1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4" fontId="3" fillId="0" borderId="0" xfId="1" applyFont="1" applyFill="1" applyAlignment="1">
      <alignment horizontal="center" vertical="center" wrapText="1"/>
    </xf>
    <xf numFmtId="44" fontId="9" fillId="0" borderId="0" xfId="1" applyFont="1" applyFill="1" applyAlignment="1">
      <alignment horizontal="center" vertical="center" wrapText="1"/>
    </xf>
    <xf numFmtId="44" fontId="8" fillId="0" borderId="0" xfId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3FF16-AB21-42B8-91E0-543045E7A43F}">
  <dimension ref="A1:O74"/>
  <sheetViews>
    <sheetView tabSelected="1" zoomScaleNormal="100" workbookViewId="0">
      <pane ySplit="1" topLeftCell="A56" activePane="bottomLeft" state="frozen"/>
      <selection pane="bottomLeft" activeCell="F64" sqref="F64"/>
    </sheetView>
  </sheetViews>
  <sheetFormatPr defaultRowHeight="15" x14ac:dyDescent="0.25"/>
  <cols>
    <col min="1" max="1" width="12.5703125" bestFit="1" customWidth="1"/>
    <col min="2" max="2" width="15" bestFit="1" customWidth="1"/>
    <col min="3" max="3" width="7.5703125" bestFit="1" customWidth="1"/>
    <col min="4" max="4" width="23.7109375" bestFit="1" customWidth="1"/>
    <col min="5" max="5" width="13.42578125" customWidth="1"/>
    <col min="6" max="6" width="8.42578125" bestFit="1" customWidth="1"/>
    <col min="7" max="7" width="6.7109375" bestFit="1" customWidth="1"/>
    <col min="8" max="8" width="22.85546875" bestFit="1" customWidth="1"/>
    <col min="9" max="9" width="7.28515625" style="50" customWidth="1"/>
    <col min="10" max="10" width="14.140625" customWidth="1"/>
    <col min="11" max="11" width="16.140625" bestFit="1" customWidth="1"/>
    <col min="12" max="12" width="6.7109375" bestFit="1" customWidth="1"/>
    <col min="13" max="13" width="18.85546875" bestFit="1" customWidth="1"/>
    <col min="14" max="14" width="10.7109375" customWidth="1"/>
    <col min="15" max="15" width="9.140625" customWidth="1"/>
  </cols>
  <sheetData>
    <row r="1" spans="1:14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118</v>
      </c>
    </row>
    <row r="2" spans="1:14" ht="15.75" x14ac:dyDescent="0.25">
      <c r="A2" s="2" t="s">
        <v>13</v>
      </c>
      <c r="B2" s="2"/>
      <c r="C2" s="2"/>
      <c r="D2" s="2"/>
      <c r="E2" s="2"/>
      <c r="F2" s="2"/>
      <c r="G2" s="2"/>
      <c r="H2" s="3"/>
      <c r="I2" s="2"/>
      <c r="J2" s="2"/>
      <c r="K2" s="2"/>
      <c r="L2" s="2"/>
      <c r="M2" s="2"/>
      <c r="N2" s="2"/>
    </row>
    <row r="3" spans="1:14" ht="47.25" x14ac:dyDescent="0.25">
      <c r="A3" s="4" t="s">
        <v>14</v>
      </c>
      <c r="B3" s="5" t="s">
        <v>40</v>
      </c>
      <c r="C3" s="5">
        <v>5</v>
      </c>
      <c r="D3" s="4" t="s">
        <v>77</v>
      </c>
      <c r="E3" s="4">
        <v>723</v>
      </c>
      <c r="F3" s="4">
        <f>59+10</f>
        <v>69</v>
      </c>
      <c r="G3" s="4">
        <v>163</v>
      </c>
      <c r="H3" s="4" t="s">
        <v>17</v>
      </c>
      <c r="I3" s="4">
        <v>76</v>
      </c>
      <c r="J3" s="42">
        <v>18</v>
      </c>
      <c r="K3" s="4" t="s">
        <v>121</v>
      </c>
      <c r="L3" s="4" t="s">
        <v>121</v>
      </c>
      <c r="M3" s="4" t="s">
        <v>178</v>
      </c>
      <c r="N3" s="50">
        <v>1318</v>
      </c>
    </row>
    <row r="4" spans="1:14" ht="47.25" x14ac:dyDescent="0.25">
      <c r="A4" s="4" t="s">
        <v>41</v>
      </c>
      <c r="B4" s="5" t="s">
        <v>42</v>
      </c>
      <c r="C4" s="5">
        <v>5</v>
      </c>
      <c r="D4" s="4" t="s">
        <v>197</v>
      </c>
      <c r="E4" s="4">
        <v>658</v>
      </c>
      <c r="F4" s="4">
        <f>45+6</f>
        <v>51</v>
      </c>
      <c r="G4" s="4">
        <v>104</v>
      </c>
      <c r="H4" s="4" t="s">
        <v>107</v>
      </c>
      <c r="I4" s="4">
        <v>60</v>
      </c>
      <c r="J4" s="42">
        <v>20</v>
      </c>
      <c r="K4" s="4" t="s">
        <v>121</v>
      </c>
      <c r="L4" s="4" t="s">
        <v>121</v>
      </c>
      <c r="M4" s="4" t="s">
        <v>178</v>
      </c>
      <c r="N4" s="50">
        <v>1111</v>
      </c>
    </row>
    <row r="5" spans="1:14" ht="15.75" x14ac:dyDescent="0.25">
      <c r="A5" s="4" t="s">
        <v>45</v>
      </c>
      <c r="B5" s="5" t="s">
        <v>43</v>
      </c>
      <c r="C5" s="5">
        <v>5</v>
      </c>
      <c r="D5" s="4" t="s">
        <v>78</v>
      </c>
      <c r="E5" s="4">
        <v>757</v>
      </c>
      <c r="F5" s="4">
        <f>77+10</f>
        <v>87</v>
      </c>
      <c r="G5" s="4">
        <v>158</v>
      </c>
      <c r="H5" s="4" t="s">
        <v>31</v>
      </c>
      <c r="I5" s="4">
        <v>39</v>
      </c>
      <c r="J5" s="42">
        <v>15</v>
      </c>
      <c r="K5" s="4" t="s">
        <v>121</v>
      </c>
      <c r="L5" s="4" t="s">
        <v>121</v>
      </c>
      <c r="M5" s="4" t="s">
        <v>178</v>
      </c>
      <c r="N5" s="50">
        <v>1671</v>
      </c>
    </row>
    <row r="6" spans="1:14" ht="15.75" x14ac:dyDescent="0.25">
      <c r="A6" s="4"/>
      <c r="B6" s="5"/>
      <c r="C6" s="5"/>
      <c r="D6" s="4"/>
      <c r="E6" s="4"/>
      <c r="F6" s="4"/>
      <c r="G6" s="4"/>
      <c r="H6" s="4" t="s">
        <v>108</v>
      </c>
      <c r="I6" s="4">
        <v>93</v>
      </c>
      <c r="J6" s="42">
        <v>15</v>
      </c>
      <c r="K6" s="4" t="s">
        <v>121</v>
      </c>
      <c r="L6" s="4" t="s">
        <v>121</v>
      </c>
      <c r="M6" s="4"/>
      <c r="N6" s="50"/>
    </row>
    <row r="7" spans="1:14" ht="47.25" x14ac:dyDescent="0.25">
      <c r="A7" s="4" t="s">
        <v>46</v>
      </c>
      <c r="B7" s="5" t="s">
        <v>44</v>
      </c>
      <c r="C7" s="5">
        <v>5</v>
      </c>
      <c r="D7" s="4" t="s">
        <v>79</v>
      </c>
      <c r="E7" s="4">
        <v>670</v>
      </c>
      <c r="F7" s="4">
        <f>57+8</f>
        <v>65</v>
      </c>
      <c r="G7" s="4">
        <v>169</v>
      </c>
      <c r="H7" s="4" t="s">
        <v>107</v>
      </c>
      <c r="I7" s="4">
        <v>48</v>
      </c>
      <c r="J7" s="42">
        <v>20</v>
      </c>
      <c r="K7" s="4" t="s">
        <v>121</v>
      </c>
      <c r="L7" s="4" t="s">
        <v>121</v>
      </c>
      <c r="M7" s="4" t="s">
        <v>178</v>
      </c>
      <c r="N7" s="50">
        <v>1288</v>
      </c>
    </row>
    <row r="8" spans="1:14" ht="31.5" x14ac:dyDescent="0.25">
      <c r="A8" s="4"/>
      <c r="B8" s="5"/>
      <c r="C8" s="5"/>
      <c r="D8" s="4"/>
      <c r="E8" s="4"/>
      <c r="F8" s="4"/>
      <c r="G8" s="4"/>
      <c r="H8" s="4" t="s">
        <v>109</v>
      </c>
      <c r="I8" s="4">
        <v>130</v>
      </c>
      <c r="J8" s="42">
        <v>13</v>
      </c>
      <c r="K8" s="4" t="s">
        <v>121</v>
      </c>
      <c r="L8" s="4" t="s">
        <v>121</v>
      </c>
      <c r="M8" s="4"/>
      <c r="N8" s="50"/>
    </row>
    <row r="9" spans="1:14" ht="15.75" x14ac:dyDescent="0.25">
      <c r="A9" s="2" t="s">
        <v>18</v>
      </c>
      <c r="B9" s="7"/>
      <c r="C9" s="8"/>
      <c r="D9" s="3"/>
      <c r="E9" s="3"/>
      <c r="F9" s="3"/>
      <c r="G9" s="3"/>
      <c r="H9" s="9"/>
      <c r="I9" s="3"/>
      <c r="J9" s="43"/>
      <c r="K9" s="8"/>
      <c r="L9" s="8"/>
      <c r="M9" s="8"/>
      <c r="N9" s="2"/>
    </row>
    <row r="10" spans="1:14" ht="63" x14ac:dyDescent="0.25">
      <c r="A10" s="4" t="s">
        <v>50</v>
      </c>
      <c r="B10" s="5" t="s">
        <v>47</v>
      </c>
      <c r="C10" s="5">
        <v>5</v>
      </c>
      <c r="D10" s="4" t="s">
        <v>80</v>
      </c>
      <c r="E10" s="4">
        <v>670</v>
      </c>
      <c r="F10" s="4">
        <f>53+8</f>
        <v>61</v>
      </c>
      <c r="G10" s="4">
        <v>153</v>
      </c>
      <c r="H10" s="4" t="s">
        <v>27</v>
      </c>
      <c r="I10" s="4">
        <v>154</v>
      </c>
      <c r="J10" s="42">
        <v>15</v>
      </c>
      <c r="K10" s="4" t="s">
        <v>121</v>
      </c>
      <c r="L10" s="4" t="s">
        <v>121</v>
      </c>
      <c r="M10" s="4" t="s">
        <v>178</v>
      </c>
      <c r="N10" s="50">
        <v>1078</v>
      </c>
    </row>
    <row r="11" spans="1:14" ht="31.5" x14ac:dyDescent="0.25">
      <c r="A11" s="4" t="s">
        <v>51</v>
      </c>
      <c r="B11" s="5" t="s">
        <v>48</v>
      </c>
      <c r="C11" s="5">
        <v>5</v>
      </c>
      <c r="D11" s="4" t="s">
        <v>81</v>
      </c>
      <c r="E11" s="4">
        <v>633</v>
      </c>
      <c r="F11" s="4">
        <f>37+4</f>
        <v>41</v>
      </c>
      <c r="G11" s="4">
        <v>82</v>
      </c>
      <c r="H11" s="4" t="s">
        <v>15</v>
      </c>
      <c r="I11" s="4">
        <v>171</v>
      </c>
      <c r="J11" s="42">
        <v>15</v>
      </c>
      <c r="K11" s="4" t="s">
        <v>121</v>
      </c>
      <c r="L11" s="4" t="s">
        <v>121</v>
      </c>
      <c r="M11" s="4" t="s">
        <v>178</v>
      </c>
      <c r="N11" s="50">
        <v>1253</v>
      </c>
    </row>
    <row r="12" spans="1:14" ht="31.5" x14ac:dyDescent="0.25">
      <c r="A12" s="4" t="s">
        <v>52</v>
      </c>
      <c r="B12" s="5" t="s">
        <v>49</v>
      </c>
      <c r="C12" s="5">
        <v>5</v>
      </c>
      <c r="D12" s="4" t="s">
        <v>82</v>
      </c>
      <c r="E12" s="4">
        <v>597</v>
      </c>
      <c r="F12" s="4">
        <f>46+5</f>
        <v>51</v>
      </c>
      <c r="G12" s="4">
        <v>109</v>
      </c>
      <c r="H12" s="4" t="s">
        <v>16</v>
      </c>
      <c r="I12" s="4">
        <v>105</v>
      </c>
      <c r="J12" s="42">
        <v>25</v>
      </c>
      <c r="K12" s="4" t="s">
        <v>121</v>
      </c>
      <c r="L12" s="4" t="s">
        <v>121</v>
      </c>
      <c r="M12" s="4" t="s">
        <v>178</v>
      </c>
      <c r="N12" s="50">
        <v>1154</v>
      </c>
    </row>
    <row r="13" spans="1:14" ht="47.25" x14ac:dyDescent="0.25">
      <c r="A13" s="4" t="s">
        <v>53</v>
      </c>
      <c r="B13" s="5" t="s">
        <v>55</v>
      </c>
      <c r="C13" s="5">
        <v>5</v>
      </c>
      <c r="D13" s="4" t="s">
        <v>83</v>
      </c>
      <c r="E13" s="4">
        <v>822</v>
      </c>
      <c r="F13" s="4">
        <f>176+27</f>
        <v>203</v>
      </c>
      <c r="G13" s="4">
        <v>412</v>
      </c>
      <c r="H13" s="4" t="s">
        <v>110</v>
      </c>
      <c r="I13" s="4">
        <v>462</v>
      </c>
      <c r="J13" s="42">
        <v>13</v>
      </c>
      <c r="K13" s="4" t="s">
        <v>121</v>
      </c>
      <c r="L13" s="4" t="s">
        <v>121</v>
      </c>
      <c r="M13" s="4" t="s">
        <v>178</v>
      </c>
      <c r="N13" s="50">
        <v>1241</v>
      </c>
    </row>
    <row r="14" spans="1:14" ht="47.25" x14ac:dyDescent="0.25">
      <c r="A14" s="4"/>
      <c r="B14" s="5"/>
      <c r="C14" s="5"/>
      <c r="D14" s="4"/>
      <c r="E14" s="4"/>
      <c r="F14" s="4"/>
      <c r="G14" s="4"/>
      <c r="H14" s="4" t="s">
        <v>111</v>
      </c>
      <c r="I14" s="4">
        <v>502</v>
      </c>
      <c r="J14" s="42">
        <v>10</v>
      </c>
      <c r="K14" s="4" t="s">
        <v>121</v>
      </c>
      <c r="L14" s="4" t="s">
        <v>121</v>
      </c>
      <c r="M14" s="5"/>
      <c r="N14" s="50"/>
    </row>
    <row r="15" spans="1:14" ht="31.5" x14ac:dyDescent="0.25">
      <c r="A15" s="4" t="s">
        <v>54</v>
      </c>
      <c r="B15" s="40" t="s">
        <v>56</v>
      </c>
      <c r="C15" s="5">
        <v>5</v>
      </c>
      <c r="D15" s="4" t="s">
        <v>122</v>
      </c>
      <c r="E15" s="4">
        <v>556</v>
      </c>
      <c r="F15" s="4">
        <f>22+5</f>
        <v>27</v>
      </c>
      <c r="G15" s="4">
        <v>51</v>
      </c>
      <c r="H15" s="4" t="s">
        <v>115</v>
      </c>
      <c r="I15" s="56">
        <v>167</v>
      </c>
      <c r="J15" s="54">
        <v>7</v>
      </c>
      <c r="K15" s="4" t="s">
        <v>121</v>
      </c>
      <c r="L15" s="4" t="s">
        <v>121</v>
      </c>
      <c r="M15" s="4" t="s">
        <v>178</v>
      </c>
      <c r="N15" s="50">
        <v>1242</v>
      </c>
    </row>
    <row r="16" spans="1:14" ht="31.5" x14ac:dyDescent="0.25">
      <c r="A16" s="4"/>
      <c r="B16" s="40"/>
      <c r="C16" s="5"/>
      <c r="D16" s="4"/>
      <c r="E16" s="4"/>
      <c r="F16" s="4"/>
      <c r="H16" s="4" t="s">
        <v>123</v>
      </c>
      <c r="I16" s="56">
        <v>159</v>
      </c>
      <c r="J16" s="54">
        <v>17</v>
      </c>
      <c r="K16" s="4" t="s">
        <v>121</v>
      </c>
      <c r="L16" s="4" t="s">
        <v>121</v>
      </c>
      <c r="N16" s="50"/>
    </row>
    <row r="17" spans="1:14" ht="15.75" x14ac:dyDescent="0.25">
      <c r="A17" s="2" t="s">
        <v>19</v>
      </c>
      <c r="B17" s="7"/>
      <c r="C17" s="8"/>
      <c r="D17" s="3"/>
      <c r="E17" s="3"/>
      <c r="F17" s="3"/>
      <c r="G17" s="3"/>
      <c r="H17" s="9"/>
      <c r="I17" s="3"/>
      <c r="J17" s="43"/>
      <c r="K17" s="8"/>
      <c r="L17" s="8"/>
      <c r="M17" s="8"/>
      <c r="N17" s="2"/>
    </row>
    <row r="18" spans="1:14" ht="45" x14ac:dyDescent="0.25">
      <c r="A18" s="4" t="s">
        <v>20</v>
      </c>
      <c r="B18" s="5" t="s">
        <v>58</v>
      </c>
      <c r="C18" s="5">
        <v>5</v>
      </c>
      <c r="D18" s="4" t="s">
        <v>84</v>
      </c>
      <c r="E18" s="4" t="s">
        <v>121</v>
      </c>
      <c r="F18" s="4" t="s">
        <v>121</v>
      </c>
      <c r="G18" s="4" t="s">
        <v>121</v>
      </c>
      <c r="H18" s="4" t="s">
        <v>15</v>
      </c>
      <c r="I18" s="4">
        <v>29</v>
      </c>
      <c r="J18" s="42">
        <v>25</v>
      </c>
      <c r="K18" s="41" t="s">
        <v>15</v>
      </c>
      <c r="L18" s="4">
        <v>2417</v>
      </c>
      <c r="M18" s="4" t="s">
        <v>178</v>
      </c>
      <c r="N18" s="50">
        <v>6238</v>
      </c>
    </row>
    <row r="19" spans="1:14" ht="31.5" x14ac:dyDescent="0.25">
      <c r="A19" s="4" t="s">
        <v>21</v>
      </c>
      <c r="B19" s="5" t="s">
        <v>57</v>
      </c>
      <c r="C19" s="5">
        <v>5</v>
      </c>
      <c r="D19" s="4" t="s">
        <v>85</v>
      </c>
      <c r="E19" s="4">
        <v>618</v>
      </c>
      <c r="F19" s="4">
        <f>52+5</f>
        <v>57</v>
      </c>
      <c r="G19" s="4">
        <v>120</v>
      </c>
      <c r="H19" s="4" t="s">
        <v>112</v>
      </c>
      <c r="I19" s="4">
        <v>58</v>
      </c>
      <c r="J19" s="42">
        <v>17</v>
      </c>
      <c r="K19" s="4" t="s">
        <v>121</v>
      </c>
      <c r="L19" s="4" t="s">
        <v>121</v>
      </c>
      <c r="M19" s="4" t="s">
        <v>178</v>
      </c>
      <c r="N19" s="50">
        <v>1844</v>
      </c>
    </row>
    <row r="20" spans="1:14" ht="31.5" x14ac:dyDescent="0.25">
      <c r="A20" s="4" t="s">
        <v>88</v>
      </c>
      <c r="B20" s="5" t="s">
        <v>87</v>
      </c>
      <c r="C20" s="5">
        <v>10</v>
      </c>
      <c r="D20" s="4" t="s">
        <v>86</v>
      </c>
      <c r="E20" s="4">
        <v>1120</v>
      </c>
      <c r="F20" s="4">
        <f>97+15</f>
        <v>112</v>
      </c>
      <c r="G20" s="4">
        <v>256</v>
      </c>
      <c r="H20" s="4" t="s">
        <v>16</v>
      </c>
      <c r="I20" s="4">
        <v>379</v>
      </c>
      <c r="J20" s="42">
        <v>25</v>
      </c>
      <c r="K20" s="4" t="s">
        <v>121</v>
      </c>
      <c r="L20" s="4" t="s">
        <v>121</v>
      </c>
      <c r="M20" s="4" t="s">
        <v>180</v>
      </c>
      <c r="N20" s="50" t="s">
        <v>119</v>
      </c>
    </row>
    <row r="21" spans="1:14" ht="15.75" x14ac:dyDescent="0.25">
      <c r="A21" s="2" t="s">
        <v>23</v>
      </c>
      <c r="B21" s="7"/>
      <c r="C21" s="8"/>
      <c r="D21" s="3"/>
      <c r="E21" s="3"/>
      <c r="F21" s="3"/>
      <c r="G21" s="3"/>
      <c r="H21" s="9"/>
      <c r="I21" s="3"/>
      <c r="J21" s="43"/>
      <c r="K21" s="8"/>
      <c r="L21" s="8"/>
      <c r="M21" s="8"/>
      <c r="N21" s="2"/>
    </row>
    <row r="22" spans="1:14" ht="47.25" x14ac:dyDescent="0.25">
      <c r="A22" s="4" t="s">
        <v>124</v>
      </c>
      <c r="B22" s="5" t="s">
        <v>59</v>
      </c>
      <c r="C22" s="5">
        <v>5</v>
      </c>
      <c r="D22" s="4" t="s">
        <v>89</v>
      </c>
      <c r="E22" s="4">
        <v>583</v>
      </c>
      <c r="F22" s="4">
        <f>29+10</f>
        <v>39</v>
      </c>
      <c r="G22" s="4">
        <v>73</v>
      </c>
      <c r="H22" s="5" t="s">
        <v>17</v>
      </c>
      <c r="I22" s="5">
        <v>36</v>
      </c>
      <c r="J22" s="42">
        <v>18</v>
      </c>
      <c r="K22" s="4" t="s">
        <v>121</v>
      </c>
      <c r="L22" s="4" t="s">
        <v>121</v>
      </c>
      <c r="M22" s="4" t="s">
        <v>178</v>
      </c>
      <c r="N22" s="50">
        <v>1058</v>
      </c>
    </row>
    <row r="23" spans="1:14" ht="15.75" x14ac:dyDescent="0.25">
      <c r="A23" s="4" t="s">
        <v>125</v>
      </c>
      <c r="B23" s="5" t="s">
        <v>91</v>
      </c>
      <c r="C23" s="5">
        <v>10</v>
      </c>
      <c r="D23" s="4" t="s">
        <v>90</v>
      </c>
      <c r="E23" s="4">
        <v>811</v>
      </c>
      <c r="F23" s="4">
        <f>88+6</f>
        <v>94</v>
      </c>
      <c r="G23" s="4">
        <v>109</v>
      </c>
      <c r="H23" s="4" t="s">
        <v>22</v>
      </c>
      <c r="I23" s="4">
        <v>386</v>
      </c>
      <c r="J23" s="42">
        <v>15</v>
      </c>
      <c r="K23" s="4" t="s">
        <v>121</v>
      </c>
      <c r="L23" s="4" t="s">
        <v>121</v>
      </c>
      <c r="M23" s="4" t="s">
        <v>179</v>
      </c>
      <c r="N23" s="50" t="s">
        <v>120</v>
      </c>
    </row>
    <row r="24" spans="1:14" ht="47.25" x14ac:dyDescent="0.25">
      <c r="A24" s="4" t="s">
        <v>126</v>
      </c>
      <c r="B24" s="5" t="s">
        <v>61</v>
      </c>
      <c r="C24" s="5">
        <v>5</v>
      </c>
      <c r="D24" s="4" t="s">
        <v>92</v>
      </c>
      <c r="E24" s="4">
        <v>630</v>
      </c>
      <c r="F24" s="4">
        <f>39+5</f>
        <v>44</v>
      </c>
      <c r="G24" s="4">
        <v>162</v>
      </c>
      <c r="H24" s="4" t="s">
        <v>17</v>
      </c>
      <c r="I24" s="4">
        <v>40</v>
      </c>
      <c r="J24" s="42">
        <v>18</v>
      </c>
      <c r="K24" s="4" t="s">
        <v>121</v>
      </c>
      <c r="L24" s="4" t="s">
        <v>121</v>
      </c>
      <c r="M24" s="4" t="s">
        <v>178</v>
      </c>
      <c r="N24" s="50">
        <v>1485</v>
      </c>
    </row>
    <row r="25" spans="1:14" ht="31.5" x14ac:dyDescent="0.25">
      <c r="A25" s="4"/>
      <c r="B25" s="5"/>
      <c r="C25" s="5"/>
      <c r="D25" s="4"/>
      <c r="E25" s="4"/>
      <c r="F25" s="11"/>
      <c r="G25" s="11"/>
      <c r="H25" s="4" t="s">
        <v>113</v>
      </c>
      <c r="I25" s="4">
        <v>185</v>
      </c>
      <c r="J25" s="42">
        <v>17</v>
      </c>
      <c r="K25" s="4" t="s">
        <v>121</v>
      </c>
      <c r="L25" s="4" t="s">
        <v>121</v>
      </c>
      <c r="M25" s="4"/>
      <c r="N25" s="50"/>
    </row>
    <row r="26" spans="1:14" ht="15.75" x14ac:dyDescent="0.25">
      <c r="A26" s="12" t="s">
        <v>24</v>
      </c>
      <c r="B26" s="13"/>
      <c r="C26" s="14"/>
      <c r="D26" s="15"/>
      <c r="E26" s="16"/>
      <c r="F26" s="15"/>
      <c r="G26" s="15"/>
      <c r="H26" s="16"/>
      <c r="I26" s="16"/>
      <c r="J26" s="44"/>
      <c r="K26" s="16"/>
      <c r="L26" s="16"/>
      <c r="M26" s="16"/>
      <c r="N26" s="16"/>
    </row>
    <row r="27" spans="1:14" ht="31.5" x14ac:dyDescent="0.25">
      <c r="A27" s="17" t="s">
        <v>60</v>
      </c>
      <c r="B27" s="17" t="s">
        <v>62</v>
      </c>
      <c r="C27" s="17">
        <v>5</v>
      </c>
      <c r="D27" s="19" t="s">
        <v>93</v>
      </c>
      <c r="E27" s="4" t="s">
        <v>121</v>
      </c>
      <c r="F27" s="4" t="s">
        <v>121</v>
      </c>
      <c r="G27" s="4" t="s">
        <v>121</v>
      </c>
      <c r="H27" s="4" t="s">
        <v>121</v>
      </c>
      <c r="I27" s="4" t="s">
        <v>121</v>
      </c>
      <c r="J27" s="4" t="s">
        <v>121</v>
      </c>
      <c r="K27" s="4" t="s">
        <v>121</v>
      </c>
      <c r="L27" s="4" t="s">
        <v>121</v>
      </c>
      <c r="M27" s="4" t="s">
        <v>178</v>
      </c>
      <c r="N27" s="50">
        <v>2468</v>
      </c>
    </row>
    <row r="28" spans="1:14" ht="31.5" x14ac:dyDescent="0.25">
      <c r="A28" s="17" t="s">
        <v>25</v>
      </c>
      <c r="B28" s="17" t="s">
        <v>63</v>
      </c>
      <c r="C28" s="17">
        <v>5</v>
      </c>
      <c r="D28" s="19" t="s">
        <v>94</v>
      </c>
      <c r="E28" s="4">
        <v>597</v>
      </c>
      <c r="F28" s="4">
        <f>43+9</f>
        <v>52</v>
      </c>
      <c r="G28" s="4">
        <v>146</v>
      </c>
      <c r="H28" s="18" t="s">
        <v>114</v>
      </c>
      <c r="I28" s="5">
        <v>63</v>
      </c>
      <c r="J28" s="42">
        <v>34</v>
      </c>
      <c r="K28" s="4" t="s">
        <v>121</v>
      </c>
      <c r="L28" s="4" t="s">
        <v>121</v>
      </c>
      <c r="M28" s="4" t="s">
        <v>178</v>
      </c>
      <c r="N28" s="50">
        <v>1276</v>
      </c>
    </row>
    <row r="29" spans="1:14" ht="47.25" x14ac:dyDescent="0.25">
      <c r="A29" s="17" t="s">
        <v>64</v>
      </c>
      <c r="B29" s="17" t="s">
        <v>66</v>
      </c>
      <c r="C29" s="17">
        <v>5</v>
      </c>
      <c r="D29" s="19" t="s">
        <v>95</v>
      </c>
      <c r="E29" s="4">
        <v>504</v>
      </c>
      <c r="F29" s="4">
        <f>21+4</f>
        <v>25</v>
      </c>
      <c r="G29" s="4">
        <f>21+26+3+4+3</f>
        <v>57</v>
      </c>
      <c r="H29" s="4" t="s">
        <v>107</v>
      </c>
      <c r="I29" s="5">
        <v>37</v>
      </c>
      <c r="J29" s="42">
        <v>20</v>
      </c>
      <c r="K29" s="4" t="s">
        <v>121</v>
      </c>
      <c r="L29" s="4" t="s">
        <v>121</v>
      </c>
      <c r="M29" s="4" t="s">
        <v>178</v>
      </c>
      <c r="N29" s="50">
        <v>953</v>
      </c>
    </row>
    <row r="30" spans="1:14" ht="47.25" x14ac:dyDescent="0.25">
      <c r="A30" s="17" t="s">
        <v>65</v>
      </c>
      <c r="B30" s="17" t="s">
        <v>67</v>
      </c>
      <c r="C30" s="17">
        <v>5</v>
      </c>
      <c r="D30" s="19" t="s">
        <v>96</v>
      </c>
      <c r="E30" s="4">
        <v>514</v>
      </c>
      <c r="F30" s="4">
        <f>80+10</f>
        <v>90</v>
      </c>
      <c r="G30" s="4">
        <f>77+55+6+4+8</f>
        <v>150</v>
      </c>
      <c r="H30" s="4" t="s">
        <v>107</v>
      </c>
      <c r="I30" s="5">
        <v>77</v>
      </c>
      <c r="J30" s="42">
        <v>20</v>
      </c>
      <c r="K30" s="4" t="s">
        <v>121</v>
      </c>
      <c r="L30" s="4" t="s">
        <v>121</v>
      </c>
      <c r="M30" s="4" t="s">
        <v>178</v>
      </c>
      <c r="N30" s="50">
        <v>1014</v>
      </c>
    </row>
    <row r="31" spans="1:14" ht="47.25" x14ac:dyDescent="0.25">
      <c r="A31" s="17" t="s">
        <v>68</v>
      </c>
      <c r="B31" s="17" t="s">
        <v>70</v>
      </c>
      <c r="C31" s="17">
        <v>5</v>
      </c>
      <c r="D31" s="19" t="s">
        <v>97</v>
      </c>
      <c r="E31" s="4">
        <v>656</v>
      </c>
      <c r="F31" s="4">
        <f>45+6</f>
        <v>51</v>
      </c>
      <c r="G31" s="4">
        <f>53+35+4+7+8</f>
        <v>107</v>
      </c>
      <c r="H31" s="4" t="s">
        <v>16</v>
      </c>
      <c r="I31" s="5">
        <v>39</v>
      </c>
      <c r="J31" s="42">
        <v>25</v>
      </c>
      <c r="K31" s="4" t="s">
        <v>121</v>
      </c>
      <c r="L31" s="4" t="s">
        <v>121</v>
      </c>
      <c r="M31" s="19" t="s">
        <v>181</v>
      </c>
      <c r="N31" s="50">
        <v>1273</v>
      </c>
    </row>
    <row r="32" spans="1:14" ht="15.75" x14ac:dyDescent="0.25">
      <c r="A32" s="20" t="s">
        <v>28</v>
      </c>
      <c r="B32" s="21"/>
      <c r="C32" s="21"/>
      <c r="D32" s="22"/>
      <c r="E32" s="16"/>
      <c r="F32" s="16"/>
      <c r="G32" s="16"/>
      <c r="H32" s="22"/>
      <c r="I32" s="14"/>
      <c r="J32" s="44"/>
      <c r="K32" s="23"/>
      <c r="L32" s="14"/>
      <c r="M32" s="21"/>
      <c r="N32" s="21"/>
    </row>
    <row r="33" spans="1:15" ht="31.5" x14ac:dyDescent="0.25">
      <c r="A33" s="17" t="s">
        <v>69</v>
      </c>
      <c r="B33" s="17" t="s">
        <v>71</v>
      </c>
      <c r="C33" s="17">
        <v>5</v>
      </c>
      <c r="D33" s="19" t="s">
        <v>98</v>
      </c>
      <c r="E33" s="24">
        <v>610</v>
      </c>
      <c r="F33" s="25">
        <f>42+6</f>
        <v>48</v>
      </c>
      <c r="G33" s="17">
        <f>51+48+7+3+4</f>
        <v>113</v>
      </c>
      <c r="H33" s="4" t="s">
        <v>16</v>
      </c>
      <c r="I33" s="17">
        <v>44</v>
      </c>
      <c r="J33" s="45">
        <v>25</v>
      </c>
      <c r="K33" s="4" t="s">
        <v>121</v>
      </c>
      <c r="L33" s="4" t="s">
        <v>121</v>
      </c>
      <c r="M33" s="4" t="s">
        <v>178</v>
      </c>
      <c r="N33" s="50">
        <v>1235</v>
      </c>
    </row>
    <row r="34" spans="1:15" ht="47.25" x14ac:dyDescent="0.25">
      <c r="A34" s="17" t="s">
        <v>29</v>
      </c>
      <c r="B34" s="17" t="s">
        <v>72</v>
      </c>
      <c r="C34" s="17">
        <v>5</v>
      </c>
      <c r="D34" s="19" t="s">
        <v>99</v>
      </c>
      <c r="E34" s="17">
        <v>595</v>
      </c>
      <c r="F34" s="4">
        <f>56+5</f>
        <v>61</v>
      </c>
      <c r="G34" s="17">
        <f>36+38+7+2+7</f>
        <v>90</v>
      </c>
      <c r="H34" s="19" t="s">
        <v>115</v>
      </c>
      <c r="I34" s="55">
        <v>141</v>
      </c>
      <c r="J34" s="46">
        <v>7</v>
      </c>
      <c r="K34" s="4" t="s">
        <v>121</v>
      </c>
      <c r="L34" s="4" t="s">
        <v>121</v>
      </c>
      <c r="M34" s="4" t="s">
        <v>178</v>
      </c>
      <c r="N34" s="50">
        <f>220+652+141</f>
        <v>1013</v>
      </c>
    </row>
    <row r="35" spans="1:15" ht="31.5" x14ac:dyDescent="0.25">
      <c r="A35" s="17" t="s">
        <v>30</v>
      </c>
      <c r="B35" s="17" t="s">
        <v>73</v>
      </c>
      <c r="C35" s="17">
        <v>5</v>
      </c>
      <c r="D35" s="19" t="s">
        <v>100</v>
      </c>
      <c r="E35" s="17">
        <v>607</v>
      </c>
      <c r="F35" s="4">
        <f>51+7</f>
        <v>58</v>
      </c>
      <c r="G35" s="17">
        <f>85+72+7+4+4</f>
        <v>172</v>
      </c>
      <c r="H35" s="19" t="s">
        <v>27</v>
      </c>
      <c r="I35" s="17">
        <v>195</v>
      </c>
      <c r="J35" s="46">
        <v>15</v>
      </c>
      <c r="K35" s="4" t="s">
        <v>188</v>
      </c>
      <c r="L35" s="17">
        <f>621+136</f>
        <v>757</v>
      </c>
      <c r="M35" s="19" t="s">
        <v>182</v>
      </c>
      <c r="N35" s="50">
        <v>1798</v>
      </c>
    </row>
    <row r="36" spans="1:15" ht="47.25" x14ac:dyDescent="0.25">
      <c r="A36" s="17" t="s">
        <v>32</v>
      </c>
      <c r="B36" s="17" t="s">
        <v>74</v>
      </c>
      <c r="C36" s="17">
        <v>5</v>
      </c>
      <c r="D36" s="19" t="s">
        <v>26</v>
      </c>
      <c r="E36" s="17">
        <v>352</v>
      </c>
      <c r="F36" s="4">
        <f>12+2</f>
        <v>14</v>
      </c>
      <c r="G36" s="17">
        <f>16+15+4+2+4</f>
        <v>41</v>
      </c>
      <c r="H36" s="19" t="s">
        <v>116</v>
      </c>
      <c r="I36" s="17">
        <v>67</v>
      </c>
      <c r="J36" s="46">
        <v>15</v>
      </c>
      <c r="K36" s="4" t="s">
        <v>121</v>
      </c>
      <c r="L36" s="4" t="s">
        <v>121</v>
      </c>
      <c r="M36" s="19" t="s">
        <v>183</v>
      </c>
      <c r="N36" s="50">
        <f>180+581+116</f>
        <v>877</v>
      </c>
    </row>
    <row r="37" spans="1:15" ht="15.75" x14ac:dyDescent="0.25">
      <c r="A37" s="12" t="s">
        <v>33</v>
      </c>
      <c r="B37" s="13"/>
      <c r="C37" s="14"/>
      <c r="D37" s="15"/>
      <c r="E37" s="16"/>
      <c r="F37" s="15"/>
      <c r="G37" s="15"/>
      <c r="H37" s="13"/>
      <c r="I37" s="14"/>
      <c r="J37" s="47"/>
      <c r="K37" s="13"/>
      <c r="L37" s="13"/>
      <c r="M37" s="14"/>
      <c r="N37" s="14"/>
    </row>
    <row r="38" spans="1:15" ht="31.5" x14ac:dyDescent="0.25">
      <c r="A38" s="26" t="s">
        <v>34</v>
      </c>
      <c r="B38" s="26" t="s">
        <v>75</v>
      </c>
      <c r="C38" s="26">
        <v>5</v>
      </c>
      <c r="D38" s="27" t="s">
        <v>101</v>
      </c>
      <c r="E38" s="28">
        <v>546</v>
      </c>
      <c r="F38" s="28">
        <f>36+1</f>
        <v>37</v>
      </c>
      <c r="G38" s="28">
        <f>33+20+2+3+8</f>
        <v>66</v>
      </c>
      <c r="H38" s="27" t="s">
        <v>117</v>
      </c>
      <c r="I38" s="29">
        <v>23</v>
      </c>
      <c r="J38" s="48">
        <v>80</v>
      </c>
      <c r="K38" s="4" t="s">
        <v>121</v>
      </c>
      <c r="L38" s="4" t="s">
        <v>121</v>
      </c>
      <c r="M38" s="27" t="s">
        <v>184</v>
      </c>
      <c r="N38" s="50">
        <f>183+591+138</f>
        <v>912</v>
      </c>
    </row>
    <row r="39" spans="1:15" ht="47.25" x14ac:dyDescent="0.25">
      <c r="A39" s="26" t="s">
        <v>127</v>
      </c>
      <c r="B39" s="26" t="s">
        <v>104</v>
      </c>
      <c r="C39" s="26">
        <v>10</v>
      </c>
      <c r="D39" s="27" t="s">
        <v>102</v>
      </c>
      <c r="E39" s="28">
        <v>812</v>
      </c>
      <c r="F39" s="28">
        <f>60+3</f>
        <v>63</v>
      </c>
      <c r="G39" s="28">
        <f>65+20+5+3</f>
        <v>93</v>
      </c>
      <c r="H39" s="27" t="s">
        <v>117</v>
      </c>
      <c r="I39" s="29">
        <v>278</v>
      </c>
      <c r="J39" s="48">
        <v>80</v>
      </c>
      <c r="K39" s="29" t="s">
        <v>189</v>
      </c>
      <c r="L39" s="29">
        <f>959+2</f>
        <v>961</v>
      </c>
      <c r="M39" s="27" t="s">
        <v>185</v>
      </c>
      <c r="N39" s="50">
        <f>474+1225+333+704</f>
        <v>2736</v>
      </c>
    </row>
    <row r="40" spans="1:15" ht="31.5" x14ac:dyDescent="0.25">
      <c r="A40" s="26" t="s">
        <v>128</v>
      </c>
      <c r="B40" s="26" t="s">
        <v>76</v>
      </c>
      <c r="C40" s="26">
        <v>5</v>
      </c>
      <c r="D40" s="27" t="s">
        <v>103</v>
      </c>
      <c r="E40" s="28">
        <v>424</v>
      </c>
      <c r="F40" s="28">
        <f>9+3</f>
        <v>12</v>
      </c>
      <c r="G40" s="28">
        <f>10+12+2+3</f>
        <v>27</v>
      </c>
      <c r="H40" s="27" t="s">
        <v>117</v>
      </c>
      <c r="I40" s="29">
        <v>72</v>
      </c>
      <c r="J40" s="48">
        <v>80</v>
      </c>
      <c r="K40" s="4" t="s">
        <v>121</v>
      </c>
      <c r="L40" s="4" t="s">
        <v>121</v>
      </c>
      <c r="M40" s="27" t="s">
        <v>184</v>
      </c>
      <c r="N40" s="50">
        <f>198+567+126</f>
        <v>891</v>
      </c>
    </row>
    <row r="41" spans="1:15" ht="15.75" x14ac:dyDescent="0.25">
      <c r="A41" s="30" t="s">
        <v>35</v>
      </c>
      <c r="B41" s="31"/>
      <c r="C41" s="32"/>
      <c r="D41" s="33"/>
      <c r="E41" s="34"/>
      <c r="F41" s="33"/>
      <c r="G41" s="33"/>
      <c r="H41" s="31"/>
      <c r="I41" s="32"/>
      <c r="J41" s="49"/>
      <c r="K41" s="31"/>
      <c r="L41" s="31"/>
      <c r="M41" s="32"/>
      <c r="N41" s="32"/>
    </row>
    <row r="42" spans="1:15" ht="47.25" x14ac:dyDescent="0.25">
      <c r="A42" s="26" t="s">
        <v>105</v>
      </c>
      <c r="B42" s="26" t="s">
        <v>142</v>
      </c>
      <c r="C42" s="26">
        <v>5</v>
      </c>
      <c r="D42" s="27" t="s">
        <v>157</v>
      </c>
      <c r="E42" s="28">
        <v>646</v>
      </c>
      <c r="F42" s="28">
        <f>155+15</f>
        <v>170</v>
      </c>
      <c r="G42" s="28">
        <f>128+143+18+6+15</f>
        <v>310</v>
      </c>
      <c r="H42" s="27" t="s">
        <v>169</v>
      </c>
      <c r="I42" s="29">
        <v>375</v>
      </c>
      <c r="J42" s="48">
        <v>26</v>
      </c>
      <c r="K42" s="28" t="s">
        <v>190</v>
      </c>
      <c r="L42" s="5">
        <v>938</v>
      </c>
      <c r="M42" s="19" t="s">
        <v>183</v>
      </c>
      <c r="N42" s="50">
        <f>492+850+218+589</f>
        <v>2149</v>
      </c>
    </row>
    <row r="43" spans="1:15" ht="47.25" x14ac:dyDescent="0.25">
      <c r="A43" s="26" t="s">
        <v>106</v>
      </c>
      <c r="B43" s="26" t="s">
        <v>143</v>
      </c>
      <c r="C43" s="26">
        <v>5</v>
      </c>
      <c r="D43" s="27" t="s">
        <v>158</v>
      </c>
      <c r="E43" s="28">
        <v>628</v>
      </c>
      <c r="F43" s="28">
        <f>117+9</f>
        <v>126</v>
      </c>
      <c r="G43" s="28">
        <f>110+76+7+5+14</f>
        <v>212</v>
      </c>
      <c r="H43" s="27" t="s">
        <v>170</v>
      </c>
      <c r="I43" s="29">
        <v>126</v>
      </c>
      <c r="J43" s="48">
        <v>7</v>
      </c>
      <c r="K43" s="28" t="s">
        <v>170</v>
      </c>
      <c r="L43" s="5">
        <v>440</v>
      </c>
      <c r="M43" s="19" t="s">
        <v>183</v>
      </c>
      <c r="N43" s="50">
        <f>357+738+193+406</f>
        <v>1694</v>
      </c>
    </row>
    <row r="44" spans="1:15" ht="63" x14ac:dyDescent="0.25">
      <c r="A44" s="26" t="s">
        <v>129</v>
      </c>
      <c r="B44" s="26" t="s">
        <v>144</v>
      </c>
      <c r="C44" s="26">
        <v>10</v>
      </c>
      <c r="D44" s="27" t="s">
        <v>159</v>
      </c>
      <c r="E44" s="28">
        <v>816</v>
      </c>
      <c r="F44" s="28">
        <f>54+5</f>
        <v>59</v>
      </c>
      <c r="G44" s="28">
        <f>50+25+2+3+5</f>
        <v>85</v>
      </c>
      <c r="H44" s="27" t="s">
        <v>171</v>
      </c>
      <c r="I44" s="29">
        <v>115</v>
      </c>
      <c r="J44" s="48">
        <v>80</v>
      </c>
      <c r="K44" s="4" t="s">
        <v>121</v>
      </c>
      <c r="L44" s="4" t="s">
        <v>121</v>
      </c>
      <c r="M44" s="27" t="s">
        <v>186</v>
      </c>
      <c r="N44" s="50">
        <f>350+1429+313</f>
        <v>2092</v>
      </c>
    </row>
    <row r="45" spans="1:15" ht="15.75" x14ac:dyDescent="0.25">
      <c r="A45" s="12" t="s">
        <v>36</v>
      </c>
      <c r="B45" s="13"/>
      <c r="C45" s="14"/>
      <c r="D45" s="15"/>
      <c r="E45" s="16"/>
      <c r="F45" s="15"/>
      <c r="G45" s="15"/>
      <c r="H45" s="13"/>
      <c r="I45" s="14"/>
      <c r="J45" s="47"/>
      <c r="K45" s="13"/>
      <c r="L45" s="13"/>
      <c r="M45" s="14"/>
      <c r="N45" s="14"/>
    </row>
    <row r="46" spans="1:15" ht="47.25" x14ac:dyDescent="0.25">
      <c r="A46" s="26" t="s">
        <v>130</v>
      </c>
      <c r="B46" s="26" t="s">
        <v>145</v>
      </c>
      <c r="C46" s="26">
        <v>5</v>
      </c>
      <c r="D46" s="27" t="s">
        <v>160</v>
      </c>
      <c r="E46" s="28">
        <v>673</v>
      </c>
      <c r="F46" s="28">
        <f>78+8</f>
        <v>86</v>
      </c>
      <c r="G46" s="28">
        <f>93+57+6+9+12</f>
        <v>177</v>
      </c>
      <c r="H46" s="36" t="s">
        <v>163</v>
      </c>
      <c r="I46" s="29">
        <v>74</v>
      </c>
      <c r="J46" s="48">
        <v>22</v>
      </c>
      <c r="K46" s="4" t="s">
        <v>121</v>
      </c>
      <c r="L46" s="4" t="s">
        <v>121</v>
      </c>
      <c r="M46" s="4" t="s">
        <v>178</v>
      </c>
      <c r="N46" s="50">
        <f>436+710+152</f>
        <v>1298</v>
      </c>
    </row>
    <row r="47" spans="1:15" ht="31.5" x14ac:dyDescent="0.25">
      <c r="A47" s="26"/>
      <c r="B47" s="26"/>
      <c r="C47" s="26"/>
      <c r="D47" s="27"/>
      <c r="E47" s="28"/>
      <c r="F47" s="28"/>
      <c r="G47" s="28"/>
      <c r="H47" s="36" t="s">
        <v>167</v>
      </c>
      <c r="I47" s="29">
        <v>492</v>
      </c>
      <c r="J47" s="48">
        <v>35</v>
      </c>
      <c r="K47" s="4" t="s">
        <v>121</v>
      </c>
      <c r="L47" s="4" t="s">
        <v>121</v>
      </c>
      <c r="M47" s="36"/>
      <c r="N47" s="50"/>
    </row>
    <row r="48" spans="1:15" ht="18" customHeight="1" x14ac:dyDescent="0.25">
      <c r="A48" s="26" t="s">
        <v>131</v>
      </c>
      <c r="B48" s="26" t="s">
        <v>146</v>
      </c>
      <c r="C48" s="26">
        <v>5</v>
      </c>
      <c r="D48" s="27" t="s">
        <v>161</v>
      </c>
      <c r="E48" s="28">
        <v>466</v>
      </c>
      <c r="F48" s="28">
        <f>27+1</f>
        <v>28</v>
      </c>
      <c r="G48" s="28">
        <f>27+32+3+2+5</f>
        <v>69</v>
      </c>
      <c r="H48" s="36" t="s">
        <v>161</v>
      </c>
      <c r="I48" s="29">
        <f>135</f>
        <v>135</v>
      </c>
      <c r="J48" s="48">
        <v>20</v>
      </c>
      <c r="K48" s="4" t="s">
        <v>121</v>
      </c>
      <c r="L48" s="4" t="s">
        <v>121</v>
      </c>
      <c r="M48" s="4" t="s">
        <v>178</v>
      </c>
      <c r="N48" s="50">
        <f>251+577+152</f>
        <v>980</v>
      </c>
      <c r="O48" s="4"/>
    </row>
    <row r="49" spans="1:15" ht="44.25" customHeight="1" x14ac:dyDescent="0.25">
      <c r="A49" s="26"/>
      <c r="B49" s="26"/>
      <c r="C49" s="26"/>
      <c r="D49" s="27"/>
      <c r="E49" s="28"/>
      <c r="F49" s="28"/>
      <c r="G49" s="28"/>
      <c r="H49" s="36" t="s">
        <v>191</v>
      </c>
      <c r="I49" s="29">
        <f>9+7</f>
        <v>16</v>
      </c>
      <c r="J49" s="53" t="s">
        <v>192</v>
      </c>
      <c r="K49" s="4" t="s">
        <v>121</v>
      </c>
      <c r="L49" s="4" t="s">
        <v>121</v>
      </c>
      <c r="M49" s="4"/>
      <c r="N49" s="50"/>
      <c r="O49" s="4"/>
    </row>
    <row r="50" spans="1:15" ht="15.75" x14ac:dyDescent="0.25">
      <c r="A50" s="26" t="s">
        <v>132</v>
      </c>
      <c r="B50" s="26" t="s">
        <v>147</v>
      </c>
      <c r="C50" s="26">
        <v>15</v>
      </c>
      <c r="D50" s="27" t="s">
        <v>162</v>
      </c>
      <c r="E50" s="28">
        <v>963</v>
      </c>
      <c r="F50" s="28">
        <f>71+5</f>
        <v>76</v>
      </c>
      <c r="G50" s="28">
        <f>64+55+5+7+8</f>
        <v>139</v>
      </c>
      <c r="H50" s="37" t="s">
        <v>162</v>
      </c>
      <c r="I50" s="29">
        <v>377</v>
      </c>
      <c r="J50" s="48">
        <v>18</v>
      </c>
      <c r="K50" s="29" t="s">
        <v>162</v>
      </c>
      <c r="L50" s="29">
        <v>839</v>
      </c>
      <c r="M50" s="4" t="s">
        <v>178</v>
      </c>
      <c r="N50" s="50">
        <f>906+2148+474+634</f>
        <v>4162</v>
      </c>
    </row>
    <row r="51" spans="1:15" ht="31.5" x14ac:dyDescent="0.25">
      <c r="A51" s="26"/>
      <c r="B51" s="26"/>
      <c r="C51" s="26"/>
      <c r="D51" s="27"/>
      <c r="E51" s="28"/>
      <c r="F51" s="28"/>
      <c r="G51" s="28"/>
      <c r="H51" s="36" t="s">
        <v>167</v>
      </c>
      <c r="I51" s="29">
        <v>1191</v>
      </c>
      <c r="J51" s="48">
        <v>35</v>
      </c>
      <c r="K51" s="4" t="s">
        <v>121</v>
      </c>
      <c r="L51" s="4" t="s">
        <v>121</v>
      </c>
      <c r="M51" s="37"/>
      <c r="N51" s="50"/>
    </row>
    <row r="52" spans="1:15" ht="15.75" x14ac:dyDescent="0.25">
      <c r="A52" s="12" t="s">
        <v>37</v>
      </c>
      <c r="B52" s="13"/>
      <c r="C52" s="14"/>
      <c r="D52" s="15"/>
      <c r="E52" s="16"/>
      <c r="F52" s="16"/>
      <c r="G52" s="16"/>
      <c r="H52" s="13"/>
      <c r="I52" s="14"/>
      <c r="J52" s="47"/>
      <c r="K52" s="13"/>
      <c r="L52" s="14"/>
      <c r="M52" s="14"/>
      <c r="N52" s="14"/>
    </row>
    <row r="53" spans="1:15" ht="31.5" x14ac:dyDescent="0.25">
      <c r="A53" s="26" t="s">
        <v>133</v>
      </c>
      <c r="B53" s="26" t="s">
        <v>148</v>
      </c>
      <c r="C53" s="26">
        <v>10</v>
      </c>
      <c r="D53" s="26" t="s">
        <v>31</v>
      </c>
      <c r="E53" s="28">
        <v>771</v>
      </c>
      <c r="F53" s="28">
        <f>35+6</f>
        <v>41</v>
      </c>
      <c r="G53" s="28">
        <f>32+38+4+4+8</f>
        <v>86</v>
      </c>
      <c r="H53" s="27" t="s">
        <v>31</v>
      </c>
      <c r="I53" s="29">
        <f>3+135</f>
        <v>138</v>
      </c>
      <c r="J53" s="48">
        <v>15</v>
      </c>
      <c r="K53" s="28" t="s">
        <v>31</v>
      </c>
      <c r="L53" s="29">
        <v>1053</v>
      </c>
      <c r="M53" s="4" t="s">
        <v>178</v>
      </c>
      <c r="N53" s="50">
        <f>612+1426+373+710</f>
        <v>3121</v>
      </c>
    </row>
    <row r="54" spans="1:15" ht="31.5" x14ac:dyDescent="0.25">
      <c r="A54" s="26"/>
      <c r="B54" s="26"/>
      <c r="C54" s="26"/>
      <c r="D54" s="26"/>
      <c r="E54" s="28"/>
      <c r="F54" s="28"/>
      <c r="G54" s="28"/>
      <c r="H54" s="27" t="s">
        <v>167</v>
      </c>
      <c r="I54" s="29">
        <v>808</v>
      </c>
      <c r="J54" s="48">
        <v>35</v>
      </c>
      <c r="K54" s="4" t="s">
        <v>121</v>
      </c>
      <c r="L54" s="4" t="s">
        <v>121</v>
      </c>
      <c r="M54" s="36"/>
      <c r="N54" s="50"/>
    </row>
    <row r="55" spans="1:15" ht="15.75" x14ac:dyDescent="0.25">
      <c r="A55" s="26" t="s">
        <v>134</v>
      </c>
      <c r="B55" s="26" t="s">
        <v>149</v>
      </c>
      <c r="C55" s="26">
        <v>10</v>
      </c>
      <c r="D55" s="36" t="s">
        <v>108</v>
      </c>
      <c r="E55" s="28">
        <v>813</v>
      </c>
      <c r="F55" s="28">
        <f>40+4</f>
        <v>44</v>
      </c>
      <c r="G55" s="28">
        <f>35+22+6+6+3</f>
        <v>72</v>
      </c>
      <c r="H55" s="38" t="s">
        <v>108</v>
      </c>
      <c r="I55" s="29">
        <v>144</v>
      </c>
      <c r="J55" s="48">
        <v>15</v>
      </c>
      <c r="K55" s="29" t="s">
        <v>108</v>
      </c>
      <c r="L55" s="29">
        <v>1006</v>
      </c>
      <c r="M55" s="4" t="s">
        <v>178</v>
      </c>
      <c r="N55" s="50">
        <f>1020+1604+504+704</f>
        <v>3832</v>
      </c>
    </row>
    <row r="56" spans="1:15" ht="31.5" x14ac:dyDescent="0.25">
      <c r="A56" s="26"/>
      <c r="B56" s="26"/>
      <c r="C56" s="26"/>
      <c r="D56" s="36"/>
      <c r="E56" s="28"/>
      <c r="F56" s="28"/>
      <c r="G56" s="28"/>
      <c r="H56" s="27" t="s">
        <v>167</v>
      </c>
      <c r="I56" s="29">
        <v>1506</v>
      </c>
      <c r="J56" s="48">
        <v>35</v>
      </c>
      <c r="K56" s="4" t="s">
        <v>121</v>
      </c>
      <c r="L56" s="4" t="s">
        <v>121</v>
      </c>
      <c r="M56" s="26"/>
      <c r="N56" s="50"/>
    </row>
    <row r="57" spans="1:15" ht="15.75" x14ac:dyDescent="0.25">
      <c r="A57" s="12" t="s">
        <v>135</v>
      </c>
      <c r="B57" s="13"/>
      <c r="C57" s="14"/>
      <c r="D57" s="15"/>
      <c r="E57" s="16"/>
      <c r="F57" s="15"/>
      <c r="G57" s="15"/>
      <c r="H57" s="13"/>
      <c r="I57" s="14"/>
      <c r="J57" s="47"/>
      <c r="K57" s="13"/>
      <c r="L57" s="13"/>
      <c r="M57" s="14"/>
      <c r="N57" s="14"/>
    </row>
    <row r="58" spans="1:15" ht="15.75" x14ac:dyDescent="0.25">
      <c r="A58" s="24" t="s">
        <v>137</v>
      </c>
      <c r="B58" s="24" t="s">
        <v>154</v>
      </c>
      <c r="C58" s="24">
        <v>5</v>
      </c>
      <c r="D58" s="24" t="s">
        <v>163</v>
      </c>
      <c r="E58" s="4">
        <v>376</v>
      </c>
      <c r="F58" s="4">
        <f>60+6</f>
        <v>66</v>
      </c>
      <c r="G58" s="4">
        <f>47+34+5+5+1</f>
        <v>92</v>
      </c>
      <c r="H58" s="19" t="s">
        <v>163</v>
      </c>
      <c r="I58" s="5">
        <v>158</v>
      </c>
      <c r="J58" s="42">
        <v>22</v>
      </c>
      <c r="K58" s="4" t="s">
        <v>121</v>
      </c>
      <c r="L58" s="4" t="s">
        <v>121</v>
      </c>
      <c r="M58" s="4" t="s">
        <v>178</v>
      </c>
      <c r="N58" s="50">
        <f>568+881+223</f>
        <v>1672</v>
      </c>
    </row>
    <row r="59" spans="1:15" ht="31.5" x14ac:dyDescent="0.25">
      <c r="A59" s="24"/>
      <c r="B59" s="24"/>
      <c r="C59" s="24"/>
      <c r="D59" s="24"/>
      <c r="E59" s="4"/>
      <c r="F59" s="4"/>
      <c r="G59" s="4"/>
      <c r="H59" s="27" t="s">
        <v>167</v>
      </c>
      <c r="I59" s="5">
        <f>723</f>
        <v>723</v>
      </c>
      <c r="J59" s="42" t="s">
        <v>193</v>
      </c>
      <c r="K59" s="4" t="s">
        <v>121</v>
      </c>
      <c r="L59" s="4" t="s">
        <v>121</v>
      </c>
      <c r="M59" s="39"/>
      <c r="N59" s="50"/>
    </row>
    <row r="60" spans="1:15" ht="47.25" x14ac:dyDescent="0.25">
      <c r="A60" s="24" t="s">
        <v>138</v>
      </c>
      <c r="B60" s="24" t="s">
        <v>150</v>
      </c>
      <c r="C60" s="24">
        <v>5</v>
      </c>
      <c r="D60" s="24" t="s">
        <v>164</v>
      </c>
      <c r="E60" s="4">
        <v>441</v>
      </c>
      <c r="F60" s="4">
        <f>17+2</f>
        <v>19</v>
      </c>
      <c r="G60" s="4">
        <f>26+27+3+2+1</f>
        <v>59</v>
      </c>
      <c r="H60" s="19" t="s">
        <v>172</v>
      </c>
      <c r="I60" s="5">
        <v>120</v>
      </c>
      <c r="J60" s="42" t="s">
        <v>174</v>
      </c>
      <c r="K60" s="4" t="s">
        <v>121</v>
      </c>
      <c r="L60" s="4" t="s">
        <v>121</v>
      </c>
      <c r="M60" s="4" t="s">
        <v>187</v>
      </c>
      <c r="N60" s="50">
        <f>417+708+189</f>
        <v>1314</v>
      </c>
    </row>
    <row r="61" spans="1:15" ht="31.5" x14ac:dyDescent="0.25">
      <c r="A61" s="24"/>
      <c r="B61" s="24"/>
      <c r="C61" s="24"/>
      <c r="D61" s="24"/>
      <c r="E61" s="4"/>
      <c r="F61" s="57"/>
      <c r="G61" s="57"/>
      <c r="H61" s="19" t="s">
        <v>173</v>
      </c>
      <c r="I61" s="5">
        <v>123</v>
      </c>
      <c r="J61" s="42">
        <v>10</v>
      </c>
      <c r="K61" s="4" t="s">
        <v>121</v>
      </c>
      <c r="L61" s="4" t="s">
        <v>121</v>
      </c>
      <c r="M61" s="35"/>
      <c r="N61" s="50"/>
    </row>
    <row r="62" spans="1:15" ht="47.25" x14ac:dyDescent="0.25">
      <c r="A62" s="24" t="s">
        <v>139</v>
      </c>
      <c r="B62" s="24" t="s">
        <v>151</v>
      </c>
      <c r="C62" s="24">
        <v>5</v>
      </c>
      <c r="D62" s="19" t="s">
        <v>195</v>
      </c>
      <c r="E62" s="56">
        <v>328</v>
      </c>
      <c r="F62" s="56">
        <f>31+4</f>
        <v>35</v>
      </c>
      <c r="G62" s="56">
        <f>29+29+3+3</f>
        <v>64</v>
      </c>
      <c r="H62" s="24" t="s">
        <v>196</v>
      </c>
      <c r="I62" s="5">
        <v>204</v>
      </c>
      <c r="J62" s="45" t="s">
        <v>175</v>
      </c>
      <c r="K62" s="4" t="s">
        <v>121</v>
      </c>
      <c r="L62" s="4" t="s">
        <v>121</v>
      </c>
      <c r="M62" s="4" t="s">
        <v>178</v>
      </c>
      <c r="N62" s="50">
        <f>478+828+236</f>
        <v>1542</v>
      </c>
    </row>
    <row r="63" spans="1:15" ht="31.5" x14ac:dyDescent="0.25">
      <c r="A63" s="24"/>
      <c r="B63" s="24"/>
      <c r="C63" s="24"/>
      <c r="D63" s="19"/>
      <c r="E63" s="4"/>
      <c r="F63" s="57"/>
      <c r="G63" s="57"/>
      <c r="H63" s="27" t="s">
        <v>167</v>
      </c>
      <c r="I63" s="5">
        <v>811</v>
      </c>
      <c r="J63" s="45" t="s">
        <v>194</v>
      </c>
      <c r="K63" s="4" t="s">
        <v>121</v>
      </c>
      <c r="L63" s="4" t="s">
        <v>121</v>
      </c>
      <c r="M63" s="35"/>
      <c r="N63" s="50"/>
    </row>
    <row r="64" spans="1:15" ht="47.25" x14ac:dyDescent="0.25">
      <c r="A64" s="24" t="s">
        <v>38</v>
      </c>
      <c r="B64" s="24" t="s">
        <v>152</v>
      </c>
      <c r="C64" s="24">
        <v>5</v>
      </c>
      <c r="D64" s="19" t="s">
        <v>165</v>
      </c>
      <c r="E64" s="4">
        <v>420</v>
      </c>
      <c r="F64" s="4">
        <f>29+2</f>
        <v>31</v>
      </c>
      <c r="G64" s="4">
        <f>20+9+5+2+4</f>
        <v>40</v>
      </c>
      <c r="H64" s="27" t="s">
        <v>167</v>
      </c>
      <c r="I64" s="5">
        <f>772</f>
        <v>772</v>
      </c>
      <c r="J64" s="52" t="s">
        <v>176</v>
      </c>
      <c r="K64" s="4" t="s">
        <v>121</v>
      </c>
      <c r="L64" s="4" t="s">
        <v>121</v>
      </c>
      <c r="M64" s="4" t="s">
        <v>178</v>
      </c>
      <c r="N64" s="50">
        <f>291+446+545</f>
        <v>1282</v>
      </c>
    </row>
    <row r="65" spans="1:14" ht="15.75" x14ac:dyDescent="0.25">
      <c r="A65" s="12" t="s">
        <v>136</v>
      </c>
      <c r="B65" s="13"/>
      <c r="C65" s="14"/>
      <c r="D65" s="16"/>
      <c r="E65" s="16"/>
      <c r="F65" s="15"/>
      <c r="G65" s="15"/>
      <c r="H65" s="14"/>
      <c r="I65" s="14"/>
      <c r="J65" s="44"/>
      <c r="K65" s="13"/>
      <c r="L65" s="13"/>
      <c r="M65" s="14"/>
      <c r="N65" s="14"/>
    </row>
    <row r="66" spans="1:14" ht="47.25" x14ac:dyDescent="0.25">
      <c r="A66" s="24" t="s">
        <v>39</v>
      </c>
      <c r="B66" s="24" t="s">
        <v>153</v>
      </c>
      <c r="C66" s="24">
        <v>5</v>
      </c>
      <c r="D66" s="19" t="s">
        <v>166</v>
      </c>
      <c r="E66" s="4"/>
      <c r="F66" s="11"/>
      <c r="G66" s="11"/>
      <c r="H66" s="27" t="s">
        <v>167</v>
      </c>
      <c r="I66" s="5">
        <f>931</f>
        <v>931</v>
      </c>
      <c r="J66" s="52" t="s">
        <v>176</v>
      </c>
      <c r="K66" s="4" t="s">
        <v>121</v>
      </c>
      <c r="L66" s="4" t="s">
        <v>121</v>
      </c>
      <c r="M66" s="4" t="s">
        <v>178</v>
      </c>
      <c r="N66" s="50">
        <f>627+890+226</f>
        <v>1743</v>
      </c>
    </row>
    <row r="67" spans="1:14" ht="47.25" x14ac:dyDescent="0.25">
      <c r="A67" s="24" t="s">
        <v>140</v>
      </c>
      <c r="B67" s="24" t="s">
        <v>155</v>
      </c>
      <c r="C67" s="24">
        <v>15</v>
      </c>
      <c r="D67" s="19" t="s">
        <v>167</v>
      </c>
      <c r="E67" s="4">
        <v>1234</v>
      </c>
      <c r="F67" s="4">
        <f>206+34</f>
        <v>240</v>
      </c>
      <c r="G67" s="4">
        <f>357+100+48+23+36</f>
        <v>564</v>
      </c>
      <c r="H67" s="27" t="s">
        <v>167</v>
      </c>
      <c r="I67" s="5">
        <f>4601</f>
        <v>4601</v>
      </c>
      <c r="J67" s="52" t="s">
        <v>176</v>
      </c>
      <c r="K67" s="4" t="s">
        <v>121</v>
      </c>
      <c r="L67" s="4" t="s">
        <v>121</v>
      </c>
      <c r="M67" s="4" t="s">
        <v>178</v>
      </c>
      <c r="N67" s="50">
        <f>1866+1969+676</f>
        <v>4511</v>
      </c>
    </row>
    <row r="68" spans="1:14" ht="47.25" x14ac:dyDescent="0.25">
      <c r="A68" s="4" t="s">
        <v>141</v>
      </c>
      <c r="B68" s="5" t="s">
        <v>156</v>
      </c>
      <c r="C68" s="5">
        <v>5</v>
      </c>
      <c r="D68" s="19" t="s">
        <v>168</v>
      </c>
      <c r="E68" s="4">
        <v>503</v>
      </c>
      <c r="F68" s="4">
        <f>43+11</f>
        <v>54</v>
      </c>
      <c r="G68" s="4">
        <f>38+37+9+15+6</f>
        <v>105</v>
      </c>
      <c r="H68" s="19" t="s">
        <v>31</v>
      </c>
      <c r="I68" s="5">
        <v>87</v>
      </c>
      <c r="J68" s="45" t="s">
        <v>177</v>
      </c>
      <c r="K68" s="4" t="s">
        <v>121</v>
      </c>
      <c r="L68" s="4" t="s">
        <v>121</v>
      </c>
      <c r="M68" s="4" t="s">
        <v>178</v>
      </c>
      <c r="N68" s="50">
        <f>412+622+197</f>
        <v>1231</v>
      </c>
    </row>
    <row r="69" spans="1:14" ht="16.5" x14ac:dyDescent="0.25">
      <c r="A69" s="24"/>
      <c r="B69" s="24"/>
      <c r="C69" s="24"/>
      <c r="D69" s="19"/>
      <c r="E69" s="4"/>
      <c r="F69" s="4"/>
      <c r="G69" s="4"/>
      <c r="H69" s="4"/>
      <c r="I69" s="5"/>
      <c r="J69" s="42"/>
      <c r="K69" s="29"/>
      <c r="L69" s="29"/>
      <c r="M69" s="39"/>
      <c r="N69" s="50"/>
    </row>
    <row r="70" spans="1:14" ht="15.75" x14ac:dyDescent="0.25">
      <c r="A70" s="4"/>
      <c r="B70" s="10"/>
      <c r="C70" s="5"/>
      <c r="D70" s="11"/>
      <c r="E70" s="4"/>
      <c r="F70" s="11"/>
      <c r="G70" s="11"/>
      <c r="H70" s="5"/>
      <c r="I70" s="5"/>
      <c r="J70" s="6"/>
      <c r="K70" s="29"/>
      <c r="L70" s="29"/>
      <c r="M70" s="5"/>
      <c r="N70" s="50"/>
    </row>
    <row r="71" spans="1:14" x14ac:dyDescent="0.25">
      <c r="N71" s="50"/>
    </row>
    <row r="72" spans="1:14" x14ac:dyDescent="0.25">
      <c r="N72" s="51"/>
    </row>
    <row r="73" spans="1:14" x14ac:dyDescent="0.25">
      <c r="N73" s="51"/>
    </row>
    <row r="74" spans="1:14" x14ac:dyDescent="0.25">
      <c r="N74" s="51"/>
    </row>
  </sheetData>
  <pageMargins left="0.25" right="0.2" top="0.25" bottom="0.25" header="0.3" footer="0.3"/>
  <pageSetup scale="7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Fletcher</dc:creator>
  <cp:lastModifiedBy>Sarah Kester</cp:lastModifiedBy>
  <cp:lastPrinted>2023-05-10T17:15:00Z</cp:lastPrinted>
  <dcterms:created xsi:type="dcterms:W3CDTF">2022-06-02T15:38:24Z</dcterms:created>
  <dcterms:modified xsi:type="dcterms:W3CDTF">2023-05-10T17:35:14Z</dcterms:modified>
</cp:coreProperties>
</file>