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Calculations\Mass_Spec\Elements\"/>
    </mc:Choice>
  </mc:AlternateContent>
  <bookViews>
    <workbookView xWindow="0" yWindow="0" windowWidth="19170" windowHeight="7560" activeTab="1"/>
  </bookViews>
  <sheets>
    <sheet name="Ce_Calculations" sheetId="1" r:id="rId1"/>
    <sheet name="PPB_Ce_Aliquot_Sent" sheetId="2" r:id="rId2"/>
    <sheet name="DF" sheetId="5" r:id="rId3"/>
    <sheet name="PPB_Ce_to_Stoc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5" l="1"/>
  <c r="I36" i="5" s="1"/>
  <c r="L8" i="5"/>
  <c r="I20" i="5"/>
  <c r="E19" i="2"/>
  <c r="B19" i="2"/>
  <c r="B2" i="2" l="1"/>
  <c r="P2" i="5" l="1"/>
  <c r="Q2" i="5"/>
  <c r="O2" i="5"/>
  <c r="R7" i="1" l="1"/>
  <c r="C21" i="4"/>
  <c r="B31" i="2" l="1"/>
  <c r="C31" i="2"/>
  <c r="D31" i="2"/>
  <c r="E31" i="2"/>
  <c r="F31" i="2"/>
  <c r="G31" i="2"/>
  <c r="C30" i="2"/>
  <c r="D30" i="2"/>
  <c r="E30" i="2"/>
  <c r="F30" i="2"/>
  <c r="G30" i="2"/>
  <c r="B30" i="2"/>
  <c r="F9" i="2" l="1"/>
  <c r="F11" i="2"/>
  <c r="F13" i="2"/>
  <c r="F15" i="2"/>
  <c r="F17" i="2"/>
  <c r="F19" i="2"/>
  <c r="F21" i="2"/>
  <c r="F23" i="2"/>
  <c r="F25" i="2"/>
  <c r="F27" i="2"/>
  <c r="F29" i="2"/>
  <c r="F3" i="2"/>
  <c r="F5" i="2"/>
  <c r="F7" i="2"/>
  <c r="E9" i="2"/>
  <c r="E11" i="2"/>
  <c r="E13" i="2"/>
  <c r="E15" i="2"/>
  <c r="E17" i="2"/>
  <c r="E21" i="2"/>
  <c r="E23" i="2"/>
  <c r="E25" i="2"/>
  <c r="E27" i="2"/>
  <c r="E29" i="2"/>
  <c r="E3" i="2"/>
  <c r="L4" i="5" s="1"/>
  <c r="E5" i="2"/>
  <c r="E7" i="2"/>
  <c r="F10" i="2"/>
  <c r="F12" i="2"/>
  <c r="F14" i="2"/>
  <c r="F16" i="2"/>
  <c r="F18" i="2"/>
  <c r="F20" i="2"/>
  <c r="F22" i="2"/>
  <c r="F24" i="2"/>
  <c r="F26" i="2"/>
  <c r="F28" i="2"/>
  <c r="F8" i="2"/>
  <c r="F4" i="2"/>
  <c r="F6" i="2"/>
  <c r="F2" i="2"/>
  <c r="E10" i="2"/>
  <c r="E12" i="2"/>
  <c r="E14" i="2"/>
  <c r="E16" i="2"/>
  <c r="E18" i="2"/>
  <c r="E20" i="2"/>
  <c r="E22" i="2"/>
  <c r="E24" i="2"/>
  <c r="E26" i="2"/>
  <c r="E28" i="2"/>
  <c r="E8" i="2"/>
  <c r="E4" i="2"/>
  <c r="E6" i="2"/>
  <c r="E2" i="2"/>
  <c r="C9" i="2"/>
  <c r="C11" i="2"/>
  <c r="C13" i="2"/>
  <c r="C15" i="2"/>
  <c r="C17" i="2"/>
  <c r="C19" i="2"/>
  <c r="C21" i="2"/>
  <c r="C23" i="2"/>
  <c r="C25" i="2"/>
  <c r="C27" i="2"/>
  <c r="C29" i="2"/>
  <c r="B9" i="2"/>
  <c r="B11" i="2"/>
  <c r="B13" i="2"/>
  <c r="B15" i="2"/>
  <c r="B17" i="2"/>
  <c r="B21" i="2"/>
  <c r="B23" i="2"/>
  <c r="B25" i="2"/>
  <c r="B27" i="2"/>
  <c r="B29" i="2"/>
  <c r="C3" i="2"/>
  <c r="C5" i="2"/>
  <c r="C7" i="2"/>
  <c r="B3" i="2"/>
  <c r="B5" i="2"/>
  <c r="B7" i="2"/>
  <c r="C10" i="2"/>
  <c r="C14" i="2"/>
  <c r="C18" i="2"/>
  <c r="C22" i="2"/>
  <c r="C26" i="2"/>
  <c r="C8" i="2"/>
  <c r="B12" i="2"/>
  <c r="B16" i="2"/>
  <c r="B20" i="2"/>
  <c r="B24" i="2"/>
  <c r="B28" i="2"/>
  <c r="C4" i="2"/>
  <c r="C2" i="2"/>
  <c r="B6" i="2"/>
  <c r="C12" i="2"/>
  <c r="C16" i="2"/>
  <c r="C20" i="2"/>
  <c r="C24" i="2"/>
  <c r="C28" i="2"/>
  <c r="B10" i="2"/>
  <c r="B14" i="2"/>
  <c r="B18" i="2"/>
  <c r="B22" i="2"/>
  <c r="B26" i="2"/>
  <c r="B8" i="2"/>
  <c r="C6" i="2"/>
  <c r="B4" i="2"/>
  <c r="L4" i="1" l="1"/>
  <c r="J2" i="1"/>
  <c r="L2" i="1"/>
  <c r="R11" i="1" s="1"/>
  <c r="B38" i="1" l="1"/>
  <c r="L32" i="5" l="1"/>
  <c r="J3" i="1"/>
  <c r="L3" i="1"/>
  <c r="L5" i="1"/>
  <c r="A22" i="2"/>
  <c r="A23" i="2"/>
  <c r="A24" i="2"/>
  <c r="A25" i="2"/>
  <c r="A26" i="2"/>
  <c r="A27" i="2"/>
  <c r="A28" i="2"/>
  <c r="A29" i="2"/>
  <c r="O35" i="1" l="1"/>
  <c r="I30" i="5" l="1"/>
  <c r="O6" i="1"/>
  <c r="O15" i="1"/>
  <c r="O17" i="1"/>
  <c r="O19" i="1"/>
  <c r="O21" i="1"/>
  <c r="O23" i="1"/>
  <c r="O25" i="1"/>
  <c r="O27" i="1"/>
  <c r="O29" i="1"/>
  <c r="O31" i="1"/>
  <c r="O33" i="1"/>
  <c r="O7" i="1"/>
  <c r="O9" i="1"/>
  <c r="O11" i="1"/>
  <c r="O10" i="1"/>
  <c r="O34" i="1"/>
  <c r="O30" i="1"/>
  <c r="O26" i="1"/>
  <c r="O22" i="1"/>
  <c r="O18" i="1"/>
  <c r="O14" i="1"/>
  <c r="O8" i="1"/>
  <c r="O32" i="1"/>
  <c r="O28" i="1"/>
  <c r="O24" i="1"/>
  <c r="O20" i="1"/>
  <c r="O16" i="1"/>
  <c r="R35" i="1"/>
  <c r="D14" i="2" l="1"/>
  <c r="I15" i="5"/>
  <c r="I5" i="5"/>
  <c r="I21" i="5"/>
  <c r="I4" i="5"/>
  <c r="I18" i="5"/>
  <c r="D17" i="2"/>
  <c r="I14" i="5"/>
  <c r="I10" i="5"/>
  <c r="L30" i="5"/>
  <c r="I23" i="5"/>
  <c r="I13" i="5"/>
  <c r="I29" i="5"/>
  <c r="I26" i="5"/>
  <c r="D25" i="2"/>
  <c r="I22" i="5"/>
  <c r="I11" i="5"/>
  <c r="I19" i="5"/>
  <c r="I27" i="5"/>
  <c r="D26" i="2"/>
  <c r="I9" i="5"/>
  <c r="I17" i="5"/>
  <c r="I25" i="5"/>
  <c r="I7" i="5"/>
  <c r="I6" i="5"/>
  <c r="I28" i="5"/>
  <c r="I24" i="5"/>
  <c r="I16" i="5"/>
  <c r="I12" i="5"/>
  <c r="I3" i="5"/>
  <c r="L14" i="2"/>
  <c r="O15" i="5" s="1"/>
  <c r="I14" i="2"/>
  <c r="I25" i="2"/>
  <c r="I26" i="2"/>
  <c r="I17" i="2"/>
  <c r="L17" i="2"/>
  <c r="O18" i="5" s="1"/>
  <c r="L29" i="2"/>
  <c r="O30" i="5" s="1"/>
  <c r="R9" i="1"/>
  <c r="R15" i="1"/>
  <c r="R17" i="1"/>
  <c r="R19" i="1"/>
  <c r="R21" i="1"/>
  <c r="R23" i="1"/>
  <c r="R25" i="1"/>
  <c r="R27" i="1"/>
  <c r="R29" i="1"/>
  <c r="R31" i="1"/>
  <c r="R33" i="1"/>
  <c r="R6" i="1"/>
  <c r="R8" i="1"/>
  <c r="R14" i="1"/>
  <c r="R18" i="1"/>
  <c r="R22" i="1"/>
  <c r="R26" i="1"/>
  <c r="R30" i="1"/>
  <c r="R34" i="1"/>
  <c r="R10" i="1"/>
  <c r="R16" i="1"/>
  <c r="R20" i="1"/>
  <c r="R24" i="1"/>
  <c r="R28" i="1"/>
  <c r="R32" i="1"/>
  <c r="M15" i="1"/>
  <c r="M16" i="1"/>
  <c r="M17" i="1"/>
  <c r="M18" i="1"/>
  <c r="M19" i="1"/>
  <c r="M20" i="1"/>
  <c r="S20" i="1" s="1"/>
  <c r="M21" i="1"/>
  <c r="M22" i="1"/>
  <c r="M23" i="1"/>
  <c r="S23" i="1" s="1"/>
  <c r="T23" i="1" s="1"/>
  <c r="M24" i="1"/>
  <c r="M25" i="1"/>
  <c r="M26" i="1"/>
  <c r="M27" i="1"/>
  <c r="M28" i="1"/>
  <c r="M29" i="1"/>
  <c r="M30" i="1"/>
  <c r="M31" i="1"/>
  <c r="M32" i="1"/>
  <c r="M33" i="1"/>
  <c r="M34" i="1"/>
  <c r="M35" i="1"/>
  <c r="M14" i="1"/>
  <c r="M7" i="1"/>
  <c r="M8" i="1"/>
  <c r="M9" i="1"/>
  <c r="M10" i="1"/>
  <c r="M11" i="1"/>
  <c r="M6" i="1"/>
  <c r="K15" i="1"/>
  <c r="K16" i="1"/>
  <c r="K17" i="1"/>
  <c r="K18" i="1"/>
  <c r="K19" i="1"/>
  <c r="K20" i="1"/>
  <c r="P20" i="1" s="1"/>
  <c r="Q20" i="1" s="1"/>
  <c r="K21" i="1"/>
  <c r="K22" i="1"/>
  <c r="K23" i="1"/>
  <c r="P23" i="1" s="1"/>
  <c r="Q23" i="1" s="1"/>
  <c r="K24" i="1"/>
  <c r="K25" i="1"/>
  <c r="K26" i="1"/>
  <c r="K27" i="1"/>
  <c r="K28" i="1"/>
  <c r="K29" i="1"/>
  <c r="K30" i="1"/>
  <c r="K31" i="1"/>
  <c r="K32" i="1"/>
  <c r="K33" i="1"/>
  <c r="K34" i="1"/>
  <c r="K35" i="1"/>
  <c r="K14" i="1"/>
  <c r="K7" i="1"/>
  <c r="K8" i="1"/>
  <c r="K9" i="1"/>
  <c r="K10" i="1"/>
  <c r="K11" i="1"/>
  <c r="K6" i="1"/>
  <c r="L27" i="5" l="1"/>
  <c r="L19" i="5"/>
  <c r="L11" i="5"/>
  <c r="L29" i="5"/>
  <c r="L21" i="5"/>
  <c r="L13" i="5"/>
  <c r="L5" i="5"/>
  <c r="L28" i="5"/>
  <c r="L24" i="5"/>
  <c r="L20" i="5"/>
  <c r="L16" i="5"/>
  <c r="L12" i="5"/>
  <c r="L6" i="5"/>
  <c r="K27" i="5"/>
  <c r="J27" i="5"/>
  <c r="I37" i="5"/>
  <c r="I32" i="5"/>
  <c r="I35" i="5"/>
  <c r="I38" i="5"/>
  <c r="I33" i="5"/>
  <c r="L23" i="5"/>
  <c r="G14" i="2"/>
  <c r="L15" i="5"/>
  <c r="L7" i="5"/>
  <c r="L25" i="5"/>
  <c r="L17" i="5"/>
  <c r="L9" i="5"/>
  <c r="L3" i="5"/>
  <c r="L26" i="5"/>
  <c r="L22" i="5"/>
  <c r="G17" i="2"/>
  <c r="L18" i="5"/>
  <c r="L14" i="5"/>
  <c r="L10" i="5"/>
  <c r="J26" i="5"/>
  <c r="K26" i="5"/>
  <c r="J18" i="5"/>
  <c r="K18" i="5"/>
  <c r="I34" i="5"/>
  <c r="J15" i="5"/>
  <c r="K15" i="5"/>
  <c r="Q18" i="5"/>
  <c r="P18" i="5"/>
  <c r="Q15" i="5"/>
  <c r="P15" i="5"/>
  <c r="L18" i="2"/>
  <c r="O19" i="5" s="1"/>
  <c r="L28" i="2"/>
  <c r="O29" i="5" s="1"/>
  <c r="L12" i="2"/>
  <c r="O13" i="5" s="1"/>
  <c r="L27" i="2"/>
  <c r="O28" i="5" s="1"/>
  <c r="L19" i="2"/>
  <c r="O20" i="5" s="1"/>
  <c r="L11" i="2"/>
  <c r="O12" i="5" s="1"/>
  <c r="L3" i="2"/>
  <c r="O4" i="5" s="1"/>
  <c r="N17" i="2"/>
  <c r="M17" i="2"/>
  <c r="L26" i="2"/>
  <c r="O27" i="5" s="1"/>
  <c r="L7" i="2"/>
  <c r="O8" i="5" s="1"/>
  <c r="N14" i="2"/>
  <c r="M14" i="2"/>
  <c r="L22" i="2"/>
  <c r="O23" i="5" s="1"/>
  <c r="J14" i="2"/>
  <c r="L6" i="2"/>
  <c r="O7" i="5" s="1"/>
  <c r="L24" i="2"/>
  <c r="O25" i="5" s="1"/>
  <c r="L16" i="2"/>
  <c r="O17" i="5" s="1"/>
  <c r="L8" i="2"/>
  <c r="O9" i="5" s="1"/>
  <c r="L2" i="2"/>
  <c r="O3" i="5" s="1"/>
  <c r="L25" i="2"/>
  <c r="O26" i="5" s="1"/>
  <c r="L21" i="2"/>
  <c r="O22" i="5" s="1"/>
  <c r="J17" i="2"/>
  <c r="L13" i="2"/>
  <c r="O14" i="5" s="1"/>
  <c r="E5" i="4"/>
  <c r="L9" i="2"/>
  <c r="O10" i="5" s="1"/>
  <c r="L15" i="2"/>
  <c r="O16" i="5" s="1"/>
  <c r="L23" i="2"/>
  <c r="O24" i="5" s="1"/>
  <c r="L10" i="2"/>
  <c r="O11" i="5" s="1"/>
  <c r="L20" i="2"/>
  <c r="O21" i="5" s="1"/>
  <c r="L4" i="2"/>
  <c r="O5" i="5" s="1"/>
  <c r="E4" i="4"/>
  <c r="E7" i="4"/>
  <c r="E6" i="4"/>
  <c r="T20" i="1"/>
  <c r="B6" i="4"/>
  <c r="B3" i="4"/>
  <c r="B4" i="4"/>
  <c r="B2" i="4"/>
  <c r="B5" i="4"/>
  <c r="B7" i="4"/>
  <c r="M15" i="5" l="1"/>
  <c r="N15" i="5"/>
  <c r="L35" i="5"/>
  <c r="L34" i="5"/>
  <c r="L33" i="5"/>
  <c r="L38" i="5"/>
  <c r="N18" i="5"/>
  <c r="M18" i="5"/>
  <c r="L37" i="5"/>
  <c r="L36" i="5"/>
  <c r="O32" i="5"/>
  <c r="S32" i="5" s="1"/>
  <c r="O36" i="5"/>
  <c r="O33" i="5"/>
  <c r="O38" i="5"/>
  <c r="O37" i="5"/>
  <c r="B9" i="4"/>
  <c r="B13" i="4" s="1"/>
  <c r="L5" i="2"/>
  <c r="O6" i="5" s="1"/>
  <c r="E2" i="4"/>
  <c r="E3" i="4"/>
  <c r="E9" i="4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1" i="2"/>
  <c r="C1" i="2"/>
  <c r="D1" i="2"/>
  <c r="E1" i="2"/>
  <c r="F1" i="2"/>
  <c r="G1" i="2"/>
  <c r="B1" i="2"/>
  <c r="S36" i="5" l="1"/>
  <c r="B1" i="4"/>
  <c r="I2" i="5"/>
  <c r="F1" i="4"/>
  <c r="M2" i="5"/>
  <c r="D1" i="4"/>
  <c r="K2" i="5"/>
  <c r="G1" i="4"/>
  <c r="N2" i="5"/>
  <c r="E1" i="4"/>
  <c r="L2" i="5"/>
  <c r="C1" i="4"/>
  <c r="J2" i="5"/>
  <c r="O34" i="5"/>
  <c r="O35" i="5"/>
  <c r="A7" i="4"/>
  <c r="A5" i="4"/>
  <c r="A3" i="4"/>
  <c r="A1" i="4"/>
  <c r="A6" i="4"/>
  <c r="A4" i="4"/>
  <c r="A2" i="4"/>
  <c r="F28" i="1" l="1"/>
  <c r="F29" i="1"/>
  <c r="F30" i="1"/>
  <c r="F31" i="1"/>
  <c r="F32" i="1"/>
  <c r="F33" i="1"/>
  <c r="F34" i="1"/>
  <c r="F35" i="1"/>
  <c r="F7" i="1"/>
  <c r="F8" i="1"/>
  <c r="F9" i="1"/>
  <c r="F10" i="1"/>
  <c r="F11" i="1"/>
  <c r="F14" i="1"/>
  <c r="F15" i="1"/>
  <c r="F16" i="1"/>
  <c r="F17" i="1"/>
  <c r="F18" i="1"/>
  <c r="F19" i="1"/>
  <c r="F21" i="1"/>
  <c r="F22" i="1"/>
  <c r="F24" i="1"/>
  <c r="F25" i="1"/>
  <c r="F26" i="1"/>
  <c r="F27" i="1"/>
  <c r="F6" i="1"/>
  <c r="S35" i="1" l="1"/>
  <c r="P35" i="1"/>
  <c r="P27" i="1"/>
  <c r="S27" i="1"/>
  <c r="P25" i="1"/>
  <c r="S25" i="1"/>
  <c r="S22" i="1"/>
  <c r="P22" i="1"/>
  <c r="P19" i="1"/>
  <c r="S19" i="1"/>
  <c r="P17" i="1"/>
  <c r="S17" i="1"/>
  <c r="P15" i="1"/>
  <c r="S15" i="1"/>
  <c r="P11" i="1"/>
  <c r="S11" i="1"/>
  <c r="P9" i="1"/>
  <c r="S9" i="1"/>
  <c r="P7" i="1"/>
  <c r="S7" i="1"/>
  <c r="P34" i="1"/>
  <c r="S34" i="1"/>
  <c r="P32" i="1"/>
  <c r="S32" i="1"/>
  <c r="S30" i="1"/>
  <c r="P30" i="1"/>
  <c r="S28" i="1"/>
  <c r="P28" i="1"/>
  <c r="P6" i="1"/>
  <c r="S6" i="1"/>
  <c r="P26" i="1"/>
  <c r="S26" i="1"/>
  <c r="P24" i="1"/>
  <c r="S24" i="1"/>
  <c r="P21" i="1"/>
  <c r="S21" i="1"/>
  <c r="P18" i="1"/>
  <c r="S18" i="1"/>
  <c r="P16" i="1"/>
  <c r="S16" i="1"/>
  <c r="P14" i="1"/>
  <c r="S14" i="1"/>
  <c r="S10" i="1"/>
  <c r="P10" i="1"/>
  <c r="P8" i="1"/>
  <c r="S8" i="1"/>
  <c r="P33" i="1"/>
  <c r="S33" i="1"/>
  <c r="P31" i="1"/>
  <c r="S31" i="1"/>
  <c r="P29" i="1"/>
  <c r="S29" i="1"/>
  <c r="G27" i="1"/>
  <c r="G6" i="1"/>
  <c r="G26" i="1"/>
  <c r="G24" i="1"/>
  <c r="G21" i="1"/>
  <c r="G18" i="1"/>
  <c r="G16" i="1"/>
  <c r="G14" i="1"/>
  <c r="G10" i="1"/>
  <c r="G8" i="1"/>
  <c r="G35" i="1"/>
  <c r="G33" i="1"/>
  <c r="G31" i="1"/>
  <c r="G29" i="1"/>
  <c r="G25" i="1"/>
  <c r="G22" i="1"/>
  <c r="G19" i="1"/>
  <c r="G17" i="1"/>
  <c r="G15" i="1"/>
  <c r="G11" i="1"/>
  <c r="G9" i="1"/>
  <c r="G7" i="1"/>
  <c r="G34" i="1"/>
  <c r="G32" i="1"/>
  <c r="G30" i="1"/>
  <c r="G28" i="1"/>
  <c r="G23" i="2" l="1"/>
  <c r="M24" i="5"/>
  <c r="N24" i="5" s="1"/>
  <c r="G25" i="2"/>
  <c r="J25" i="2"/>
  <c r="M25" i="2" s="1"/>
  <c r="M26" i="5"/>
  <c r="N26" i="5" s="1"/>
  <c r="J27" i="2"/>
  <c r="G27" i="2"/>
  <c r="M28" i="5"/>
  <c r="N28" i="5" s="1"/>
  <c r="G4" i="2"/>
  <c r="J4" i="2"/>
  <c r="M5" i="5"/>
  <c r="N5" i="5" s="1"/>
  <c r="D6" i="2"/>
  <c r="J7" i="5"/>
  <c r="K7" i="5" s="1"/>
  <c r="G8" i="2"/>
  <c r="M9" i="5"/>
  <c r="N9" i="5" s="1"/>
  <c r="G10" i="2"/>
  <c r="M11" i="5"/>
  <c r="N11" i="5" s="1"/>
  <c r="G12" i="2"/>
  <c r="M13" i="5"/>
  <c r="N13" i="5" s="1"/>
  <c r="G15" i="2"/>
  <c r="M16" i="5"/>
  <c r="N16" i="5" s="1"/>
  <c r="J18" i="2"/>
  <c r="G18" i="2"/>
  <c r="M19" i="5"/>
  <c r="N19" i="5" s="1"/>
  <c r="G20" i="2"/>
  <c r="M21" i="5"/>
  <c r="N21" i="5" s="1"/>
  <c r="G2" i="2"/>
  <c r="M3" i="5"/>
  <c r="N3" i="5" s="1"/>
  <c r="D22" i="2"/>
  <c r="J23" i="5"/>
  <c r="K23" i="5" s="1"/>
  <c r="I24" i="2"/>
  <c r="D24" i="2"/>
  <c r="J25" i="5"/>
  <c r="K25" i="5" s="1"/>
  <c r="G26" i="2"/>
  <c r="J26" i="2"/>
  <c r="M26" i="2" s="1"/>
  <c r="M27" i="5"/>
  <c r="N27" i="5" s="1"/>
  <c r="J28" i="2"/>
  <c r="G28" i="2"/>
  <c r="M29" i="5"/>
  <c r="N29" i="5" s="1"/>
  <c r="G3" i="2"/>
  <c r="M4" i="5"/>
  <c r="N4" i="5" s="1"/>
  <c r="G5" i="2"/>
  <c r="J5" i="2"/>
  <c r="M6" i="5"/>
  <c r="N6" i="5" s="1"/>
  <c r="G7" i="2"/>
  <c r="M8" i="5"/>
  <c r="G9" i="2"/>
  <c r="M10" i="5"/>
  <c r="N10" i="5" s="1"/>
  <c r="G11" i="2"/>
  <c r="M12" i="5"/>
  <c r="N12" i="5" s="1"/>
  <c r="G13" i="2"/>
  <c r="M14" i="5"/>
  <c r="N14" i="5" s="1"/>
  <c r="D16" i="2"/>
  <c r="J17" i="5"/>
  <c r="K17" i="5" s="1"/>
  <c r="G19" i="2"/>
  <c r="M20" i="5"/>
  <c r="N20" i="5" s="1"/>
  <c r="G21" i="2"/>
  <c r="M22" i="5"/>
  <c r="N22" i="5" s="1"/>
  <c r="D29" i="2"/>
  <c r="I29" i="2"/>
  <c r="J30" i="5"/>
  <c r="K30" i="5" s="1"/>
  <c r="D23" i="2"/>
  <c r="J24" i="5"/>
  <c r="K24" i="5" s="1"/>
  <c r="D27" i="2"/>
  <c r="I27" i="2"/>
  <c r="J28" i="5"/>
  <c r="K28" i="5" s="1"/>
  <c r="D4" i="2"/>
  <c r="J5" i="5"/>
  <c r="K5" i="5" s="1"/>
  <c r="G6" i="2"/>
  <c r="M7" i="5"/>
  <c r="N7" i="5" s="1"/>
  <c r="D8" i="2"/>
  <c r="J9" i="5"/>
  <c r="K9" i="5" s="1"/>
  <c r="D10" i="2"/>
  <c r="J11" i="5"/>
  <c r="K11" i="5" s="1"/>
  <c r="D12" i="2"/>
  <c r="J13" i="5"/>
  <c r="K13" i="5" s="1"/>
  <c r="D15" i="2"/>
  <c r="J16" i="5"/>
  <c r="K16" i="5" s="1"/>
  <c r="D18" i="2"/>
  <c r="J19" i="5"/>
  <c r="K19" i="5" s="1"/>
  <c r="D20" i="2"/>
  <c r="J21" i="5"/>
  <c r="K21" i="5" s="1"/>
  <c r="D2" i="2"/>
  <c r="J3" i="5"/>
  <c r="K3" i="5" s="1"/>
  <c r="G22" i="2"/>
  <c r="M23" i="5"/>
  <c r="N23" i="5" s="1"/>
  <c r="G24" i="2"/>
  <c r="M25" i="5"/>
  <c r="N25" i="5" s="1"/>
  <c r="D28" i="2"/>
  <c r="I28" i="2"/>
  <c r="J29" i="5"/>
  <c r="K29" i="5" s="1"/>
  <c r="D3" i="2"/>
  <c r="J4" i="5"/>
  <c r="K4" i="5" s="1"/>
  <c r="D5" i="2"/>
  <c r="J6" i="5"/>
  <c r="K6" i="5" s="1"/>
  <c r="D7" i="2"/>
  <c r="J8" i="5"/>
  <c r="D9" i="2"/>
  <c r="J10" i="5"/>
  <c r="K10" i="5" s="1"/>
  <c r="D11" i="2"/>
  <c r="J12" i="5"/>
  <c r="K12" i="5" s="1"/>
  <c r="D13" i="2"/>
  <c r="J14" i="5"/>
  <c r="K14" i="5" s="1"/>
  <c r="G16" i="2"/>
  <c r="J16" i="2"/>
  <c r="M17" i="5"/>
  <c r="N17" i="5" s="1"/>
  <c r="D19" i="2"/>
  <c r="J20" i="5"/>
  <c r="K20" i="5" s="1"/>
  <c r="D21" i="2"/>
  <c r="J22" i="5"/>
  <c r="K22" i="5" s="1"/>
  <c r="G29" i="2"/>
  <c r="M30" i="5"/>
  <c r="N30" i="5" s="1"/>
  <c r="J23" i="2"/>
  <c r="I6" i="2"/>
  <c r="J8" i="2"/>
  <c r="J10" i="2"/>
  <c r="J12" i="2"/>
  <c r="J15" i="2"/>
  <c r="J20" i="2"/>
  <c r="J2" i="2"/>
  <c r="I22" i="2"/>
  <c r="J3" i="2"/>
  <c r="J7" i="2"/>
  <c r="J9" i="2"/>
  <c r="J11" i="2"/>
  <c r="J13" i="2"/>
  <c r="I16" i="2"/>
  <c r="J19" i="2"/>
  <c r="J21" i="2"/>
  <c r="I23" i="2"/>
  <c r="I4" i="2"/>
  <c r="J6" i="2"/>
  <c r="I8" i="2"/>
  <c r="I10" i="2"/>
  <c r="I12" i="2"/>
  <c r="I15" i="2"/>
  <c r="I18" i="2"/>
  <c r="I20" i="2"/>
  <c r="I2" i="2"/>
  <c r="J22" i="2"/>
  <c r="J24" i="2"/>
  <c r="I3" i="2"/>
  <c r="I5" i="2"/>
  <c r="I7" i="2"/>
  <c r="I9" i="2"/>
  <c r="I11" i="2"/>
  <c r="I13" i="2"/>
  <c r="I19" i="2"/>
  <c r="I21" i="2"/>
  <c r="J29" i="2"/>
  <c r="M29" i="2" s="1"/>
  <c r="T31" i="1"/>
  <c r="Q33" i="1"/>
  <c r="Q8" i="1"/>
  <c r="T21" i="1"/>
  <c r="Q32" i="1"/>
  <c r="T34" i="1"/>
  <c r="Q9" i="1"/>
  <c r="Q31" i="1"/>
  <c r="T33" i="1"/>
  <c r="T8" i="1"/>
  <c r="Q21" i="1"/>
  <c r="T24" i="1"/>
  <c r="Q24" i="1"/>
  <c r="T32" i="1"/>
  <c r="Q34" i="1"/>
  <c r="T9" i="1"/>
  <c r="Q22" i="1"/>
  <c r="T22" i="1"/>
  <c r="T29" i="1"/>
  <c r="T10" i="1"/>
  <c r="T14" i="1"/>
  <c r="Q16" i="1"/>
  <c r="T26" i="1"/>
  <c r="T6" i="1"/>
  <c r="Q6" i="1"/>
  <c r="T28" i="1"/>
  <c r="T30" i="1"/>
  <c r="T7" i="1"/>
  <c r="T11" i="1"/>
  <c r="Q15" i="1"/>
  <c r="Q17" i="1"/>
  <c r="T19" i="1"/>
  <c r="Q25" i="1"/>
  <c r="T27" i="1"/>
  <c r="Q35" i="1"/>
  <c r="Q29" i="1"/>
  <c r="Q10" i="1"/>
  <c r="Q14" i="1"/>
  <c r="T16" i="1"/>
  <c r="T18" i="1"/>
  <c r="Q18" i="1"/>
  <c r="Q26" i="1"/>
  <c r="Q28" i="1"/>
  <c r="Q30" i="1"/>
  <c r="Q7" i="1"/>
  <c r="Q11" i="1"/>
  <c r="T15" i="1"/>
  <c r="T17" i="1"/>
  <c r="Q19" i="1"/>
  <c r="T25" i="1"/>
  <c r="Q27" i="1"/>
  <c r="T35" i="1"/>
  <c r="M10" i="2" l="1"/>
  <c r="M15" i="2"/>
  <c r="M5" i="2"/>
  <c r="P6" i="5" s="1"/>
  <c r="Q6" i="5" s="1"/>
  <c r="M12" i="2"/>
  <c r="N12" i="2" s="1"/>
  <c r="M16" i="2"/>
  <c r="N16" i="2" s="1"/>
  <c r="M3" i="2"/>
  <c r="N3" i="2" s="1"/>
  <c r="M21" i="2"/>
  <c r="M24" i="2"/>
  <c r="N24" i="2" s="1"/>
  <c r="M8" i="2"/>
  <c r="P9" i="5" s="1"/>
  <c r="Q9" i="5" s="1"/>
  <c r="N8" i="5"/>
  <c r="M36" i="5"/>
  <c r="N36" i="5" s="1"/>
  <c r="M32" i="5"/>
  <c r="N32" i="5" s="1"/>
  <c r="M18" i="2"/>
  <c r="P19" i="5" s="1"/>
  <c r="Q19" i="5" s="1"/>
  <c r="K8" i="5"/>
  <c r="J32" i="5"/>
  <c r="J36" i="5"/>
  <c r="M27" i="2"/>
  <c r="P28" i="5" s="1"/>
  <c r="Q28" i="5" s="1"/>
  <c r="M28" i="2"/>
  <c r="P29" i="5" s="1"/>
  <c r="Q29" i="5" s="1"/>
  <c r="M4" i="2"/>
  <c r="P5" i="5" s="1"/>
  <c r="Q5" i="5" s="1"/>
  <c r="N28" i="2"/>
  <c r="N25" i="2"/>
  <c r="P26" i="5"/>
  <c r="Q26" i="5" s="1"/>
  <c r="N26" i="2"/>
  <c r="P27" i="5"/>
  <c r="Q27" i="5" s="1"/>
  <c r="N29" i="2"/>
  <c r="P30" i="5"/>
  <c r="Q30" i="5" s="1"/>
  <c r="N15" i="2"/>
  <c r="P16" i="5"/>
  <c r="Q16" i="5" s="1"/>
  <c r="N10" i="2"/>
  <c r="P11" i="5"/>
  <c r="Q11" i="5" s="1"/>
  <c r="N21" i="2"/>
  <c r="P22" i="5"/>
  <c r="Q22" i="5" s="1"/>
  <c r="M13" i="2"/>
  <c r="M9" i="2"/>
  <c r="M11" i="2"/>
  <c r="M7" i="2"/>
  <c r="M20" i="2"/>
  <c r="M23" i="2"/>
  <c r="M2" i="2"/>
  <c r="M19" i="2"/>
  <c r="M22" i="2"/>
  <c r="M6" i="2"/>
  <c r="F5" i="4"/>
  <c r="G5" i="4"/>
  <c r="G4" i="4"/>
  <c r="F4" i="4"/>
  <c r="D5" i="4"/>
  <c r="C5" i="4"/>
  <c r="D4" i="4"/>
  <c r="C4" i="4"/>
  <c r="C7" i="4"/>
  <c r="D7" i="4"/>
  <c r="C6" i="4"/>
  <c r="D6" i="4"/>
  <c r="F7" i="4"/>
  <c r="G7" i="4"/>
  <c r="F3" i="4"/>
  <c r="G3" i="4"/>
  <c r="C2" i="4"/>
  <c r="D2" i="4"/>
  <c r="F2" i="4"/>
  <c r="G2" i="4"/>
  <c r="F6" i="4"/>
  <c r="G6" i="4"/>
  <c r="C3" i="4"/>
  <c r="D3" i="4"/>
  <c r="P17" i="5" l="1"/>
  <c r="Q17" i="5" s="1"/>
  <c r="P13" i="5"/>
  <c r="Q13" i="5" s="1"/>
  <c r="N5" i="2"/>
  <c r="N18" i="2"/>
  <c r="N8" i="2"/>
  <c r="P4" i="5"/>
  <c r="Q4" i="5" s="1"/>
  <c r="N4" i="2"/>
  <c r="P25" i="5"/>
  <c r="Q25" i="5" s="1"/>
  <c r="N27" i="2"/>
  <c r="K36" i="5"/>
  <c r="K32" i="5"/>
  <c r="N6" i="2"/>
  <c r="P7" i="5"/>
  <c r="Q7" i="5" s="1"/>
  <c r="N23" i="2"/>
  <c r="P24" i="5"/>
  <c r="Q24" i="5" s="1"/>
  <c r="N9" i="2"/>
  <c r="P10" i="5"/>
  <c r="Q10" i="5" s="1"/>
  <c r="N19" i="2"/>
  <c r="P20" i="5"/>
  <c r="Q20" i="5" s="1"/>
  <c r="N7" i="2"/>
  <c r="P8" i="5"/>
  <c r="N22" i="2"/>
  <c r="P23" i="5"/>
  <c r="Q23" i="5" s="1"/>
  <c r="N2" i="2"/>
  <c r="P3" i="5"/>
  <c r="Q3" i="5" s="1"/>
  <c r="N20" i="2"/>
  <c r="P21" i="5"/>
  <c r="Q21" i="5" s="1"/>
  <c r="N11" i="2"/>
  <c r="P12" i="5"/>
  <c r="Q12" i="5" s="1"/>
  <c r="N13" i="2"/>
  <c r="P14" i="5"/>
  <c r="Q14" i="5" s="1"/>
  <c r="C9" i="4"/>
  <c r="Q8" i="5" l="1"/>
  <c r="P36" i="5"/>
  <c r="P32" i="5"/>
  <c r="D9" i="4"/>
  <c r="D13" i="4" s="1"/>
  <c r="C13" i="4"/>
  <c r="Q36" i="5" l="1"/>
  <c r="T36" i="5"/>
  <c r="U36" i="5" s="1"/>
  <c r="Q32" i="5"/>
  <c r="T32" i="5"/>
  <c r="U32" i="5" s="1"/>
</calcChain>
</file>

<file path=xl/sharedStrings.xml><?xml version="1.0" encoding="utf-8"?>
<sst xmlns="http://schemas.openxmlformats.org/spreadsheetml/2006/main" count="207" uniqueCount="87">
  <si>
    <t>Sample ID</t>
  </si>
  <si>
    <t>Total aliquot (g)</t>
  </si>
  <si>
    <t>Total dilution mass (g)</t>
  </si>
  <si>
    <t>DF initial</t>
  </si>
  <si>
    <t>87G Trace</t>
  </si>
  <si>
    <t>90G Trace</t>
  </si>
  <si>
    <t>93G Trace</t>
  </si>
  <si>
    <t>96G Trace</t>
  </si>
  <si>
    <t>30G Trace Waste</t>
  </si>
  <si>
    <t>30G Trace Original</t>
  </si>
  <si>
    <t>86G Trace</t>
  </si>
  <si>
    <t>24G Taper Waste</t>
  </si>
  <si>
    <t>24G Trace Original</t>
  </si>
  <si>
    <t>47G</t>
  </si>
  <si>
    <t>48G</t>
  </si>
  <si>
    <t>49G</t>
  </si>
  <si>
    <t>50G</t>
  </si>
  <si>
    <t>51G</t>
  </si>
  <si>
    <t>52G</t>
  </si>
  <si>
    <t>42G taper</t>
  </si>
  <si>
    <t>70G</t>
  </si>
  <si>
    <t>71G</t>
  </si>
  <si>
    <t>72G</t>
  </si>
  <si>
    <t>73G</t>
  </si>
  <si>
    <t xml:space="preserve">74G </t>
  </si>
  <si>
    <t xml:space="preserve">75G trace waste </t>
  </si>
  <si>
    <t>**</t>
  </si>
  <si>
    <t>81G trace</t>
  </si>
  <si>
    <t>82G trace</t>
  </si>
  <si>
    <t>83G Trace</t>
  </si>
  <si>
    <t>84G trace</t>
  </si>
  <si>
    <t>53G</t>
  </si>
  <si>
    <t>94G</t>
  </si>
  <si>
    <t>±</t>
  </si>
  <si>
    <t>Avg (ppb/cps)</t>
  </si>
  <si>
    <t>g</t>
  </si>
  <si>
    <t>%</t>
  </si>
  <si>
    <t>Assumed Mass Error =</t>
  </si>
  <si>
    <t xml:space="preserve">Assumed Count Time = </t>
  </si>
  <si>
    <t>seconds</t>
  </si>
  <si>
    <t>ppb</t>
  </si>
  <si>
    <t>You may question, as I did, why the % error decreases…I plugged in the standard error propagation formula, and these are the results</t>
  </si>
  <si>
    <t>If you see an error in my calculations please let me know.</t>
  </si>
  <si>
    <t>These results are before background is subtracted out</t>
  </si>
  <si>
    <t>Some of the % errors drastically increase because the numbers are near the LLD</t>
  </si>
  <si>
    <t>In order to go up to original solutions 93G Trace and 96G Trace had to be multiplied by constants</t>
  </si>
  <si>
    <t>MS-B 10.19 ppb</t>
  </si>
  <si>
    <t>Vial 30G Trace Original is the original stock solution</t>
  </si>
  <si>
    <t>The book says ~51 (lab notebook pg 123)</t>
  </si>
  <si>
    <t>Based on dry run and blanks sent I would estimate the Sm concentration in TBP to be about ???? ppb</t>
  </si>
  <si>
    <t>% of STD</t>
  </si>
  <si>
    <t>% of Prop</t>
  </si>
  <si>
    <t>Based on dry run and blanks sent I would estimate the Sm concentration in the vials themselves to be ????</t>
  </si>
  <si>
    <t>Vial 87G basically vial 30G after 4 TBP contacts</t>
  </si>
  <si>
    <t>Background subtracted Ce values reported above. Isotope 142 had Nd subtracted out as well</t>
  </si>
  <si>
    <t>Lower limits of detection were determined based on the background Ce levels within each sample (see Mass_Contamination.xlsx File)</t>
  </si>
  <si>
    <t>Ce140</t>
  </si>
  <si>
    <t>Ce 142</t>
  </si>
  <si>
    <t>Value no good</t>
  </si>
  <si>
    <t>Activity Ce -144</t>
  </si>
  <si>
    <t>30 G</t>
  </si>
  <si>
    <t>87G</t>
  </si>
  <si>
    <t>DF activity</t>
  </si>
  <si>
    <t>±^2</t>
  </si>
  <si>
    <t>Ce Response</t>
  </si>
  <si>
    <t>CPS</t>
  </si>
  <si>
    <t>MS-B (ppb/cps)</t>
  </si>
  <si>
    <t>Nd Response</t>
  </si>
  <si>
    <t>Nd background on 142 (Ce background as well)</t>
  </si>
  <si>
    <t>Assumed response with no Nd (subtracted (Ce as well) in PPB_Ce_Aliquot_Sent)</t>
  </si>
  <si>
    <t>Sum Ce</t>
  </si>
  <si>
    <t>± (ppb)</t>
  </si>
  <si>
    <t>Background (Ce/Nd) (ppb)</t>
  </si>
  <si>
    <t>Background</t>
  </si>
  <si>
    <t>Ce 144 Value</t>
  </si>
  <si>
    <t>U ppb</t>
  </si>
  <si>
    <t>Pu ppb</t>
  </si>
  <si>
    <t>over Pu tot</t>
  </si>
  <si>
    <t>DF M1</t>
  </si>
  <si>
    <t>DF M2</t>
  </si>
  <si>
    <t>DF M3</t>
  </si>
  <si>
    <t>DF S</t>
  </si>
  <si>
    <t>DF P1</t>
  </si>
  <si>
    <t>DF P2</t>
  </si>
  <si>
    <t>DF MT</t>
  </si>
  <si>
    <t>Evaporation Correction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</si>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</sst>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2" applyNumberFormat="0" applyFont="0" applyFill="0" applyAlignment="0" applyProtection="0"/>
  </cellStyleXfs>
  <cellXfs count="7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Border="1"/>
    <xf numFmtId="10" fontId="0" fillId="0" borderId="0" xfId="0" applyNumberFormat="1" applyBorder="1"/>
    <xf numFmtId="10" fontId="0" fillId="0" borderId="0" xfId="0" applyNumberFormat="1"/>
    <xf numFmtId="0" fontId="0" fillId="0" borderId="2" xfId="0" applyBorder="1"/>
    <xf numFmtId="0" fontId="0" fillId="3" borderId="0" xfId="0" applyFill="1"/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1" fontId="0" fillId="3" borderId="0" xfId="0" applyNumberFormat="1" applyFill="1"/>
    <xf numFmtId="11" fontId="0" fillId="0" borderId="0" xfId="0" applyNumberFormat="1" applyAlignment="1">
      <alignment horizontal="center"/>
    </xf>
    <xf numFmtId="11" fontId="0" fillId="0" borderId="0" xfId="0" applyNumberFormat="1"/>
    <xf numFmtId="10" fontId="0" fillId="3" borderId="0" xfId="0" applyNumberFormat="1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4" borderId="0" xfId="0" applyNumberFormat="1" applyFill="1" applyBorder="1"/>
    <xf numFmtId="9" fontId="0" fillId="4" borderId="0" xfId="0" applyNumberFormat="1" applyFill="1" applyBorder="1"/>
    <xf numFmtId="0" fontId="0" fillId="4" borderId="0" xfId="0" applyFill="1"/>
    <xf numFmtId="10" fontId="0" fillId="4" borderId="0" xfId="0" applyNumberFormat="1" applyFill="1"/>
    <xf numFmtId="10" fontId="0" fillId="4" borderId="0" xfId="0" applyNumberFormat="1" applyFill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2" xfId="1" applyFont="1"/>
    <xf numFmtId="0" fontId="2" fillId="0" borderId="0" xfId="0" applyFont="1" applyFill="1" applyBorder="1"/>
    <xf numFmtId="0" fontId="2" fillId="5" borderId="0" xfId="0" applyFont="1" applyFill="1" applyBorder="1"/>
    <xf numFmtId="0" fontId="0" fillId="6" borderId="0" xfId="0" applyFill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3" borderId="4" xfId="0" applyFill="1" applyBorder="1"/>
    <xf numFmtId="0" fontId="0" fillId="0" borderId="7" xfId="0" applyBorder="1"/>
    <xf numFmtId="0" fontId="0" fillId="3" borderId="7" xfId="0" applyFill="1" applyBorder="1"/>
    <xf numFmtId="11" fontId="0" fillId="3" borderId="7" xfId="0" applyNumberFormat="1" applyFill="1" applyBorder="1"/>
    <xf numFmtId="11" fontId="0" fillId="0" borderId="7" xfId="0" applyNumberFormat="1" applyBorder="1"/>
    <xf numFmtId="0" fontId="0" fillId="4" borderId="7" xfId="0" applyFill="1" applyBorder="1"/>
    <xf numFmtId="0" fontId="0" fillId="3" borderId="6" xfId="0" applyFill="1" applyBorder="1"/>
    <xf numFmtId="0" fontId="0" fillId="0" borderId="0" xfId="0" applyAlignment="1">
      <alignment wrapText="1"/>
    </xf>
    <xf numFmtId="0" fontId="0" fillId="0" borderId="6" xfId="0" applyFill="1" applyBorder="1"/>
    <xf numFmtId="0" fontId="2" fillId="0" borderId="3" xfId="0" applyFon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4" xfId="0" applyFill="1" applyBorder="1"/>
    <xf numFmtId="0" fontId="0" fillId="0" borderId="3" xfId="0" applyBorder="1"/>
    <xf numFmtId="0" fontId="2" fillId="0" borderId="3" xfId="0" applyFont="1" applyBorder="1"/>
    <xf numFmtId="0" fontId="0" fillId="0" borderId="0" xfId="1" applyFont="1" applyBorder="1"/>
    <xf numFmtId="0" fontId="0" fillId="0" borderId="9" xfId="0" applyBorder="1" applyAlignment="1">
      <alignment wrapText="1"/>
    </xf>
    <xf numFmtId="0" fontId="0" fillId="0" borderId="8" xfId="0" applyBorder="1"/>
    <xf numFmtId="10" fontId="0" fillId="0" borderId="8" xfId="0" applyNumberFormat="1" applyBorder="1"/>
    <xf numFmtId="10" fontId="0" fillId="0" borderId="10" xfId="0" applyNumberFormat="1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0" fillId="7" borderId="0" xfId="0" applyFill="1"/>
    <xf numFmtId="0" fontId="0" fillId="7" borderId="7" xfId="0" applyFill="1" applyBorder="1"/>
    <xf numFmtId="10" fontId="0" fillId="7" borderId="0" xfId="0" applyNumberFormat="1" applyFill="1"/>
    <xf numFmtId="0" fontId="0" fillId="7" borderId="2" xfId="0" applyFill="1" applyBorder="1"/>
    <xf numFmtId="0" fontId="0" fillId="7" borderId="2" xfId="1" applyFont="1" applyFill="1"/>
    <xf numFmtId="0" fontId="0" fillId="3" borderId="2" xfId="0" applyFill="1" applyBorder="1"/>
    <xf numFmtId="0" fontId="0" fillId="3" borderId="2" xfId="1" applyFont="1" applyFill="1"/>
    <xf numFmtId="0" fontId="0" fillId="8" borderId="0" xfId="0" applyFill="1"/>
    <xf numFmtId="0" fontId="0" fillId="8" borderId="7" xfId="0" applyFill="1" applyBorder="1"/>
    <xf numFmtId="10" fontId="0" fillId="8" borderId="0" xfId="0" applyNumberFormat="1" applyFill="1"/>
    <xf numFmtId="0" fontId="0" fillId="8" borderId="2" xfId="0" applyFill="1" applyBorder="1"/>
    <xf numFmtId="0" fontId="0" fillId="8" borderId="2" xfId="1" applyFont="1" applyFill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workbookViewId="0">
      <pane ySplit="1" topLeftCell="A5" activePane="bottomLeft" state="frozen"/>
      <selection activeCell="G1" sqref="G1"/>
      <selection pane="bottomLeft" activeCell="A25" sqref="A25"/>
    </sheetView>
  </sheetViews>
  <sheetFormatPr defaultRowHeight="15" x14ac:dyDescent="0.25"/>
  <cols>
    <col min="1" max="1" width="8.140625" customWidth="1"/>
    <col min="2" max="2" width="14.42578125" customWidth="1"/>
    <col min="4" max="4" width="14.28515625" customWidth="1"/>
    <col min="6" max="6" width="5.5703125" bestFit="1" customWidth="1"/>
    <col min="7" max="7" width="8.42578125" bestFit="1" customWidth="1"/>
    <col min="8" max="8" width="13.5703125" customWidth="1"/>
    <col min="9" max="9" width="13.42578125" bestFit="1" customWidth="1"/>
    <col min="10" max="10" width="12" bestFit="1" customWidth="1"/>
    <col min="11" max="11" width="13.42578125" bestFit="1" customWidth="1"/>
    <col min="12" max="12" width="11" customWidth="1"/>
    <col min="13" max="13" width="13.42578125" bestFit="1" customWidth="1"/>
    <col min="14" max="14" width="12" bestFit="1" customWidth="1"/>
    <col min="15" max="15" width="13.42578125" bestFit="1" customWidth="1"/>
    <col min="17" max="17" width="13.42578125" bestFit="1" customWidth="1"/>
    <col min="18" max="18" width="12" bestFit="1" customWidth="1"/>
    <col min="19" max="19" width="13.42578125" bestFit="1" customWidth="1"/>
    <col min="20" max="20" width="12" bestFit="1" customWidth="1"/>
    <col min="26" max="26" width="12" bestFit="1" customWidth="1"/>
  </cols>
  <sheetData>
    <row r="1" spans="1:23" x14ac:dyDescent="0.25">
      <c r="H1" s="41"/>
      <c r="J1" s="5">
        <v>140</v>
      </c>
      <c r="K1" s="5"/>
      <c r="L1" s="5">
        <v>142</v>
      </c>
      <c r="M1" s="5"/>
      <c r="N1" s="35"/>
      <c r="O1" s="5" t="s">
        <v>40</v>
      </c>
      <c r="P1" s="5"/>
      <c r="Q1" s="5"/>
      <c r="R1" s="5" t="s">
        <v>40</v>
      </c>
      <c r="S1" s="5"/>
      <c r="T1" s="5"/>
    </row>
    <row r="2" spans="1:23" x14ac:dyDescent="0.25">
      <c r="C2" t="s">
        <v>38</v>
      </c>
      <c r="E2">
        <v>40</v>
      </c>
      <c r="F2" t="s">
        <v>39</v>
      </c>
      <c r="H2" s="41" t="s">
        <v>64</v>
      </c>
      <c r="I2" s="5" t="s">
        <v>34</v>
      </c>
      <c r="J2" s="5">
        <f>(J12+J36)/2</f>
        <v>1.1765903612636551E-5</v>
      </c>
      <c r="K2" s="5" t="s">
        <v>34</v>
      </c>
      <c r="L2" s="5">
        <f t="shared" ref="L2" si="0">(L12+L36)/2</f>
        <v>1.10823763556604E-5</v>
      </c>
      <c r="M2" s="5" t="s">
        <v>34</v>
      </c>
      <c r="N2" s="35"/>
    </row>
    <row r="3" spans="1:23" x14ac:dyDescent="0.25">
      <c r="C3" t="s">
        <v>37</v>
      </c>
      <c r="E3">
        <v>2.0000000000000001E-4</v>
      </c>
      <c r="F3" t="s">
        <v>35</v>
      </c>
      <c r="H3" s="41"/>
      <c r="I3" s="8" t="s">
        <v>33</v>
      </c>
      <c r="J3" s="17">
        <f>$B$39*((K12^2+K36^2)^0.5)+($B$38)*_xlfn.STDEV.S(J36,J12)</f>
        <v>1.3636472498637775E-7</v>
      </c>
      <c r="K3" s="8" t="s">
        <v>33</v>
      </c>
      <c r="L3" s="17">
        <f t="shared" ref="L3" si="1">$B$39*((M12^2+M36^2)^0.5)+($B$38)*_xlfn.STDEV.S(L36,L12)</f>
        <v>1.5229386853038305E-7</v>
      </c>
      <c r="M3" s="8" t="s">
        <v>33</v>
      </c>
      <c r="N3" s="35"/>
      <c r="O3" s="5"/>
      <c r="P3" s="5"/>
      <c r="Q3" s="5"/>
      <c r="R3" s="5"/>
      <c r="S3" s="5"/>
      <c r="T3" s="5"/>
    </row>
    <row r="4" spans="1:23" x14ac:dyDescent="0.25">
      <c r="H4" s="41" t="s">
        <v>67</v>
      </c>
      <c r="I4" s="5" t="s">
        <v>34</v>
      </c>
      <c r="J4" s="17"/>
      <c r="K4" s="5" t="s">
        <v>34</v>
      </c>
      <c r="L4" s="17">
        <f>(L13+L37)/2</f>
        <v>1.0589637030954296E-5</v>
      </c>
      <c r="M4" s="5" t="s">
        <v>34</v>
      </c>
      <c r="N4" s="35"/>
      <c r="O4" s="5"/>
      <c r="P4" s="5"/>
      <c r="Q4" s="27" t="s">
        <v>43</v>
      </c>
      <c r="R4" s="5"/>
      <c r="S4" s="5"/>
      <c r="T4" s="5"/>
    </row>
    <row r="5" spans="1:23" ht="60.75" thickBot="1" x14ac:dyDescent="0.3">
      <c r="A5" s="47" t="s">
        <v>85</v>
      </c>
      <c r="B5" s="1" t="s">
        <v>0</v>
      </c>
      <c r="C5" s="2" t="s">
        <v>1</v>
      </c>
      <c r="D5" s="2" t="s">
        <v>2</v>
      </c>
      <c r="E5" s="2" t="s">
        <v>3</v>
      </c>
      <c r="F5" s="8" t="s">
        <v>33</v>
      </c>
      <c r="G5" s="8" t="s">
        <v>36</v>
      </c>
      <c r="H5" s="48"/>
      <c r="I5" s="49" t="s">
        <v>33</v>
      </c>
      <c r="J5" s="50" t="s">
        <v>65</v>
      </c>
      <c r="K5" s="49" t="s">
        <v>33</v>
      </c>
      <c r="L5" s="50">
        <f>$B$39*((M13^2+M37^2)^0.5)+($B$38)*_xlfn.STDEV.S(L37,L13)</f>
        <v>8.9884019378403898E-8</v>
      </c>
      <c r="M5" s="49" t="s">
        <v>33</v>
      </c>
      <c r="N5" s="51"/>
      <c r="O5" s="52" t="s">
        <v>56</v>
      </c>
      <c r="P5" s="53" t="s">
        <v>33</v>
      </c>
      <c r="Q5" s="53" t="s">
        <v>36</v>
      </c>
      <c r="R5" s="52" t="s">
        <v>57</v>
      </c>
      <c r="S5" s="53" t="s">
        <v>33</v>
      </c>
      <c r="T5" s="53" t="s">
        <v>36</v>
      </c>
      <c r="U5" s="7"/>
      <c r="V5" s="7"/>
      <c r="W5" s="7"/>
    </row>
    <row r="6" spans="1:23" ht="15.75" thickTop="1" x14ac:dyDescent="0.25">
      <c r="A6">
        <v>0.37724470328705695</v>
      </c>
      <c r="B6" s="6" t="s">
        <v>4</v>
      </c>
      <c r="C6" s="3">
        <v>1.34E-2</v>
      </c>
      <c r="D6" s="3">
        <v>5.0464000000000002</v>
      </c>
      <c r="E6" s="3">
        <v>376.597014925373</v>
      </c>
      <c r="F6" s="9">
        <f>(((1/C6)^2)*($E$3^2)+((D6/(C6^2))^2)*($E$3^2))^0.5</f>
        <v>5.6208707851070203</v>
      </c>
      <c r="G6" s="10">
        <f>F6/E6</f>
        <v>1.4925425753098069E-2</v>
      </c>
      <c r="H6" s="41"/>
      <c r="I6" t="s">
        <v>4</v>
      </c>
      <c r="J6">
        <v>15075.500000000004</v>
      </c>
      <c r="K6">
        <f>(J6/$E$2)^0.5</f>
        <v>19.413590600401569</v>
      </c>
      <c r="L6">
        <v>12004.159999999998</v>
      </c>
      <c r="M6">
        <f>(L6/$E$2)^0.5</f>
        <v>17.323510036941126</v>
      </c>
      <c r="N6" s="36"/>
      <c r="O6">
        <f t="shared" ref="O6:O11" si="2">$J$2*J6*E6</f>
        <v>66.799603491749423</v>
      </c>
      <c r="P6">
        <f t="shared" ref="P6:P11" si="3">((J6*E6*$J$3)^2+($J$2*E6*K6)^2+($J$2*J6*F6)^2)^0.5</f>
        <v>1.2652321389616905</v>
      </c>
      <c r="Q6" s="11">
        <f>P6/O6</f>
        <v>1.8940713310041764E-2</v>
      </c>
      <c r="R6">
        <f t="shared" ref="R6:R11" si="4">$L$2*L6*E6</f>
        <v>50.100440379646777</v>
      </c>
      <c r="S6">
        <f t="shared" ref="S6:S11" si="5">((L6*E6*$L$3)^2+($L$2*E6*M6)^2+($L$2*L6*F6)^2)^0.5</f>
        <v>1.0190153005318399</v>
      </c>
      <c r="T6" s="11">
        <f>S6/R6</f>
        <v>2.0339447973112292E-2</v>
      </c>
      <c r="W6" s="11"/>
    </row>
    <row r="7" spans="1:23" x14ac:dyDescent="0.25">
      <c r="A7">
        <v>0.75536329173325134</v>
      </c>
      <c r="B7" s="6" t="s">
        <v>5</v>
      </c>
      <c r="C7" s="3">
        <v>3.9E-2</v>
      </c>
      <c r="D7" s="3">
        <v>4.9492000000000003</v>
      </c>
      <c r="E7" s="3">
        <v>126.90256410256411</v>
      </c>
      <c r="F7" s="9">
        <f t="shared" ref="F7:F11" si="6">(((1/C7)^2)*($E$3^2)+((D7/(C7^2))^2)*($E$3^2))^0.5</f>
        <v>0.65080258498519816</v>
      </c>
      <c r="G7" s="10">
        <f t="shared" ref="G7:G11" si="7">F7/E7</f>
        <v>5.1283643446259448E-3</v>
      </c>
      <c r="H7" s="41"/>
      <c r="I7" t="s">
        <v>5</v>
      </c>
      <c r="J7">
        <v>1764.1</v>
      </c>
      <c r="K7">
        <f t="shared" ref="K7:K11" si="8">(J7/$E$2)^0.5</f>
        <v>6.6409713144991072</v>
      </c>
      <c r="L7">
        <v>628.79999999999995</v>
      </c>
      <c r="M7">
        <f t="shared" ref="M7:M11" si="9">(L7/$E$2)^0.5</f>
        <v>3.9648455203198019</v>
      </c>
      <c r="N7" s="37"/>
      <c r="O7">
        <f t="shared" si="2"/>
        <v>2.6340188795553243</v>
      </c>
      <c r="P7">
        <f t="shared" si="3"/>
        <v>3.4824441213430632E-2</v>
      </c>
      <c r="Q7" s="11">
        <f t="shared" ref="Q7:Q35" si="10">P7/O7</f>
        <v>1.3221029463277689E-2</v>
      </c>
      <c r="R7" s="18">
        <f>L12*L7*E7</f>
        <v>0.90212572407118718</v>
      </c>
      <c r="S7">
        <f t="shared" si="5"/>
        <v>1.4118912427562193E-2</v>
      </c>
      <c r="T7" s="11">
        <f t="shared" ref="T7:T11" si="11">S7/R7</f>
        <v>1.5650714807072794E-2</v>
      </c>
      <c r="W7" s="11"/>
    </row>
    <row r="8" spans="1:23" x14ac:dyDescent="0.25">
      <c r="A8">
        <v>0.92261208193106337</v>
      </c>
      <c r="B8" s="6" t="s">
        <v>6</v>
      </c>
      <c r="C8" s="3">
        <v>5.0299999999999997E-2</v>
      </c>
      <c r="D8" s="3">
        <v>4.9884000000000004</v>
      </c>
      <c r="E8" s="3">
        <v>99.172962226640166</v>
      </c>
      <c r="F8" s="9">
        <f t="shared" si="6"/>
        <v>0.39434593954365693</v>
      </c>
      <c r="G8" s="10">
        <f t="shared" si="7"/>
        <v>3.9763452728421821E-3</v>
      </c>
      <c r="H8" s="41"/>
      <c r="I8" t="s">
        <v>6</v>
      </c>
      <c r="J8">
        <v>1314.5</v>
      </c>
      <c r="K8">
        <f t="shared" si="8"/>
        <v>5.7325823151525697</v>
      </c>
      <c r="L8">
        <v>347.2</v>
      </c>
      <c r="M8">
        <f t="shared" si="9"/>
        <v>2.9461839725312471</v>
      </c>
      <c r="N8" s="37"/>
      <c r="O8">
        <f t="shared" si="2"/>
        <v>1.5338368318605871</v>
      </c>
      <c r="P8">
        <f t="shared" si="3"/>
        <v>1.9948957473593241E-2</v>
      </c>
      <c r="Q8" s="11">
        <f t="shared" si="10"/>
        <v>1.3005918921241835E-2</v>
      </c>
      <c r="R8">
        <f t="shared" si="4"/>
        <v>0.38159783023869792</v>
      </c>
      <c r="S8">
        <f t="shared" si="5"/>
        <v>6.347133224167723E-3</v>
      </c>
      <c r="T8" s="11">
        <f t="shared" si="11"/>
        <v>1.6633043275422844E-2</v>
      </c>
      <c r="W8" s="11"/>
    </row>
    <row r="9" spans="1:23" x14ac:dyDescent="0.25">
      <c r="A9">
        <v>0.71688126920986073</v>
      </c>
      <c r="B9" s="6" t="s">
        <v>7</v>
      </c>
      <c r="C9" s="3">
        <v>3.6399999999999995E-2</v>
      </c>
      <c r="D9" s="3">
        <v>4.9635000000000007</v>
      </c>
      <c r="E9" s="3">
        <v>136.35989010989016</v>
      </c>
      <c r="F9" s="9">
        <f t="shared" si="6"/>
        <v>0.74925031224172078</v>
      </c>
      <c r="G9" s="10">
        <f t="shared" si="7"/>
        <v>5.4946532417847541E-3</v>
      </c>
      <c r="H9" s="41"/>
      <c r="I9" t="s">
        <v>7</v>
      </c>
      <c r="J9">
        <v>1079.22</v>
      </c>
      <c r="K9">
        <f t="shared" si="8"/>
        <v>5.1942756954170228</v>
      </c>
      <c r="L9">
        <v>240</v>
      </c>
      <c r="M9">
        <f t="shared" si="9"/>
        <v>2.4494897427831779</v>
      </c>
      <c r="N9" s="37"/>
      <c r="O9">
        <f t="shared" si="2"/>
        <v>1.7314976796432371</v>
      </c>
      <c r="P9">
        <f t="shared" si="3"/>
        <v>2.3720890034209956E-2</v>
      </c>
      <c r="Q9" s="11">
        <f t="shared" si="10"/>
        <v>1.3699637206038577E-2</v>
      </c>
      <c r="R9">
        <f t="shared" si="4"/>
        <v>0.36268598928343132</v>
      </c>
      <c r="S9">
        <f t="shared" si="5"/>
        <v>6.5202839390287081E-3</v>
      </c>
      <c r="T9" s="11">
        <f t="shared" si="11"/>
        <v>1.7977766254249336E-2</v>
      </c>
      <c r="W9" s="11"/>
    </row>
    <row r="10" spans="1:23" x14ac:dyDescent="0.25">
      <c r="A10">
        <v>0.60756053282229983</v>
      </c>
      <c r="B10" s="6" t="s">
        <v>8</v>
      </c>
      <c r="C10" s="3">
        <v>2.8899999999999999E-2</v>
      </c>
      <c r="D10" s="3">
        <v>4.9984000000000002</v>
      </c>
      <c r="E10" s="3">
        <v>172.95501730103808</v>
      </c>
      <c r="F10" s="9">
        <f t="shared" si="6"/>
        <v>1.1969405411901297</v>
      </c>
      <c r="G10" s="10">
        <f t="shared" si="7"/>
        <v>6.9205308979662979E-3</v>
      </c>
      <c r="H10" s="41"/>
      <c r="I10" t="s">
        <v>8</v>
      </c>
      <c r="J10">
        <v>28817.200000000001</v>
      </c>
      <c r="K10">
        <f t="shared" si="8"/>
        <v>26.840827110951704</v>
      </c>
      <c r="L10">
        <v>26566.6</v>
      </c>
      <c r="M10">
        <f t="shared" si="9"/>
        <v>25.771398875497621</v>
      </c>
      <c r="N10" s="37"/>
      <c r="O10">
        <f t="shared" si="2"/>
        <v>58.642196930595595</v>
      </c>
      <c r="P10">
        <f t="shared" si="3"/>
        <v>0.79348169710483851</v>
      </c>
      <c r="Q10" s="11">
        <f t="shared" si="10"/>
        <v>1.3530899908882038E-2</v>
      </c>
      <c r="R10">
        <f t="shared" si="4"/>
        <v>50.92159947252366</v>
      </c>
      <c r="S10">
        <f t="shared" si="5"/>
        <v>0.78504688515407883</v>
      </c>
      <c r="T10" s="11">
        <f t="shared" si="11"/>
        <v>1.5416775853195173E-2</v>
      </c>
      <c r="W10" s="11"/>
    </row>
    <row r="11" spans="1:23" x14ac:dyDescent="0.25">
      <c r="A11">
        <v>0.83639045377989596</v>
      </c>
      <c r="B11" s="6" t="s">
        <v>9</v>
      </c>
      <c r="C11" s="3">
        <v>4.4299999999999999E-2</v>
      </c>
      <c r="D11" s="3">
        <v>4.9031000000000002</v>
      </c>
      <c r="E11" s="3">
        <v>110.67945823927766</v>
      </c>
      <c r="F11" s="9">
        <f t="shared" si="6"/>
        <v>0.499701921883555</v>
      </c>
      <c r="G11" s="10">
        <f t="shared" si="7"/>
        <v>4.5148569556895607E-3</v>
      </c>
      <c r="H11" s="41"/>
      <c r="I11" t="s">
        <v>9</v>
      </c>
      <c r="J11">
        <v>39483.919999999998</v>
      </c>
      <c r="K11">
        <f t="shared" si="8"/>
        <v>31.418115793280794</v>
      </c>
      <c r="L11">
        <v>30310.339999999997</v>
      </c>
      <c r="M11">
        <f t="shared" si="9"/>
        <v>27.527413608982592</v>
      </c>
      <c r="N11" s="37"/>
      <c r="O11">
        <f t="shared" si="2"/>
        <v>51.417691502008168</v>
      </c>
      <c r="P11">
        <f t="shared" si="3"/>
        <v>0.64084901280186013</v>
      </c>
      <c r="Q11" s="11">
        <f t="shared" si="10"/>
        <v>1.2463589750559516E-2</v>
      </c>
      <c r="R11">
        <f t="shared" si="4"/>
        <v>37.178402709952927</v>
      </c>
      <c r="S11">
        <f t="shared" si="5"/>
        <v>0.53883157213527721</v>
      </c>
      <c r="T11" s="11">
        <f t="shared" si="11"/>
        <v>1.4493133993382349E-2</v>
      </c>
      <c r="W11" s="11"/>
    </row>
    <row r="12" spans="1:23" s="13" customFormat="1" ht="30" x14ac:dyDescent="0.25">
      <c r="H12" s="42" t="s">
        <v>64</v>
      </c>
      <c r="I12" s="14" t="s">
        <v>66</v>
      </c>
      <c r="J12" s="16">
        <v>1.1832096495662001E-5</v>
      </c>
      <c r="K12" s="16">
        <v>8.3992178086760102E-8</v>
      </c>
      <c r="L12" s="16">
        <v>1.1305353240956199E-5</v>
      </c>
      <c r="M12" s="16">
        <v>8.0206379137932495E-8</v>
      </c>
      <c r="N12" s="38"/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W12" s="19"/>
    </row>
    <row r="13" spans="1:23" s="13" customFormat="1" ht="30" x14ac:dyDescent="0.25">
      <c r="G13" s="16"/>
      <c r="H13" s="43" t="s">
        <v>67</v>
      </c>
      <c r="I13" s="15" t="s">
        <v>66</v>
      </c>
      <c r="L13" s="13">
        <v>1.0761374061908593E-5</v>
      </c>
      <c r="M13" s="13">
        <v>8.5699000000000005E-8</v>
      </c>
      <c r="N13" s="38"/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W13" s="19"/>
    </row>
    <row r="14" spans="1:23" x14ac:dyDescent="0.25">
      <c r="A14" s="13">
        <v>0.87279877246314908</v>
      </c>
      <c r="B14" s="6" t="s">
        <v>19</v>
      </c>
      <c r="C14" s="3">
        <v>9.3700000000000006E-2</v>
      </c>
      <c r="D14" s="3">
        <v>5.0049000000000001</v>
      </c>
      <c r="E14" s="3">
        <v>53.414087513340448</v>
      </c>
      <c r="F14" s="9">
        <f t="shared" ref="F14:F19" si="12">(((1/C14)^2)*($E$3^2)+((D14/(C14^2))^2)*($E$3^2))^0.5</f>
        <v>0.11403083782205169</v>
      </c>
      <c r="G14" s="10">
        <f t="shared" ref="G14:G19" si="13">F14/E14</f>
        <v>2.1348457519483393E-3</v>
      </c>
      <c r="H14" s="44"/>
      <c r="I14" t="s">
        <v>19</v>
      </c>
      <c r="J14">
        <v>2415.4</v>
      </c>
      <c r="K14">
        <f>(J14/$E$2)^0.5</f>
        <v>7.7707785967687952</v>
      </c>
      <c r="L14">
        <v>13870.900000000001</v>
      </c>
      <c r="M14">
        <f>(L14/$E$2)^0.5</f>
        <v>18.621828589051077</v>
      </c>
      <c r="N14" s="37"/>
      <c r="O14">
        <f t="shared" ref="O14:O35" si="14">$J$2*J14*E14</f>
        <v>1.5179943736540324</v>
      </c>
      <c r="P14">
        <f t="shared" ref="P14:P35" si="15">((J14*E14*$J$3)^2+($J$2*E14*K14)^2+($J$2*J14*F14)^2)^0.5</f>
        <v>1.8543889472081795E-2</v>
      </c>
      <c r="Q14" s="11">
        <f t="shared" si="10"/>
        <v>1.2216046247552265E-2</v>
      </c>
      <c r="R14">
        <f t="shared" ref="R14:R35" si="16">$L$2*L14*E14</f>
        <v>8.2109488940895279</v>
      </c>
      <c r="S14">
        <f t="shared" ref="S14:S35" si="17">((L14*E14*$L$3)^2+($L$2*E14*M14)^2+($L$2*L14*F14)^2)^0.5</f>
        <v>0.11471906298945395</v>
      </c>
      <c r="T14" s="11">
        <f t="shared" ref="T14:T35" si="18">S14/R14</f>
        <v>1.3971474487197448E-2</v>
      </c>
      <c r="W14" s="11"/>
    </row>
    <row r="15" spans="1:23" x14ac:dyDescent="0.25">
      <c r="A15" s="13">
        <v>0.63870506615298006</v>
      </c>
      <c r="B15" s="6" t="s">
        <v>20</v>
      </c>
      <c r="C15" s="3">
        <v>2.87E-2</v>
      </c>
      <c r="D15" s="3">
        <v>4.9332000000000003</v>
      </c>
      <c r="E15" s="3">
        <v>171.88850174216029</v>
      </c>
      <c r="F15" s="9">
        <f t="shared" si="12"/>
        <v>1.1978495510797849</v>
      </c>
      <c r="G15" s="10">
        <f t="shared" si="13"/>
        <v>6.968759044026154E-3</v>
      </c>
      <c r="H15" s="44"/>
      <c r="I15" t="s">
        <v>20</v>
      </c>
      <c r="J15">
        <v>1216.9000000000001</v>
      </c>
      <c r="K15">
        <f t="shared" ref="K15:K35" si="19">(J15/$E$2)^0.5</f>
        <v>5.5156595253876937</v>
      </c>
      <c r="L15">
        <v>932</v>
      </c>
      <c r="M15">
        <f t="shared" ref="M15:M35" si="20">(L15/$E$2)^0.5</f>
        <v>4.8270073544588685</v>
      </c>
      <c r="N15" s="37"/>
      <c r="O15">
        <f t="shared" si="14"/>
        <v>2.4610872102296786</v>
      </c>
      <c r="P15">
        <f t="shared" si="15"/>
        <v>3.510234934483162E-2</v>
      </c>
      <c r="Q15" s="11">
        <f t="shared" si="10"/>
        <v>1.4262944116293924E-2</v>
      </c>
      <c r="R15">
        <f t="shared" si="16"/>
        <v>1.7753976189260385</v>
      </c>
      <c r="S15">
        <f t="shared" si="17"/>
        <v>2.8859351001237658E-2</v>
      </c>
      <c r="T15" s="11">
        <f t="shared" si="18"/>
        <v>1.6255147970005199E-2</v>
      </c>
      <c r="W15" s="11"/>
    </row>
    <row r="16" spans="1:23" x14ac:dyDescent="0.25">
      <c r="A16">
        <v>0.82967399075297865</v>
      </c>
      <c r="B16" s="6" t="s">
        <v>21</v>
      </c>
      <c r="C16" s="3">
        <v>4.0600000000000004E-2</v>
      </c>
      <c r="D16" s="3">
        <v>5.0502000000000002</v>
      </c>
      <c r="E16" s="3">
        <v>124.38916256157634</v>
      </c>
      <c r="F16" s="9">
        <f t="shared" si="12"/>
        <v>0.61277429625328761</v>
      </c>
      <c r="G16" s="10">
        <f t="shared" si="13"/>
        <v>4.9262675592815098E-3</v>
      </c>
      <c r="H16" s="41"/>
      <c r="I16" t="s">
        <v>21</v>
      </c>
      <c r="J16">
        <v>1306.5</v>
      </c>
      <c r="K16">
        <f t="shared" si="19"/>
        <v>5.715111547467818</v>
      </c>
      <c r="L16">
        <v>1253.7</v>
      </c>
      <c r="M16">
        <f t="shared" si="20"/>
        <v>5.598437281956457</v>
      </c>
      <c r="N16" s="37"/>
      <c r="O16">
        <f t="shared" si="14"/>
        <v>1.9121292471344267</v>
      </c>
      <c r="P16">
        <f t="shared" si="15"/>
        <v>2.549142774939387E-2</v>
      </c>
      <c r="Q16" s="11">
        <f t="shared" si="10"/>
        <v>1.333143551232014E-2</v>
      </c>
      <c r="R16">
        <f t="shared" si="16"/>
        <v>1.7282599443930839</v>
      </c>
      <c r="S16">
        <f t="shared" si="17"/>
        <v>2.6383646275373505E-2</v>
      </c>
      <c r="T16" s="11">
        <f t="shared" si="18"/>
        <v>1.5266017337825125E-2</v>
      </c>
      <c r="W16" s="11"/>
    </row>
    <row r="17" spans="1:23" x14ac:dyDescent="0.25">
      <c r="A17">
        <v>0.70129152043365184</v>
      </c>
      <c r="B17" s="6" t="s">
        <v>22</v>
      </c>
      <c r="C17" s="3">
        <v>3.2599999999999997E-2</v>
      </c>
      <c r="D17" s="3">
        <v>4.9707999999999997</v>
      </c>
      <c r="E17" s="3">
        <v>152.47852760736197</v>
      </c>
      <c r="F17" s="9">
        <f t="shared" si="12"/>
        <v>0.93547120688552143</v>
      </c>
      <c r="G17" s="10">
        <f t="shared" si="13"/>
        <v>6.1351012602534798E-3</v>
      </c>
      <c r="H17" s="41"/>
      <c r="I17" t="s">
        <v>22</v>
      </c>
      <c r="J17">
        <v>1093.6599999999999</v>
      </c>
      <c r="K17">
        <f t="shared" si="19"/>
        <v>5.2289100202623491</v>
      </c>
      <c r="L17">
        <v>1201.7</v>
      </c>
      <c r="M17">
        <f t="shared" si="20"/>
        <v>5.4811039034121585</v>
      </c>
      <c r="N17" s="37"/>
      <c r="O17">
        <f t="shared" si="14"/>
        <v>1.9620781625505079</v>
      </c>
      <c r="P17">
        <f t="shared" si="15"/>
        <v>2.7386454650055094E-2</v>
      </c>
      <c r="Q17" s="11">
        <f t="shared" si="10"/>
        <v>1.3957881583298092E-2</v>
      </c>
      <c r="R17">
        <f t="shared" si="16"/>
        <v>2.030662016451561</v>
      </c>
      <c r="S17">
        <f t="shared" si="17"/>
        <v>3.1932799570182926E-2</v>
      </c>
      <c r="T17" s="11">
        <f t="shared" si="18"/>
        <v>1.5725314853716154E-2</v>
      </c>
      <c r="W17" s="11"/>
    </row>
    <row r="18" spans="1:23" x14ac:dyDescent="0.25">
      <c r="A18">
        <v>0.69808195867566858</v>
      </c>
      <c r="B18" s="6" t="s">
        <v>23</v>
      </c>
      <c r="C18" s="3">
        <v>3.2399999999999998E-2</v>
      </c>
      <c r="D18" s="3">
        <v>5.0772000000000004</v>
      </c>
      <c r="E18" s="3">
        <v>156.70370370370372</v>
      </c>
      <c r="F18" s="9">
        <f t="shared" si="12"/>
        <v>0.96732650868068526</v>
      </c>
      <c r="G18" s="10">
        <f t="shared" si="13"/>
        <v>6.1729651936607184E-3</v>
      </c>
      <c r="H18" s="41"/>
      <c r="I18" t="s">
        <v>23</v>
      </c>
      <c r="J18">
        <v>1052.8200000000002</v>
      </c>
      <c r="K18">
        <f t="shared" si="19"/>
        <v>5.1303508651943099</v>
      </c>
      <c r="L18">
        <v>712</v>
      </c>
      <c r="M18">
        <f t="shared" si="20"/>
        <v>4.2190046219457971</v>
      </c>
      <c r="N18" s="37"/>
      <c r="O18">
        <f t="shared" si="14"/>
        <v>1.9411481122963112</v>
      </c>
      <c r="P18">
        <f t="shared" si="15"/>
        <v>2.7188217993939952E-2</v>
      </c>
      <c r="Q18" s="11">
        <f t="shared" si="10"/>
        <v>1.4006256308683847E-2</v>
      </c>
      <c r="R18">
        <f t="shared" si="16"/>
        <v>1.2364943875884815</v>
      </c>
      <c r="S18">
        <f t="shared" si="17"/>
        <v>2.0016703923470793E-2</v>
      </c>
      <c r="T18" s="11">
        <f t="shared" si="18"/>
        <v>1.6188269129558366E-2</v>
      </c>
      <c r="W18" s="11"/>
    </row>
    <row r="19" spans="1:23" x14ac:dyDescent="0.25">
      <c r="A19">
        <v>0.6810304879587834</v>
      </c>
      <c r="B19" s="6" t="s">
        <v>24</v>
      </c>
      <c r="C19" s="3">
        <v>6.7900000000000002E-2</v>
      </c>
      <c r="D19" s="3">
        <v>4.9969000000000001</v>
      </c>
      <c r="E19" s="3">
        <v>73.592047128129607</v>
      </c>
      <c r="F19" s="9">
        <f t="shared" si="12"/>
        <v>0.21678598240630462</v>
      </c>
      <c r="G19" s="10">
        <f t="shared" si="13"/>
        <v>2.9457800246929259E-3</v>
      </c>
      <c r="H19" s="41"/>
      <c r="I19" t="s">
        <v>24</v>
      </c>
      <c r="J19">
        <v>1547.3000000000002</v>
      </c>
      <c r="K19">
        <f t="shared" si="19"/>
        <v>6.2195257053894393</v>
      </c>
      <c r="L19">
        <v>1451.3</v>
      </c>
      <c r="M19">
        <f t="shared" si="20"/>
        <v>6.0234956628190579</v>
      </c>
      <c r="N19" s="37"/>
      <c r="O19">
        <f t="shared" si="14"/>
        <v>1.3397713786880296</v>
      </c>
      <c r="P19">
        <f t="shared" si="15"/>
        <v>1.6902306573445113E-2</v>
      </c>
      <c r="Q19" s="11">
        <f t="shared" si="10"/>
        <v>1.261581404283818E-2</v>
      </c>
      <c r="R19">
        <f t="shared" si="16"/>
        <v>1.1836436536252473</v>
      </c>
      <c r="S19">
        <f t="shared" si="17"/>
        <v>1.7345357947376742E-2</v>
      </c>
      <c r="T19" s="11">
        <f t="shared" si="18"/>
        <v>1.4654206013990463E-2</v>
      </c>
      <c r="W19" s="11"/>
    </row>
    <row r="20" spans="1:23" s="24" customFormat="1" x14ac:dyDescent="0.25">
      <c r="A20">
        <v>1</v>
      </c>
      <c r="B20" s="20" t="s">
        <v>25</v>
      </c>
      <c r="C20" s="21" t="s">
        <v>26</v>
      </c>
      <c r="D20" s="20">
        <v>5.5175000000000001</v>
      </c>
      <c r="E20" s="21" t="s">
        <v>26</v>
      </c>
      <c r="F20" s="22"/>
      <c r="G20" s="23"/>
      <c r="H20" s="45"/>
      <c r="I20" s="24" t="s">
        <v>25</v>
      </c>
      <c r="J20" s="24">
        <v>332.79999999999995</v>
      </c>
      <c r="K20" s="24">
        <f t="shared" si="19"/>
        <v>2.8844410203711912</v>
      </c>
      <c r="L20" s="24">
        <v>973.6</v>
      </c>
      <c r="M20" s="24">
        <f t="shared" si="20"/>
        <v>4.9335585534176039</v>
      </c>
      <c r="N20" s="39"/>
      <c r="O20" s="24" t="e">
        <f t="shared" si="14"/>
        <v>#VALUE!</v>
      </c>
      <c r="P20" s="24" t="e">
        <f t="shared" si="15"/>
        <v>#VALUE!</v>
      </c>
      <c r="Q20" s="25" t="e">
        <f t="shared" si="10"/>
        <v>#VALUE!</v>
      </c>
      <c r="R20" s="24" t="e">
        <f t="shared" si="16"/>
        <v>#VALUE!</v>
      </c>
      <c r="S20" s="24" t="e">
        <f t="shared" si="17"/>
        <v>#VALUE!</v>
      </c>
      <c r="T20" s="25" t="e">
        <f t="shared" si="18"/>
        <v>#VALUE!</v>
      </c>
      <c r="W20" s="25"/>
    </row>
    <row r="21" spans="1:23" x14ac:dyDescent="0.25">
      <c r="A21">
        <v>0.4429217989160068</v>
      </c>
      <c r="B21" s="6" t="s">
        <v>27</v>
      </c>
      <c r="C21" s="3">
        <v>1.6500000000000001E-2</v>
      </c>
      <c r="D21" s="3">
        <v>4.8581000000000003</v>
      </c>
      <c r="E21" s="3">
        <v>294.43030303030304</v>
      </c>
      <c r="F21" s="9">
        <f>(((1/C21)^2)*($E$3^2)+((D21/(C21^2))^2)*($E$3^2))^0.5</f>
        <v>3.5688727420627053</v>
      </c>
      <c r="G21" s="10">
        <f>F21/E21</f>
        <v>1.2121282032900648E-2</v>
      </c>
      <c r="H21" s="41"/>
      <c r="I21" t="s">
        <v>27</v>
      </c>
      <c r="J21">
        <v>1172.8800000000001</v>
      </c>
      <c r="K21">
        <f t="shared" si="19"/>
        <v>5.4149792243368768</v>
      </c>
      <c r="L21">
        <v>284</v>
      </c>
      <c r="M21">
        <f t="shared" si="20"/>
        <v>2.6645825188948455</v>
      </c>
      <c r="N21" s="37"/>
      <c r="O21">
        <f t="shared" si="14"/>
        <v>4.0631361294002337</v>
      </c>
      <c r="P21">
        <f t="shared" si="15"/>
        <v>7.0675738857054249E-2</v>
      </c>
      <c r="Q21" s="11">
        <f t="shared" si="10"/>
        <v>1.7394381238092265E-2</v>
      </c>
      <c r="R21">
        <f t="shared" si="16"/>
        <v>0.92668842974879984</v>
      </c>
      <c r="S21">
        <f t="shared" si="17"/>
        <v>1.9077088227592506E-2</v>
      </c>
      <c r="T21" s="11">
        <f t="shared" si="18"/>
        <v>2.0586302380794577E-2</v>
      </c>
      <c r="W21" s="11"/>
    </row>
    <row r="22" spans="1:23" x14ac:dyDescent="0.25">
      <c r="A22" s="24">
        <v>0.82646442899499539</v>
      </c>
      <c r="B22" s="6" t="s">
        <v>28</v>
      </c>
      <c r="C22" s="3">
        <v>4.0399999999999998E-2</v>
      </c>
      <c r="D22" s="3">
        <v>4.9471999999999996</v>
      </c>
      <c r="E22" s="3">
        <v>122.45544554455445</v>
      </c>
      <c r="F22" s="9">
        <f>(((1/C22)^2)*($E$3^2)+((D22/(C22^2))^2)*($E$3^2))^0.5</f>
        <v>0.6062352900703305</v>
      </c>
      <c r="G22" s="10">
        <f>F22/E22</f>
        <v>4.9506601145782167E-3</v>
      </c>
      <c r="H22" s="41"/>
      <c r="I22" t="s">
        <v>28</v>
      </c>
      <c r="J22">
        <v>1248.1000000000001</v>
      </c>
      <c r="K22">
        <f t="shared" si="19"/>
        <v>5.5859197989230029</v>
      </c>
      <c r="L22">
        <v>304</v>
      </c>
      <c r="M22">
        <f t="shared" si="20"/>
        <v>2.7568097504180442</v>
      </c>
      <c r="N22" s="37"/>
      <c r="O22">
        <f t="shared" si="14"/>
        <v>1.7982611933582873</v>
      </c>
      <c r="P22">
        <f t="shared" si="15"/>
        <v>2.4049916482097814E-2</v>
      </c>
      <c r="Q22" s="11">
        <f t="shared" si="10"/>
        <v>1.3373984030197602E-2</v>
      </c>
      <c r="R22">
        <f t="shared" si="16"/>
        <v>0.41255758963474831</v>
      </c>
      <c r="S22">
        <f t="shared" si="17"/>
        <v>7.0929685885447753E-3</v>
      </c>
      <c r="T22" s="11">
        <f t="shared" si="18"/>
        <v>1.7192675075555944E-2</v>
      </c>
      <c r="W22" s="11"/>
    </row>
    <row r="23" spans="1:23" s="24" customFormat="1" x14ac:dyDescent="0.25">
      <c r="A23">
        <v>1</v>
      </c>
      <c r="B23" s="20" t="s">
        <v>29</v>
      </c>
      <c r="C23" s="21" t="s">
        <v>26</v>
      </c>
      <c r="D23" s="20">
        <v>4.9318</v>
      </c>
      <c r="E23" s="21" t="s">
        <v>26</v>
      </c>
      <c r="F23" s="22"/>
      <c r="G23" s="26"/>
      <c r="H23" s="45"/>
      <c r="I23" s="24" t="s">
        <v>29</v>
      </c>
      <c r="J23" s="24">
        <v>915.19999999999993</v>
      </c>
      <c r="K23" s="24">
        <f t="shared" si="19"/>
        <v>4.7833042972405595</v>
      </c>
      <c r="L23" s="24">
        <v>316</v>
      </c>
      <c r="M23" s="24">
        <f t="shared" si="20"/>
        <v>2.8106938645110393</v>
      </c>
      <c r="N23" s="39"/>
      <c r="O23" s="24" t="e">
        <f t="shared" si="14"/>
        <v>#VALUE!</v>
      </c>
      <c r="P23" s="24" t="e">
        <f t="shared" si="15"/>
        <v>#VALUE!</v>
      </c>
      <c r="Q23" s="25" t="e">
        <f t="shared" si="10"/>
        <v>#VALUE!</v>
      </c>
      <c r="R23" s="24" t="e">
        <f t="shared" si="16"/>
        <v>#VALUE!</v>
      </c>
      <c r="S23" s="24" t="e">
        <f t="shared" si="17"/>
        <v>#VALUE!</v>
      </c>
      <c r="T23" s="25" t="e">
        <f t="shared" si="18"/>
        <v>#VALUE!</v>
      </c>
      <c r="W23" s="25"/>
    </row>
    <row r="24" spans="1:23" x14ac:dyDescent="0.25">
      <c r="A24">
        <v>0.76227319383533199</v>
      </c>
      <c r="B24" s="6" t="s">
        <v>30</v>
      </c>
      <c r="C24" s="3">
        <v>3.6400000000000002E-2</v>
      </c>
      <c r="D24" s="3">
        <v>4.9192</v>
      </c>
      <c r="E24" s="3">
        <v>135.14285714285714</v>
      </c>
      <c r="F24" s="9">
        <f t="shared" ref="F24:F35" si="21">(((1/C24)^2)*($E$3^2)+((D24/(C24^2))^2)*($E$3^2))^0.5</f>
        <v>0.7425634993450424</v>
      </c>
      <c r="G24" s="10">
        <f t="shared" ref="G24:G35" si="22">F24/E24</f>
        <v>5.4946559148153244E-3</v>
      </c>
      <c r="H24" s="41"/>
      <c r="I24" t="s">
        <v>30</v>
      </c>
      <c r="J24">
        <v>1179.3000000000002</v>
      </c>
      <c r="K24">
        <f t="shared" si="19"/>
        <v>5.4297790010275744</v>
      </c>
      <c r="L24">
        <v>311.2</v>
      </c>
      <c r="M24">
        <f t="shared" si="20"/>
        <v>2.7892651361962706</v>
      </c>
      <c r="N24" s="37"/>
      <c r="O24">
        <f t="shared" si="14"/>
        <v>1.8751787861916633</v>
      </c>
      <c r="P24">
        <f t="shared" si="15"/>
        <v>2.555437529922126E-2</v>
      </c>
      <c r="Q24" s="11">
        <f t="shared" si="10"/>
        <v>1.3627700722404252E-2</v>
      </c>
      <c r="R24">
        <f t="shared" si="16"/>
        <v>0.4660854862428449</v>
      </c>
      <c r="S24">
        <f t="shared" si="17"/>
        <v>8.0643246057491447E-3</v>
      </c>
      <c r="T24" s="11">
        <f t="shared" si="18"/>
        <v>1.73022435664246E-2</v>
      </c>
      <c r="W24" s="11"/>
    </row>
    <row r="25" spans="1:23" x14ac:dyDescent="0.25">
      <c r="A25" s="24">
        <v>0.3723114402403771</v>
      </c>
      <c r="B25" s="3" t="s">
        <v>10</v>
      </c>
      <c r="C25" s="3">
        <v>1.21E-2</v>
      </c>
      <c r="D25" s="3">
        <v>4.9885000000000002</v>
      </c>
      <c r="E25" s="3">
        <v>412.27272727272731</v>
      </c>
      <c r="F25" s="9">
        <f t="shared" si="21"/>
        <v>6.8144452902538699</v>
      </c>
      <c r="G25" s="10">
        <f t="shared" si="22"/>
        <v>1.6528974243173664E-2</v>
      </c>
      <c r="H25" s="41"/>
      <c r="I25" t="s">
        <v>10</v>
      </c>
      <c r="J25">
        <v>1593.7</v>
      </c>
      <c r="K25">
        <f t="shared" si="19"/>
        <v>6.3120915709454026</v>
      </c>
      <c r="L25">
        <v>719.2</v>
      </c>
      <c r="M25">
        <f t="shared" si="20"/>
        <v>4.2402830094228383</v>
      </c>
      <c r="N25" s="37"/>
      <c r="O25">
        <f t="shared" si="14"/>
        <v>7.7306580785569086</v>
      </c>
      <c r="P25">
        <f t="shared" si="15"/>
        <v>0.15903707821244761</v>
      </c>
      <c r="Q25" s="11">
        <f t="shared" si="10"/>
        <v>2.0572256151592111E-2</v>
      </c>
      <c r="R25">
        <f t="shared" si="16"/>
        <v>3.2859971286440008</v>
      </c>
      <c r="S25">
        <f t="shared" si="17"/>
        <v>7.3242364908168822E-2</v>
      </c>
      <c r="T25" s="11">
        <f t="shared" si="18"/>
        <v>2.2289235821211142E-2</v>
      </c>
      <c r="W25" s="11"/>
    </row>
    <row r="26" spans="1:23" x14ac:dyDescent="0.25">
      <c r="A26">
        <v>0.5473812354276073</v>
      </c>
      <c r="B26" s="3" t="s">
        <v>11</v>
      </c>
      <c r="C26" s="3">
        <v>4.9700000000000001E-2</v>
      </c>
      <c r="D26" s="3">
        <v>4.8765000000000001</v>
      </c>
      <c r="E26" s="3">
        <v>98.118712273641847</v>
      </c>
      <c r="F26" s="9">
        <f t="shared" si="21"/>
        <v>0.39486441854832172</v>
      </c>
      <c r="G26" s="10">
        <f t="shared" si="22"/>
        <v>4.0243538607303581E-3</v>
      </c>
      <c r="H26" s="41"/>
      <c r="I26" t="s">
        <v>11</v>
      </c>
      <c r="J26">
        <v>55012.06</v>
      </c>
      <c r="K26">
        <f t="shared" si="19"/>
        <v>37.085057637814181</v>
      </c>
      <c r="L26">
        <v>252305.94</v>
      </c>
      <c r="M26">
        <f t="shared" si="20"/>
        <v>79.420705738491151</v>
      </c>
      <c r="N26" s="36"/>
      <c r="O26">
        <f t="shared" si="14"/>
        <v>63.508964847476058</v>
      </c>
      <c r="P26">
        <f t="shared" si="15"/>
        <v>0.78034361318724621</v>
      </c>
      <c r="Q26" s="11">
        <f t="shared" si="10"/>
        <v>1.2287141115609889E-2</v>
      </c>
      <c r="R26">
        <f t="shared" si="16"/>
        <v>274.35457686796877</v>
      </c>
      <c r="S26">
        <f t="shared" si="17"/>
        <v>3.9294693098070295</v>
      </c>
      <c r="T26" s="11">
        <f t="shared" si="18"/>
        <v>1.4322594340017368E-2</v>
      </c>
      <c r="W26" s="11"/>
    </row>
    <row r="27" spans="1:23" x14ac:dyDescent="0.25">
      <c r="A27">
        <v>0.58972962989053901</v>
      </c>
      <c r="B27" s="3" t="s">
        <v>12</v>
      </c>
      <c r="C27" s="3">
        <v>2.7699999999999999E-2</v>
      </c>
      <c r="D27" s="3">
        <v>4.9138999999999999</v>
      </c>
      <c r="E27" s="3">
        <v>177.39711191335741</v>
      </c>
      <c r="F27" s="9">
        <f t="shared" si="21"/>
        <v>1.2808659236544595</v>
      </c>
      <c r="G27" s="10">
        <f t="shared" si="22"/>
        <v>7.2203313224177392E-3</v>
      </c>
      <c r="H27" s="41"/>
      <c r="I27" t="s">
        <v>12</v>
      </c>
      <c r="J27">
        <v>26717.340000000004</v>
      </c>
      <c r="K27">
        <f t="shared" si="19"/>
        <v>25.844409453496905</v>
      </c>
      <c r="L27">
        <v>27831.78</v>
      </c>
      <c r="M27">
        <f t="shared" si="20"/>
        <v>26.377916900316446</v>
      </c>
      <c r="N27" s="37"/>
      <c r="O27">
        <f t="shared" si="14"/>
        <v>55.765429137329733</v>
      </c>
      <c r="P27">
        <f t="shared" si="15"/>
        <v>0.76338141709242502</v>
      </c>
      <c r="Q27" s="11">
        <f t="shared" si="10"/>
        <v>1.3689151664420935E-2</v>
      </c>
      <c r="R27">
        <f t="shared" si="16"/>
        <v>54.716766223876036</v>
      </c>
      <c r="S27">
        <f t="shared" si="17"/>
        <v>0.85097086218688966</v>
      </c>
      <c r="T27" s="11">
        <f t="shared" si="18"/>
        <v>1.5552287185706577E-2</v>
      </c>
      <c r="W27" s="11"/>
    </row>
    <row r="28" spans="1:23" x14ac:dyDescent="0.25">
      <c r="A28">
        <v>0.25301155332386416</v>
      </c>
      <c r="B28" s="3" t="s">
        <v>31</v>
      </c>
      <c r="C28" s="3">
        <v>1.01E-2</v>
      </c>
      <c r="D28" s="3">
        <v>5.0003000000000002</v>
      </c>
      <c r="E28" s="3">
        <v>495.0792079207921</v>
      </c>
      <c r="F28" s="9">
        <f t="shared" si="21"/>
        <v>9.8035686704785281</v>
      </c>
      <c r="G28" s="10">
        <f t="shared" si="22"/>
        <v>1.9802020593131037E-2</v>
      </c>
      <c r="H28" s="41"/>
      <c r="I28" t="s">
        <v>31</v>
      </c>
      <c r="J28">
        <v>465.59999999999997</v>
      </c>
      <c r="K28">
        <f t="shared" si="19"/>
        <v>3.4117444218463961</v>
      </c>
      <c r="L28">
        <v>5645.28</v>
      </c>
      <c r="M28">
        <f t="shared" si="20"/>
        <v>11.879898989469565</v>
      </c>
      <c r="N28" s="37"/>
      <c r="O28">
        <f t="shared" si="14"/>
        <v>2.7121452546172771</v>
      </c>
      <c r="P28">
        <f t="shared" si="15"/>
        <v>6.5324885354362899E-2</v>
      </c>
      <c r="Q28" s="11">
        <f t="shared" si="10"/>
        <v>2.4086057058762211E-2</v>
      </c>
      <c r="R28">
        <f t="shared" si="16"/>
        <v>30.973698703038679</v>
      </c>
      <c r="S28">
        <f t="shared" si="17"/>
        <v>0.74940394921457776</v>
      </c>
      <c r="T28" s="11">
        <f t="shared" si="18"/>
        <v>2.4194848551976695E-2</v>
      </c>
      <c r="W28" s="11"/>
    </row>
    <row r="29" spans="1:23" x14ac:dyDescent="0.25">
      <c r="A29">
        <v>0.26249738787598209</v>
      </c>
      <c r="B29" s="3" t="s">
        <v>32</v>
      </c>
      <c r="C29" s="3">
        <v>5.7000000000000002E-3</v>
      </c>
      <c r="D29" s="3">
        <v>4.8712999999999997</v>
      </c>
      <c r="E29" s="3">
        <v>854.61403508771923</v>
      </c>
      <c r="F29" s="9">
        <f t="shared" si="21"/>
        <v>29.986477899892936</v>
      </c>
      <c r="G29" s="10">
        <f t="shared" si="22"/>
        <v>3.5087743318906607E-2</v>
      </c>
      <c r="H29" s="41"/>
      <c r="I29" t="s">
        <v>32</v>
      </c>
      <c r="J29">
        <v>722.4</v>
      </c>
      <c r="K29">
        <f t="shared" si="19"/>
        <v>4.2497058721751557</v>
      </c>
      <c r="L29">
        <v>1263.28</v>
      </c>
      <c r="M29">
        <f t="shared" si="20"/>
        <v>5.619786472811934</v>
      </c>
      <c r="N29" s="37"/>
      <c r="O29">
        <f t="shared" si="14"/>
        <v>7.2639533165217536</v>
      </c>
      <c r="P29">
        <f t="shared" si="15"/>
        <v>0.27180006598652395</v>
      </c>
      <c r="Q29" s="11">
        <f t="shared" si="10"/>
        <v>3.7417650436755802E-2</v>
      </c>
      <c r="R29">
        <f t="shared" si="16"/>
        <v>11.964719899698503</v>
      </c>
      <c r="S29">
        <f t="shared" si="17"/>
        <v>0.45399477869144383</v>
      </c>
      <c r="T29" s="11">
        <f t="shared" si="18"/>
        <v>3.7944455239849281E-2</v>
      </c>
      <c r="W29" s="11"/>
    </row>
    <row r="30" spans="1:23" x14ac:dyDescent="0.25">
      <c r="A30">
        <v>0.97742873656565377</v>
      </c>
      <c r="B30" s="3" t="s">
        <v>13</v>
      </c>
      <c r="C30" s="4">
        <v>2.5381</v>
      </c>
      <c r="D30" s="3">
        <v>5.0625</v>
      </c>
      <c r="E30" s="3">
        <v>1.9946022615342185</v>
      </c>
      <c r="F30" s="9">
        <f t="shared" si="21"/>
        <v>1.7581981791480486E-4</v>
      </c>
      <c r="G30" s="10">
        <f t="shared" si="22"/>
        <v>8.8147808365346417E-5</v>
      </c>
      <c r="H30" s="41"/>
      <c r="I30" t="s">
        <v>13</v>
      </c>
      <c r="J30">
        <v>6456.079999999999</v>
      </c>
      <c r="K30">
        <f t="shared" si="19"/>
        <v>12.704408683602711</v>
      </c>
      <c r="L30">
        <v>89457.5</v>
      </c>
      <c r="M30">
        <f t="shared" si="20"/>
        <v>47.290987513478719</v>
      </c>
      <c r="N30" s="37"/>
      <c r="O30">
        <f t="shared" si="14"/>
        <v>0.15151320905975718</v>
      </c>
      <c r="P30">
        <f t="shared" si="15"/>
        <v>1.7811926355561414E-3</v>
      </c>
      <c r="Q30" s="11">
        <f t="shared" si="10"/>
        <v>1.1756022109291043E-2</v>
      </c>
      <c r="R30">
        <f t="shared" si="16"/>
        <v>1.9774520386744934</v>
      </c>
      <c r="S30">
        <f t="shared" si="17"/>
        <v>2.7194777931419081E-2</v>
      </c>
      <c r="T30" s="11">
        <f t="shared" si="18"/>
        <v>1.3752433636594303E-2</v>
      </c>
      <c r="W30" s="11"/>
    </row>
    <row r="31" spans="1:23" x14ac:dyDescent="0.25">
      <c r="A31">
        <v>0.92305401279451316</v>
      </c>
      <c r="B31" s="3" t="s">
        <v>14</v>
      </c>
      <c r="C31" s="4">
        <v>2.7002000000000002</v>
      </c>
      <c r="D31" s="3">
        <v>5.3585000000000003</v>
      </c>
      <c r="E31" s="3">
        <v>1.9844826309162285</v>
      </c>
      <c r="F31" s="9">
        <f t="shared" si="21"/>
        <v>1.6459518971101252E-4</v>
      </c>
      <c r="G31" s="10">
        <f t="shared" si="22"/>
        <v>8.2941108753881867E-5</v>
      </c>
      <c r="H31" s="41"/>
      <c r="I31" t="s">
        <v>14</v>
      </c>
      <c r="J31">
        <v>1945.76</v>
      </c>
      <c r="K31">
        <f t="shared" si="19"/>
        <v>6.9745250734369</v>
      </c>
      <c r="L31">
        <v>26683.66</v>
      </c>
      <c r="M31">
        <f t="shared" si="20"/>
        <v>25.828114526616147</v>
      </c>
      <c r="N31" s="37"/>
      <c r="O31">
        <f t="shared" si="14"/>
        <v>4.5432000403857128E-2</v>
      </c>
      <c r="P31">
        <f t="shared" si="15"/>
        <v>5.511695550319733E-4</v>
      </c>
      <c r="Q31" s="11">
        <f t="shared" si="10"/>
        <v>1.2131747449649599E-2</v>
      </c>
      <c r="R31">
        <f t="shared" si="16"/>
        <v>0.58684795435461801</v>
      </c>
      <c r="S31">
        <f t="shared" si="17"/>
        <v>8.0845836562297557E-3</v>
      </c>
      <c r="T31" s="11">
        <f t="shared" si="18"/>
        <v>1.3776283271057357E-2</v>
      </c>
      <c r="W31" s="11"/>
    </row>
    <row r="32" spans="1:23" x14ac:dyDescent="0.25">
      <c r="A32">
        <v>0.92218283372562837</v>
      </c>
      <c r="B32" s="3" t="s">
        <v>15</v>
      </c>
      <c r="C32" s="4">
        <v>2.6623999999999999</v>
      </c>
      <c r="D32" s="3">
        <v>5.5254000000000003</v>
      </c>
      <c r="E32" s="3">
        <v>2.0753455528846154</v>
      </c>
      <c r="F32" s="9">
        <f t="shared" si="21"/>
        <v>1.7305480235115642E-4</v>
      </c>
      <c r="G32" s="10">
        <f t="shared" si="22"/>
        <v>8.3386018347942026E-5</v>
      </c>
      <c r="H32" s="41"/>
      <c r="I32" t="s">
        <v>15</v>
      </c>
      <c r="J32">
        <v>1227.3000000000002</v>
      </c>
      <c r="K32">
        <f t="shared" si="19"/>
        <v>5.5391786394735458</v>
      </c>
      <c r="L32">
        <v>10731.02</v>
      </c>
      <c r="M32">
        <f t="shared" si="20"/>
        <v>16.379117802861057</v>
      </c>
      <c r="N32" s="37"/>
      <c r="O32">
        <f t="shared" si="14"/>
        <v>2.996859890543677E-2</v>
      </c>
      <c r="P32">
        <f t="shared" si="15"/>
        <v>3.7274581169164799E-4</v>
      </c>
      <c r="Q32" s="11">
        <f t="shared" si="10"/>
        <v>1.2437879157040808E-2</v>
      </c>
      <c r="R32">
        <f t="shared" si="16"/>
        <v>0.24681088976096185</v>
      </c>
      <c r="S32">
        <f t="shared" si="17"/>
        <v>3.4125909608062133E-3</v>
      </c>
      <c r="T32" s="11">
        <f t="shared" si="18"/>
        <v>1.3826743885212409E-2</v>
      </c>
      <c r="W32" s="11"/>
    </row>
    <row r="33" spans="1:23" x14ac:dyDescent="0.25">
      <c r="A33">
        <v>0.93082887505078571</v>
      </c>
      <c r="B33" s="3" t="s">
        <v>16</v>
      </c>
      <c r="C33" s="4">
        <v>2.5741999999999998</v>
      </c>
      <c r="D33" s="3">
        <v>5.1252000000000004</v>
      </c>
      <c r="E33" s="3">
        <v>1.9909874912594208</v>
      </c>
      <c r="F33" s="9">
        <f t="shared" si="21"/>
        <v>1.7310314585262601E-4</v>
      </c>
      <c r="G33" s="10">
        <f t="shared" si="22"/>
        <v>8.6943361830529498E-5</v>
      </c>
      <c r="H33" s="41"/>
      <c r="I33" t="s">
        <v>16</v>
      </c>
      <c r="J33">
        <v>6408.86</v>
      </c>
      <c r="K33">
        <f t="shared" si="19"/>
        <v>12.657863168797489</v>
      </c>
      <c r="L33">
        <v>8993.66</v>
      </c>
      <c r="M33">
        <f t="shared" si="20"/>
        <v>14.994715735885093</v>
      </c>
      <c r="N33" s="37"/>
      <c r="O33">
        <f t="shared" si="14"/>
        <v>0.15013246055806662</v>
      </c>
      <c r="P33">
        <f t="shared" si="15"/>
        <v>1.7651413497119307E-3</v>
      </c>
      <c r="Q33" s="11">
        <f t="shared" si="10"/>
        <v>1.1757226539487964E-2</v>
      </c>
      <c r="R33">
        <f t="shared" si="16"/>
        <v>0.19844396298503875</v>
      </c>
      <c r="S33">
        <f t="shared" si="17"/>
        <v>2.7470658339336916E-3</v>
      </c>
      <c r="T33" s="11">
        <f t="shared" si="18"/>
        <v>1.3843030509024861E-2</v>
      </c>
      <c r="W33" s="11"/>
    </row>
    <row r="34" spans="1:23" x14ac:dyDescent="0.25">
      <c r="A34">
        <v>0.97509463415467978</v>
      </c>
      <c r="B34" s="3" t="s">
        <v>17</v>
      </c>
      <c r="C34" s="4">
        <v>2.5093000000000001</v>
      </c>
      <c r="D34" s="3">
        <v>5.0574000000000003</v>
      </c>
      <c r="E34" s="3">
        <v>2.0154624795759775</v>
      </c>
      <c r="F34" s="9">
        <f t="shared" si="21"/>
        <v>1.7932560206231394E-4</v>
      </c>
      <c r="G34" s="10">
        <f t="shared" si="22"/>
        <v>8.8974914631028662E-5</v>
      </c>
      <c r="H34" s="41"/>
      <c r="I34" t="s">
        <v>17</v>
      </c>
      <c r="J34">
        <v>7639.9599999999991</v>
      </c>
      <c r="K34">
        <f t="shared" si="19"/>
        <v>13.820238782307634</v>
      </c>
      <c r="L34">
        <v>13623.420000000002</v>
      </c>
      <c r="M34">
        <f t="shared" si="20"/>
        <v>18.454958683237415</v>
      </c>
      <c r="N34" s="37"/>
      <c r="O34">
        <f t="shared" si="14"/>
        <v>0.18117200419007301</v>
      </c>
      <c r="P34">
        <f t="shared" si="15"/>
        <v>2.1252345017306919E-3</v>
      </c>
      <c r="Q34" s="11">
        <f t="shared" si="10"/>
        <v>1.1730479613732397E-2</v>
      </c>
      <c r="R34">
        <f t="shared" si="16"/>
        <v>0.3042942585030215</v>
      </c>
      <c r="S34">
        <f t="shared" si="17"/>
        <v>4.2019631586871532E-3</v>
      </c>
      <c r="T34" s="11">
        <f t="shared" si="18"/>
        <v>1.3808880848947828E-2</v>
      </c>
      <c r="W34" s="11"/>
    </row>
    <row r="35" spans="1:23" x14ac:dyDescent="0.25">
      <c r="A35">
        <v>0.92806740177583058</v>
      </c>
      <c r="B35" s="3" t="s">
        <v>18</v>
      </c>
      <c r="C35" s="4">
        <v>2.4788999999999999</v>
      </c>
      <c r="D35" s="3">
        <v>5.0540000000000003</v>
      </c>
      <c r="E35" s="3">
        <v>2.0388075356004682</v>
      </c>
      <c r="F35" s="9">
        <f t="shared" si="21"/>
        <v>1.8321391048842223E-4</v>
      </c>
      <c r="G35" s="10">
        <f t="shared" si="22"/>
        <v>8.9863269234220384E-5</v>
      </c>
      <c r="H35" s="41"/>
      <c r="I35" t="s">
        <v>18</v>
      </c>
      <c r="J35">
        <v>5899.7999999999993</v>
      </c>
      <c r="K35">
        <f t="shared" si="19"/>
        <v>12.144751953004226</v>
      </c>
      <c r="L35">
        <v>81771.51999999999</v>
      </c>
      <c r="M35">
        <f t="shared" si="20"/>
        <v>45.213803202119593</v>
      </c>
      <c r="N35" s="36"/>
      <c r="O35">
        <f t="shared" si="14"/>
        <v>0.14152683871410407</v>
      </c>
      <c r="P35">
        <f t="shared" si="15"/>
        <v>1.6659907678722087E-3</v>
      </c>
      <c r="Q35" s="11">
        <f t="shared" si="10"/>
        <v>1.1771553600781319E-2</v>
      </c>
      <c r="R35">
        <f t="shared" si="16"/>
        <v>1.847613791642275</v>
      </c>
      <c r="S35">
        <f t="shared" si="17"/>
        <v>2.5410971007602458E-2</v>
      </c>
      <c r="T35" s="11">
        <f t="shared" si="18"/>
        <v>1.3753399721602853E-2</v>
      </c>
    </row>
    <row r="36" spans="1:23" s="13" customFormat="1" ht="30" x14ac:dyDescent="0.25">
      <c r="H36" s="42" t="s">
        <v>64</v>
      </c>
      <c r="I36" s="14" t="s">
        <v>66</v>
      </c>
      <c r="J36" s="16">
        <v>1.1699710729611101E-5</v>
      </c>
      <c r="K36" s="16">
        <v>2.3475334541464099E-7</v>
      </c>
      <c r="L36" s="16">
        <v>1.0859399470364601E-5</v>
      </c>
      <c r="M36" s="16">
        <v>2.1102507190129E-7</v>
      </c>
      <c r="N36" s="38"/>
    </row>
    <row r="37" spans="1:23" s="13" customFormat="1" ht="30.75" thickBot="1" x14ac:dyDescent="0.3">
      <c r="A37" s="33"/>
      <c r="B37" s="33"/>
      <c r="C37" s="33"/>
      <c r="D37" s="33"/>
      <c r="E37" s="33"/>
      <c r="F37" s="33"/>
      <c r="G37" s="33"/>
      <c r="H37" s="46" t="s">
        <v>67</v>
      </c>
      <c r="I37" s="34" t="s">
        <v>66</v>
      </c>
      <c r="J37" s="33"/>
      <c r="K37" s="33"/>
      <c r="L37" s="33">
        <v>1.0417899999999999E-5</v>
      </c>
      <c r="M37" s="33">
        <v>8.2634999999999998E-8</v>
      </c>
      <c r="N37" s="40"/>
      <c r="O37" s="33"/>
      <c r="P37" s="33"/>
      <c r="Q37" s="33"/>
      <c r="R37" s="33"/>
      <c r="S37" s="33"/>
      <c r="T37" s="33"/>
    </row>
    <row r="38" spans="1:23" ht="30.75" thickTop="1" x14ac:dyDescent="0.25">
      <c r="A38" s="47" t="s">
        <v>50</v>
      </c>
      <c r="B38">
        <f>1/8</f>
        <v>0.125</v>
      </c>
      <c r="I38" t="s">
        <v>68</v>
      </c>
    </row>
    <row r="39" spans="1:23" ht="30" x14ac:dyDescent="0.25">
      <c r="A39" s="47" t="s">
        <v>51</v>
      </c>
      <c r="B39">
        <v>0.5</v>
      </c>
      <c r="I39" t="s">
        <v>69</v>
      </c>
    </row>
    <row r="42" spans="1:23" x14ac:dyDescent="0.25">
      <c r="C42" s="5"/>
    </row>
    <row r="43" spans="1:23" x14ac:dyDescent="0.25">
      <c r="C43" s="8"/>
      <c r="D43" s="18"/>
    </row>
    <row r="44" spans="1:23" x14ac:dyDescent="0.25">
      <c r="C44" s="5"/>
      <c r="D44" s="18"/>
    </row>
    <row r="45" spans="1:23" x14ac:dyDescent="0.25">
      <c r="C45" s="8"/>
      <c r="D45" s="18"/>
    </row>
    <row r="53" spans="3:5" x14ac:dyDescent="0.25">
      <c r="C53" s="30" t="s">
        <v>4</v>
      </c>
      <c r="D53" s="30">
        <v>15075.500000000004</v>
      </c>
      <c r="E53" s="30">
        <v>12004.159999999998</v>
      </c>
    </row>
    <row r="54" spans="3:5" x14ac:dyDescent="0.25">
      <c r="C54" s="30" t="s">
        <v>5</v>
      </c>
      <c r="D54" s="30">
        <v>1764.1</v>
      </c>
      <c r="E54" s="30">
        <v>628.79999999999995</v>
      </c>
    </row>
    <row r="55" spans="3:5" x14ac:dyDescent="0.25">
      <c r="C55" s="30" t="s">
        <v>6</v>
      </c>
      <c r="D55" s="30">
        <v>1314.5</v>
      </c>
      <c r="E55" s="30">
        <v>347.2</v>
      </c>
    </row>
    <row r="56" spans="3:5" x14ac:dyDescent="0.25">
      <c r="C56" s="30" t="s">
        <v>7</v>
      </c>
      <c r="D56" s="30">
        <v>1079.22</v>
      </c>
      <c r="E56" s="30">
        <v>240</v>
      </c>
    </row>
    <row r="57" spans="3:5" x14ac:dyDescent="0.25">
      <c r="C57" s="30" t="s">
        <v>8</v>
      </c>
      <c r="D57" s="30">
        <v>28817.200000000001</v>
      </c>
      <c r="E57" s="30">
        <v>26566.6</v>
      </c>
    </row>
    <row r="58" spans="3:5" x14ac:dyDescent="0.25">
      <c r="C58" s="30" t="s">
        <v>9</v>
      </c>
      <c r="D58" s="30">
        <v>39483.919999999998</v>
      </c>
      <c r="E58" s="30">
        <v>30310.339999999997</v>
      </c>
    </row>
    <row r="59" spans="3:5" x14ac:dyDescent="0.25">
      <c r="C59" s="31" t="s">
        <v>46</v>
      </c>
      <c r="D59" s="31">
        <v>760603.04</v>
      </c>
      <c r="E59" s="31">
        <v>347353.12</v>
      </c>
    </row>
    <row r="60" spans="3:5" x14ac:dyDescent="0.25">
      <c r="C60" s="30" t="s">
        <v>19</v>
      </c>
      <c r="D60" s="30">
        <v>2415.4</v>
      </c>
      <c r="E60" s="30">
        <v>13870.900000000001</v>
      </c>
    </row>
    <row r="61" spans="3:5" x14ac:dyDescent="0.25">
      <c r="C61" s="30" t="s">
        <v>20</v>
      </c>
      <c r="D61" s="30">
        <v>1216.9000000000001</v>
      </c>
      <c r="E61" s="30">
        <v>932</v>
      </c>
    </row>
    <row r="62" spans="3:5" x14ac:dyDescent="0.25">
      <c r="C62" s="30" t="s">
        <v>21</v>
      </c>
      <c r="D62" s="30">
        <v>1306.5</v>
      </c>
      <c r="E62" s="30">
        <v>1253.7</v>
      </c>
    </row>
    <row r="63" spans="3:5" x14ac:dyDescent="0.25">
      <c r="C63" s="30" t="s">
        <v>22</v>
      </c>
      <c r="D63" s="30">
        <v>1093.6599999999999</v>
      </c>
      <c r="E63" s="30">
        <v>1201.7</v>
      </c>
    </row>
    <row r="64" spans="3:5" x14ac:dyDescent="0.25">
      <c r="C64" s="30" t="s">
        <v>23</v>
      </c>
      <c r="D64" s="30">
        <v>1052.8200000000002</v>
      </c>
      <c r="E64" s="30">
        <v>712</v>
      </c>
    </row>
    <row r="65" spans="3:5" x14ac:dyDescent="0.25">
      <c r="C65" s="30" t="s">
        <v>24</v>
      </c>
      <c r="D65" s="30">
        <v>1547.3000000000002</v>
      </c>
      <c r="E65" s="30">
        <v>1451.3</v>
      </c>
    </row>
    <row r="66" spans="3:5" x14ac:dyDescent="0.25">
      <c r="C66" s="30" t="s">
        <v>25</v>
      </c>
      <c r="D66" s="30">
        <v>332.79999999999995</v>
      </c>
      <c r="E66" s="30">
        <v>973.6</v>
      </c>
    </row>
    <row r="67" spans="3:5" x14ac:dyDescent="0.25">
      <c r="C67" s="30" t="s">
        <v>27</v>
      </c>
      <c r="D67" s="30">
        <v>1172.8800000000001</v>
      </c>
      <c r="E67" s="30">
        <v>284</v>
      </c>
    </row>
    <row r="68" spans="3:5" x14ac:dyDescent="0.25">
      <c r="C68" s="30" t="s">
        <v>28</v>
      </c>
      <c r="D68" s="30">
        <v>1248.1000000000001</v>
      </c>
      <c r="E68" s="30">
        <v>304</v>
      </c>
    </row>
    <row r="69" spans="3:5" x14ac:dyDescent="0.25">
      <c r="C69" s="30" t="s">
        <v>29</v>
      </c>
      <c r="D69" s="30">
        <v>915.19999999999993</v>
      </c>
      <c r="E69" s="30">
        <v>316</v>
      </c>
    </row>
    <row r="70" spans="3:5" x14ac:dyDescent="0.25">
      <c r="C70" s="30" t="s">
        <v>30</v>
      </c>
      <c r="D70" s="30">
        <v>1179.3000000000002</v>
      </c>
      <c r="E70" s="30">
        <v>311.2</v>
      </c>
    </row>
    <row r="71" spans="3:5" x14ac:dyDescent="0.25">
      <c r="C71" s="30" t="s">
        <v>10</v>
      </c>
      <c r="D71" s="30">
        <v>1593.7</v>
      </c>
      <c r="E71" s="30">
        <v>719.2</v>
      </c>
    </row>
    <row r="72" spans="3:5" x14ac:dyDescent="0.25">
      <c r="C72" s="30" t="s">
        <v>11</v>
      </c>
      <c r="D72" s="30">
        <v>55012.06</v>
      </c>
      <c r="E72" s="30">
        <v>252305.94</v>
      </c>
    </row>
    <row r="73" spans="3:5" x14ac:dyDescent="0.25">
      <c r="C73" s="30" t="s">
        <v>12</v>
      </c>
      <c r="D73" s="30">
        <v>26717.340000000004</v>
      </c>
      <c r="E73" s="30">
        <v>27831.78</v>
      </c>
    </row>
    <row r="74" spans="3:5" x14ac:dyDescent="0.25">
      <c r="C74" s="30" t="s">
        <v>31</v>
      </c>
      <c r="D74" s="30">
        <v>465.59999999999997</v>
      </c>
      <c r="E74" s="30">
        <v>5645.28</v>
      </c>
    </row>
    <row r="75" spans="3:5" x14ac:dyDescent="0.25">
      <c r="C75" s="30" t="s">
        <v>32</v>
      </c>
      <c r="D75" s="30">
        <v>722.4</v>
      </c>
      <c r="E75" s="30">
        <v>1263.28</v>
      </c>
    </row>
    <row r="76" spans="3:5" x14ac:dyDescent="0.25">
      <c r="C76" s="30" t="s">
        <v>13</v>
      </c>
      <c r="D76" s="30">
        <v>6456.079999999999</v>
      </c>
      <c r="E76" s="30">
        <v>89457.5</v>
      </c>
    </row>
    <row r="77" spans="3:5" x14ac:dyDescent="0.25">
      <c r="C77" s="30" t="s">
        <v>14</v>
      </c>
      <c r="D77" s="30">
        <v>1945.76</v>
      </c>
      <c r="E77" s="30">
        <v>26683.66</v>
      </c>
    </row>
    <row r="78" spans="3:5" x14ac:dyDescent="0.25">
      <c r="C78" s="30" t="s">
        <v>15</v>
      </c>
      <c r="D78" s="30">
        <v>1227.3000000000002</v>
      </c>
      <c r="E78" s="30">
        <v>10731.02</v>
      </c>
    </row>
    <row r="79" spans="3:5" x14ac:dyDescent="0.25">
      <c r="C79" s="30" t="s">
        <v>16</v>
      </c>
      <c r="D79" s="30">
        <v>6408.86</v>
      </c>
      <c r="E79" s="30">
        <v>8993.66</v>
      </c>
    </row>
    <row r="80" spans="3:5" x14ac:dyDescent="0.25">
      <c r="C80" s="30" t="s">
        <v>17</v>
      </c>
      <c r="D80" s="30">
        <v>7639.9599999999991</v>
      </c>
      <c r="E80" s="30">
        <v>13623.420000000002</v>
      </c>
    </row>
    <row r="81" spans="3:5" x14ac:dyDescent="0.25">
      <c r="C81" s="30" t="s">
        <v>18</v>
      </c>
      <c r="D81" s="30">
        <v>5899.7999999999993</v>
      </c>
      <c r="E81" s="30">
        <v>81771.51999999999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" bestFit="1" customWidth="1"/>
    <col min="13" max="13" width="9.85546875" bestFit="1" customWidth="1"/>
  </cols>
  <sheetData>
    <row r="1" spans="1:14" x14ac:dyDescent="0.25">
      <c r="A1" t="str">
        <f>Ce_Calculations!B5</f>
        <v>Sample ID</v>
      </c>
      <c r="B1" s="41" t="str">
        <f>Ce_Calculations!O5</f>
        <v>Ce140</v>
      </c>
      <c r="C1" t="str">
        <f>Ce_Calculations!P5</f>
        <v>±</v>
      </c>
      <c r="D1" t="str">
        <f>Ce_Calculations!Q5</f>
        <v>%</v>
      </c>
      <c r="E1" s="12" t="str">
        <f>Ce_Calculations!R5</f>
        <v>Ce 142</v>
      </c>
      <c r="F1" t="str">
        <f>Ce_Calculations!S5</f>
        <v>±</v>
      </c>
      <c r="G1" s="11" t="str">
        <f>Ce_Calculations!T5</f>
        <v>%</v>
      </c>
      <c r="H1" s="29"/>
      <c r="I1" t="s">
        <v>63</v>
      </c>
      <c r="J1" t="s">
        <v>63</v>
      </c>
      <c r="L1" t="s">
        <v>70</v>
      </c>
      <c r="M1" t="s">
        <v>33</v>
      </c>
      <c r="N1" t="s">
        <v>36</v>
      </c>
    </row>
    <row r="2" spans="1:14" s="69" customFormat="1" x14ac:dyDescent="0.25">
      <c r="A2" s="69" t="str">
        <f>Ce_Calculations!B6</f>
        <v>87G Trace</v>
      </c>
      <c r="B2" s="70">
        <f>IF(Ce_Calculations!O6&gt;SUM($B$30:$D$30),(Ce_Calculations!O6-SUM($B$30:$D$30))*Ce_Calculations!A6,"LLD")</f>
        <v>25.170434386198888</v>
      </c>
      <c r="C2" s="69">
        <f>IF(Ce_Calculations!O6&gt;SUM($B$30:$D$30),((Ce_Calculations!P6^2+$B$31^2+$C$31^2+$D$31^2)^0.5)*Ce_Calculations!A6,"LLD")</f>
        <v>0.48602550370012043</v>
      </c>
      <c r="D2" s="71">
        <f>IF(Ce_Calculations!O6&gt;SUM($B$30:$D$30),C2/B2,"LLD")</f>
        <v>1.9309380849089015E-2</v>
      </c>
      <c r="E2" s="72">
        <f>IF(Ce_Calculations!R6&gt;SUM($E$30:$G$30),(Ce_Calculations!R6-SUM($E$30:$G$30))*Ce_Calculations!A6,"LLD")</f>
        <v>18.858308190211364</v>
      </c>
      <c r="F2" s="69">
        <f>IF(Ce_Calculations!R6&gt;SUM($E$30:$G$30),((Ce_Calculations!S6^2+$E$31^2+$F$31^2+$G$31^2)^0.5)*Ce_Calculations!A6,"LLD")</f>
        <v>0.38746842661417302</v>
      </c>
      <c r="G2" s="71">
        <f>IF(Ce_Calculations!R6&gt;SUM($E$30:$G$30),F2/E2,"LLD")</f>
        <v>2.0546298358581988E-2</v>
      </c>
      <c r="H2" s="73"/>
      <c r="I2" s="69">
        <f t="shared" ref="I2:I29" si="0">IF(C2="LLD","LLD",C2^2)</f>
        <v>0.23622079024695578</v>
      </c>
      <c r="J2" s="69">
        <f t="shared" ref="J2:J29" si="1">IF(F2="LLD","LLD",F2^2)</f>
        <v>0.15013178162286278</v>
      </c>
      <c r="L2" s="69">
        <f t="shared" ref="L2:L29" si="2">IF(SUM(B2,E2)=0,"LLD",SUM(B2,E2))</f>
        <v>44.028742576410252</v>
      </c>
      <c r="M2" s="69">
        <f t="shared" ref="M2:M29" si="3">IF(L2="LLD","LLD",SUM(I2:J2)^0.5)</f>
        <v>0.62157266016920221</v>
      </c>
      <c r="N2" s="71">
        <f>IF(L2="LLD","LLD",M2/L2)</f>
        <v>1.4117429292705461E-2</v>
      </c>
    </row>
    <row r="3" spans="1:14" s="13" customFormat="1" x14ac:dyDescent="0.25">
      <c r="A3" s="13" t="str">
        <f>Ce_Calculations!B7</f>
        <v>90G Trace</v>
      </c>
      <c r="B3" s="42">
        <f>IF(Ce_Calculations!O7&gt;SUM($B$30:$D$30),(Ce_Calculations!O7-SUM($B$30:$D$30))*Ce_Calculations!A7,"LLD")</f>
        <v>1.9308487284752021</v>
      </c>
      <c r="C3" s="13">
        <f>IF(Ce_Calculations!O7&gt;SUM($B$30:$D$30),((Ce_Calculations!P7^2+$B$31^2+$C$31^2+$D$31^2)^0.5)*Ce_Calculations!A7,"LLD")</f>
        <v>0.185428598344694</v>
      </c>
      <c r="D3" s="19">
        <f>IF(Ce_Calculations!O7&gt;SUM($B$30:$D$30),C3/B3,"LLD")</f>
        <v>9.6034762128220999E-2</v>
      </c>
      <c r="E3" s="67">
        <f>IF(Ce_Calculations!R7&gt;SUM($E$30:$G$30),(Ce_Calculations!R7-SUM($E$30:$G$30))*Ce_Calculations!A7,"LLD")</f>
        <v>0.59770063560302389</v>
      </c>
      <c r="F3" s="13">
        <f>IF(Ce_Calculations!R7&gt;SUM($E$30:$G$30),((Ce_Calculations!S7^2+$E$31^2+$F$31^2+$G$31^2)^0.5)*Ce_Calculations!A7,"LLD")</f>
        <v>9.7742097587693408E-2</v>
      </c>
      <c r="G3" s="19">
        <f>IF(Ce_Calculations!R7&gt;SUM($E$30:$G$30),F3/E3,"LLD")</f>
        <v>0.16353018846814643</v>
      </c>
      <c r="H3" s="68"/>
      <c r="I3" s="13">
        <f t="shared" si="0"/>
        <v>3.4383765084077852E-2</v>
      </c>
      <c r="J3" s="13">
        <f t="shared" si="1"/>
        <v>9.5535176408421824E-3</v>
      </c>
      <c r="L3" s="13">
        <f t="shared" si="2"/>
        <v>2.5285493640782262</v>
      </c>
      <c r="M3" s="13">
        <f t="shared" si="3"/>
        <v>0.20961221988452877</v>
      </c>
      <c r="N3" s="19">
        <f t="shared" ref="N3:N29" si="4">IF(L3="LLD","LLD",M3/L3)</f>
        <v>8.2898211465585597E-2</v>
      </c>
    </row>
    <row r="4" spans="1:14" x14ac:dyDescent="0.25">
      <c r="A4" t="str">
        <f>Ce_Calculations!B8</f>
        <v>93G Trace</v>
      </c>
      <c r="B4" s="41">
        <f>IF(Ce_Calculations!O8&gt;SUM($B$30:$D$30),(Ce_Calculations!O8-SUM($B$30:$D$30))*Ce_Calculations!A8,"LLD")</f>
        <v>1.3433264190751415</v>
      </c>
      <c r="C4">
        <f>IF(Ce_Calculations!O8&gt;SUM($B$30:$D$30),((Ce_Calculations!P8^2+$B$31^2+$C$31^2+$D$31^2)^0.5)*Ce_Calculations!A8,"LLD")</f>
        <v>0.22494894782153524</v>
      </c>
      <c r="D4" s="11">
        <f>IF(Ce_Calculations!O8&gt;SUM($B$30:$D$30),C4/B4,"LLD")</f>
        <v>0.16745665433752799</v>
      </c>
      <c r="E4" s="12">
        <f>IF(Ce_Calculations!R8&gt;SUM($E$30:$G$30),(Ce_Calculations!R8-SUM($E$30:$G$30))*Ce_Calculations!A8,"LLD")</f>
        <v>0.24979521933484319</v>
      </c>
      <c r="F4">
        <f>IF(Ce_Calculations!R8&gt;SUM($E$30:$G$30),((Ce_Calculations!S8^2+$E$31^2+$F$31^2+$G$31^2)^0.5)*Ce_Calculations!A8,"LLD")</f>
        <v>0.11881526921092787</v>
      </c>
      <c r="G4" s="11">
        <f>IF(Ce_Calculations!R8&gt;SUM($E$30:$G$30),F4/E4,"LLD")</f>
        <v>0.47565069310497682</v>
      </c>
      <c r="H4" s="29"/>
      <c r="I4">
        <f t="shared" si="0"/>
        <v>5.0602029126015781E-2</v>
      </c>
      <c r="J4">
        <f t="shared" si="1"/>
        <v>1.4117068197665264E-2</v>
      </c>
      <c r="L4">
        <f t="shared" si="2"/>
        <v>1.5931216384099847</v>
      </c>
      <c r="M4">
        <f t="shared" si="3"/>
        <v>0.25439948373312599</v>
      </c>
      <c r="N4" s="11">
        <f t="shared" si="4"/>
        <v>0.15968616432015162</v>
      </c>
    </row>
    <row r="5" spans="1:14" x14ac:dyDescent="0.25">
      <c r="A5" t="str">
        <f>Ce_Calculations!B9</f>
        <v>96G Trace</v>
      </c>
      <c r="B5" s="41">
        <f>IF(Ce_Calculations!O9&gt;SUM($B$30:$D$30),(Ce_Calculations!O9-SUM($B$30:$D$30))*Ce_Calculations!A9,"LLD")</f>
        <v>1.1854809954297385</v>
      </c>
      <c r="C5">
        <f>IF(Ce_Calculations!O9&gt;SUM($B$30:$D$30),((Ce_Calculations!P9^2+$B$31^2+$C$31^2+$D$31^2)^0.5)*Ce_Calculations!A9,"LLD")</f>
        <v>0.17503017065272011</v>
      </c>
      <c r="D5" s="11">
        <f>IF(Ce_Calculations!O9&gt;SUM($B$30:$D$30),C5/B5,"LLD")</f>
        <v>0.14764485582434109</v>
      </c>
      <c r="E5" s="12">
        <f>IF(Ce_Calculations!R9&gt;SUM($E$30:$G$30),(Ce_Calculations!R9-SUM($E$30:$G$30))*Ce_Calculations!A9,"LLD")</f>
        <v>0.18053650363022714</v>
      </c>
      <c r="F5">
        <f>IF(Ce_Calculations!R9&gt;SUM($E$30:$G$30),((Ce_Calculations!S9^2+$E$31^2+$F$31^2+$G$31^2)^0.5)*Ce_Calculations!A9,"LLD")</f>
        <v>9.232716959267645E-2</v>
      </c>
      <c r="G5" s="11">
        <f>IF(Ce_Calculations!R9&gt;SUM($E$30:$G$30),F5/E5,"LLD")</f>
        <v>0.51140444029967447</v>
      </c>
      <c r="H5" s="29"/>
      <c r="I5">
        <f t="shared" si="0"/>
        <v>3.0635560638720326E-2</v>
      </c>
      <c r="J5">
        <f t="shared" si="1"/>
        <v>8.5243062449948392E-3</v>
      </c>
      <c r="L5">
        <f t="shared" si="2"/>
        <v>1.3660174990599656</v>
      </c>
      <c r="M5">
        <f t="shared" si="3"/>
        <v>0.19788852135410775</v>
      </c>
      <c r="N5" s="11">
        <f t="shared" si="4"/>
        <v>0.14486529015205596</v>
      </c>
    </row>
    <row r="6" spans="1:14" s="69" customFormat="1" x14ac:dyDescent="0.25">
      <c r="A6" s="69" t="str">
        <f>Ce_Calculations!B10</f>
        <v>30G Trace Waste</v>
      </c>
      <c r="B6" s="70">
        <f>IF(Ce_Calculations!O10&gt;SUM($B$30:$D$30),(Ce_Calculations!O10-SUM($B$30:$D$30))*Ce_Calculations!A10,"LLD")</f>
        <v>35.581395951551563</v>
      </c>
      <c r="C6" s="69">
        <f>IF(Ce_Calculations!O10&gt;SUM($B$30:$D$30),((Ce_Calculations!P10^2+$B$31^2+$C$31^2+$D$31^2)^0.5)*Ce_Calculations!A10,"LLD")</f>
        <v>0.50418820118664387</v>
      </c>
      <c r="D6" s="71">
        <f>IF(Ce_Calculations!O10&gt;SUM($B$30:$D$30),C6/B6,"LLD")</f>
        <v>1.4169994956722833E-2</v>
      </c>
      <c r="E6" s="72">
        <f>IF(Ce_Calculations!R10&gt;SUM($E$30:$G$30),(Ce_Calculations!R10-SUM($E$30:$G$30))*Ce_Calculations!A10,"LLD")</f>
        <v>30.870606022626866</v>
      </c>
      <c r="F6" s="69">
        <f>IF(Ce_Calculations!R10&gt;SUM($E$30:$G$30),((Ce_Calculations!S10^2+$E$31^2+$F$31^2+$G$31^2)^0.5)*Ce_Calculations!A10,"LLD")</f>
        <v>0.48332308109131944</v>
      </c>
      <c r="G6" s="71">
        <f>IF(Ce_Calculations!R10&gt;SUM($E$30:$G$30),F6/E6,"LLD")</f>
        <v>1.5656417005129857E-2</v>
      </c>
      <c r="H6" s="73"/>
      <c r="I6" s="69">
        <f t="shared" si="0"/>
        <v>0.25420574221582365</v>
      </c>
      <c r="J6" s="69">
        <f t="shared" si="1"/>
        <v>0.23360120071560614</v>
      </c>
      <c r="L6" s="69">
        <f t="shared" si="2"/>
        <v>66.45200197417843</v>
      </c>
      <c r="M6" s="69">
        <f t="shared" si="3"/>
        <v>0.69843177399902834</v>
      </c>
      <c r="N6" s="71">
        <f t="shared" si="4"/>
        <v>1.0510319527625689E-2</v>
      </c>
    </row>
    <row r="7" spans="1:14" s="13" customFormat="1" x14ac:dyDescent="0.25">
      <c r="A7" s="13" t="str">
        <f>Ce_Calculations!B11</f>
        <v>30G Trace Original</v>
      </c>
      <c r="B7" s="42">
        <f>IF(Ce_Calculations!O11&gt;SUM($B$30:$D$30),(Ce_Calculations!O11-SUM($B$30:$D$30))*Ce_Calculations!A11,"LLD")</f>
        <v>42.940167270693443</v>
      </c>
      <c r="C7" s="13">
        <f>IF(Ce_Calculations!O11&gt;SUM($B$30:$D$30),((Ce_Calculations!P11^2+$B$31^2+$C$31^2+$D$31^2)^0.5)*Ce_Calculations!A11,"LLD")</f>
        <v>0.57323962246023585</v>
      </c>
      <c r="D7" s="19">
        <f>IF(Ce_Calculations!O11&gt;SUM($B$30:$D$30),C7/B7,"LLD")</f>
        <v>1.3349729609727684E-2</v>
      </c>
      <c r="E7" s="67">
        <f>IF(Ce_Calculations!R11&gt;SUM($E$30:$G$30),(Ce_Calculations!R11-SUM($E$30:$G$30))*Ce_Calculations!A11,"LLD")</f>
        <v>31.00294723158774</v>
      </c>
      <c r="F7" s="13">
        <f>IF(Ce_Calculations!R11&gt;SUM($E$30:$G$30),((Ce_Calculations!S11^2+$E$31^2+$F$31^2+$G$31^2)^0.5)*Ce_Calculations!A11,"LLD")</f>
        <v>0.46333602240207233</v>
      </c>
      <c r="G7" s="19">
        <f>IF(Ce_Calculations!R11&gt;SUM($E$30:$G$30),F7/E7,"LLD")</f>
        <v>1.4944902461724563E-2</v>
      </c>
      <c r="H7" s="68"/>
      <c r="I7" s="13">
        <f t="shared" si="0"/>
        <v>0.32860366475835373</v>
      </c>
      <c r="J7" s="13">
        <f t="shared" si="1"/>
        <v>0.21468026965537368</v>
      </c>
      <c r="L7" s="13">
        <f t="shared" si="2"/>
        <v>73.94311450228119</v>
      </c>
      <c r="M7" s="13">
        <f t="shared" si="3"/>
        <v>0.73707797037608402</v>
      </c>
      <c r="N7" s="19">
        <f t="shared" si="4"/>
        <v>9.9681758786796127E-3</v>
      </c>
    </row>
    <row r="8" spans="1:14" x14ac:dyDescent="0.25">
      <c r="A8" t="str">
        <f>Ce_Calculations!B14</f>
        <v>42G taper</v>
      </c>
      <c r="B8" s="41">
        <f>IF(Ce_Calculations!O14&gt;SUM($B$30:$D$30),(Ce_Calculations!O14-SUM($B$30:$D$30))*Ce_Calculations!A16,"LLD")</f>
        <v>1.1948641576498358</v>
      </c>
      <c r="C8">
        <f>IF(Ce_Calculations!O14&gt;SUM($B$30:$D$30),((Ce_Calculations!P14^2+$B$31^2+$C$31^2+$D$31^2)^0.5)*Ce_Calculations!A16,"LLD")</f>
        <v>0.20219697454700603</v>
      </c>
      <c r="D8" s="11">
        <f>IF(Ce_Calculations!O14&gt;SUM($B$30:$D$30),C8/B8,"LLD")</f>
        <v>0.16922172554301476</v>
      </c>
      <c r="E8" s="12">
        <f>IF(Ce_Calculations!R14&gt;SUM($E$30:$G$30),(Ce_Calculations!R14-SUM($E$30:$G$30))*Ce_Calculations!A16,"LLD")</f>
        <v>6.7204413749530483</v>
      </c>
      <c r="F8">
        <f>IF(Ce_Calculations!R14&gt;SUM($E$30:$G$30),((Ce_Calculations!S14^2+$E$31^2+$F$31^2+$G$31^2)^0.5)*Ce_Calculations!A16,"LLD")</f>
        <v>0.14299503926032447</v>
      </c>
      <c r="G8" s="11">
        <f>IF(Ce_Calculations!R14&gt;SUM($E$30:$G$30),F8/E8,"LLD")</f>
        <v>2.1277626168016903E-2</v>
      </c>
      <c r="H8" s="29"/>
      <c r="I8">
        <f t="shared" si="0"/>
        <v>4.0883616515962604E-2</v>
      </c>
      <c r="J8">
        <f t="shared" si="1"/>
        <v>2.0447581253061738E-2</v>
      </c>
      <c r="L8">
        <f t="shared" si="2"/>
        <v>7.9153055326028845</v>
      </c>
      <c r="M8">
        <f t="shared" si="3"/>
        <v>0.24765136334981955</v>
      </c>
      <c r="N8" s="11">
        <f t="shared" si="4"/>
        <v>3.1287656847831288E-2</v>
      </c>
    </row>
    <row r="9" spans="1:14" x14ac:dyDescent="0.25">
      <c r="A9" t="str">
        <f>Ce_Calculations!B15</f>
        <v>70G</v>
      </c>
      <c r="B9" s="41">
        <f>IF(Ce_Calculations!O15&gt;SUM($B$30:$D$30),(Ce_Calculations!O15-SUM($B$30:$D$30))*Ce_Calculations!A17,"LLD")</f>
        <v>1.6713557349080332</v>
      </c>
      <c r="C9">
        <f>IF(Ce_Calculations!O15&gt;SUM($B$30:$D$30),((Ce_Calculations!P15^2+$B$31^2+$C$31^2+$D$31^2)^0.5)*Ce_Calculations!A17,"LLD")</f>
        <v>0.17218267155215453</v>
      </c>
      <c r="D9" s="11">
        <f>IF(Ce_Calculations!O15&gt;SUM($B$30:$D$30),C9/B9,"LLD")</f>
        <v>0.10301976291218992</v>
      </c>
      <c r="E9" s="12">
        <f>IF(Ce_Calculations!R15&gt;SUM($E$30:$G$30),(Ce_Calculations!R15-SUM($E$30:$G$30))*Ce_Calculations!A17,"LLD")</f>
        <v>1.1673331305108565</v>
      </c>
      <c r="F9">
        <f>IF(Ce_Calculations!R15&gt;SUM($E$30:$G$30),((Ce_Calculations!S15^2+$E$31^2+$F$31^2+$G$31^2)^0.5)*Ce_Calculations!A17,"LLD")</f>
        <v>9.2446139093338472E-2</v>
      </c>
      <c r="G9" s="11">
        <f>IF(Ce_Calculations!R15&gt;SUM($E$30:$G$30),F9/E9,"LLD")</f>
        <v>7.9194307671950973E-2</v>
      </c>
      <c r="H9" s="29"/>
      <c r="I9">
        <f t="shared" si="0"/>
        <v>2.9646872382837124E-2</v>
      </c>
      <c r="J9">
        <f t="shared" si="1"/>
        <v>8.5462886332648841E-3</v>
      </c>
      <c r="L9">
        <f t="shared" si="2"/>
        <v>2.8386888654188898</v>
      </c>
      <c r="M9">
        <f t="shared" si="3"/>
        <v>0.19543070643095473</v>
      </c>
      <c r="N9" s="11">
        <f t="shared" si="4"/>
        <v>6.8845412687422544E-2</v>
      </c>
    </row>
    <row r="10" spans="1:14" x14ac:dyDescent="0.25">
      <c r="A10" t="str">
        <f>Ce_Calculations!B16</f>
        <v>71G</v>
      </c>
      <c r="B10" s="41">
        <f>IF(Ce_Calculations!O16&gt;SUM($B$30:$D$30),(Ce_Calculations!O16-SUM($B$30:$D$30))*Ce_Calculations!A18,"LLD")</f>
        <v>1.2804888842970426</v>
      </c>
      <c r="C10">
        <f>IF(Ce_Calculations!O16&gt;SUM($B$30:$D$30),((Ce_Calculations!P16^2+$B$31^2+$C$31^2+$D$31^2)^0.5)*Ce_Calculations!A18,"LLD")</f>
        <v>0.17056474206059083</v>
      </c>
      <c r="D10" s="11">
        <f>IF(Ce_Calculations!O16&gt;SUM($B$30:$D$30),C10/B10,"LLD")</f>
        <v>0.13320282913211445</v>
      </c>
      <c r="E10" s="12">
        <f>IF(Ce_Calculations!R16&gt;SUM($E$30:$G$30),(Ce_Calculations!R16-SUM($E$30:$G$30))*Ce_Calculations!A18,"LLD")</f>
        <v>1.1290847019634282</v>
      </c>
      <c r="F10">
        <f>IF(Ce_Calculations!R16&gt;SUM($E$30:$G$30),((Ce_Calculations!S16^2+$E$31^2+$F$31^2+$G$31^2)^0.5)*Ce_Calculations!A18,"LLD")</f>
        <v>9.1660202501189905E-2</v>
      </c>
      <c r="G10" s="11">
        <f>IF(Ce_Calculations!R16&gt;SUM($E$30:$G$30),F10/E10,"LLD")</f>
        <v>8.1180979905047759E-2</v>
      </c>
      <c r="H10" s="29"/>
      <c r="I10">
        <f t="shared" si="0"/>
        <v>2.9092331234195884E-2</v>
      </c>
      <c r="J10">
        <f t="shared" si="1"/>
        <v>8.4015927225591404E-3</v>
      </c>
      <c r="L10">
        <f t="shared" si="2"/>
        <v>2.4095735862604708</v>
      </c>
      <c r="M10">
        <f t="shared" si="3"/>
        <v>0.19363347839863596</v>
      </c>
      <c r="N10" s="11">
        <f t="shared" si="4"/>
        <v>8.0360060179421516E-2</v>
      </c>
    </row>
    <row r="11" spans="1:14" x14ac:dyDescent="0.25">
      <c r="A11" t="str">
        <f>Ce_Calculations!B17</f>
        <v>72G</v>
      </c>
      <c r="B11" s="41">
        <f>IF(Ce_Calculations!O17&gt;SUM($B$30:$D$30),(Ce_Calculations!O17-SUM($B$30:$D$30))*Ce_Calculations!A19,"LLD")</f>
        <v>1.2832281754755868</v>
      </c>
      <c r="C11">
        <f>IF(Ce_Calculations!O17&gt;SUM($B$30:$D$30),((Ce_Calculations!P17^2+$B$31^2+$C$31^2+$D$31^2)^0.5)*Ce_Calculations!A19,"LLD")</f>
        <v>0.16653809031392139</v>
      </c>
      <c r="D11" s="11">
        <f>IF(Ce_Calculations!O17&gt;SUM($B$30:$D$30),C11/B11,"LLD")</f>
        <v>0.12978057487882033</v>
      </c>
      <c r="E11" s="12">
        <f>IF(Ce_Calculations!R17&gt;SUM($E$30:$G$30),(Ce_Calculations!R17-SUM($E$30:$G$30))*Ce_Calculations!A19,"LLD")</f>
        <v>1.3074505143531425</v>
      </c>
      <c r="F11">
        <f>IF(Ce_Calculations!R17&gt;SUM($E$30:$G$30),((Ce_Calculations!S17^2+$E$31^2+$F$31^2+$G$31^2)^0.5)*Ce_Calculations!A19,"LLD")</f>
        <v>9.0256620879412663E-2</v>
      </c>
      <c r="G11" s="11">
        <f>IF(Ce_Calculations!R17&gt;SUM($E$30:$G$30),F11/E11,"LLD")</f>
        <v>6.9032533077603223E-2</v>
      </c>
      <c r="H11" s="29"/>
      <c r="I11">
        <f t="shared" si="0"/>
        <v>2.7734935525407838E-2</v>
      </c>
      <c r="J11">
        <f t="shared" si="1"/>
        <v>8.1462576125700299E-3</v>
      </c>
      <c r="L11">
        <f t="shared" si="2"/>
        <v>2.5906786898287293</v>
      </c>
      <c r="M11">
        <f t="shared" si="3"/>
        <v>0.18942331730274883</v>
      </c>
      <c r="N11" s="11">
        <f t="shared" si="4"/>
        <v>7.3117256125371413E-2</v>
      </c>
    </row>
    <row r="12" spans="1:14" x14ac:dyDescent="0.25">
      <c r="A12" t="str">
        <f>Ce_Calculations!B18</f>
        <v>73G</v>
      </c>
      <c r="B12" s="41">
        <f>IF(Ce_Calculations!O18&gt;SUM($B$30:$D$30),(Ce_Calculations!O18-SUM($B$30:$D$30))*Ce_Calculations!A20,"LLD")</f>
        <v>1.8633147789629778</v>
      </c>
      <c r="C12">
        <f>IF(Ce_Calculations!O18&gt;SUM($B$30:$D$30),((Ce_Calculations!P18^2+$B$31^2+$C$31^2+$D$31^2)^0.5)*Ce_Calculations!A20,"LLD")</f>
        <v>0.24451625548761782</v>
      </c>
      <c r="D12" s="11">
        <f>IF(Ce_Calculations!O18&gt;SUM($B$30:$D$30),C12/B12,"LLD")</f>
        <v>0.13122648853979604</v>
      </c>
      <c r="E12" s="12">
        <f>IF(Ce_Calculations!R18&gt;SUM($E$30:$G$30),(Ce_Calculations!R18-SUM($E$30:$G$30))*Ce_Calculations!A20,"LLD")</f>
        <v>1.1256443875884816</v>
      </c>
      <c r="F12">
        <f>IF(Ce_Calculations!R18&gt;SUM($E$30:$G$30),((Ce_Calculations!S18^2+$E$31^2+$F$31^2+$G$31^2)^0.5)*Ce_Calculations!A20,"LLD")</f>
        <v>0.13017307535381886</v>
      </c>
      <c r="G12" s="11">
        <f>IF(Ce_Calculations!R18&gt;SUM($E$30:$G$30),F12/E12,"LLD")</f>
        <v>0.11564316118760604</v>
      </c>
      <c r="H12" s="29"/>
      <c r="I12">
        <f t="shared" si="0"/>
        <v>5.9788199197685993E-2</v>
      </c>
      <c r="J12">
        <f t="shared" si="1"/>
        <v>1.6945029547071003E-2</v>
      </c>
      <c r="L12">
        <f t="shared" si="2"/>
        <v>2.9889591665514592</v>
      </c>
      <c r="M12">
        <f t="shared" si="3"/>
        <v>0.27700763300811226</v>
      </c>
      <c r="N12" s="11">
        <f t="shared" si="4"/>
        <v>9.2676954609491213E-2</v>
      </c>
    </row>
    <row r="13" spans="1:14" x14ac:dyDescent="0.25">
      <c r="A13" t="str">
        <f>Ce_Calculations!B19</f>
        <v xml:space="preserve">74G </v>
      </c>
      <c r="B13" s="41">
        <f>IF(Ce_Calculations!O19&gt;SUM($B$30:$D$30),(Ce_Calculations!O19-SUM($B$30:$D$30))*Ce_Calculations!A21,"LLD")</f>
        <v>0.55893986916905147</v>
      </c>
      <c r="C13">
        <f>IF(Ce_Calculations!O19&gt;SUM($B$30:$D$30),((Ce_Calculations!P19^2+$B$31^2+$C$31^2+$D$31^2)^0.5)*Ce_Calculations!A21,"LLD")</f>
        <v>0.10789004805394004</v>
      </c>
      <c r="D13" s="11">
        <f>IF(Ce_Calculations!O19&gt;SUM($B$30:$D$30),C13/B13,"LLD")</f>
        <v>0.19302621624457544</v>
      </c>
      <c r="E13" s="12">
        <f>IF(Ce_Calculations!R19&gt;SUM($E$30:$G$30),(Ce_Calculations!R19-SUM($E$30:$G$30))*Ce_Calculations!A21,"LLD")</f>
        <v>0.47516369492937005</v>
      </c>
      <c r="F13">
        <f>IF(Ce_Calculations!R19&gt;SUM($E$30:$G$30),((Ce_Calculations!S19^2+$E$31^2+$F$31^2+$G$31^2)^0.5)*Ce_Calculations!A21,"LLD")</f>
        <v>5.7486442254779856E-2</v>
      </c>
      <c r="G13" s="11">
        <f>IF(Ce_Calculations!R19&gt;SUM($E$30:$G$30),F13/E13,"LLD")</f>
        <v>0.12098239589479755</v>
      </c>
      <c r="H13" s="29"/>
      <c r="I13">
        <f t="shared" si="0"/>
        <v>1.1640262469081491E-2</v>
      </c>
      <c r="J13">
        <f t="shared" si="1"/>
        <v>3.3046910431121387E-3</v>
      </c>
      <c r="L13">
        <f t="shared" si="2"/>
        <v>1.0341035640984215</v>
      </c>
      <c r="M13">
        <f t="shared" si="3"/>
        <v>0.12224955424128806</v>
      </c>
      <c r="N13" s="11">
        <f t="shared" si="4"/>
        <v>0.11821790242824544</v>
      </c>
    </row>
    <row r="14" spans="1:14" x14ac:dyDescent="0.25">
      <c r="A14" t="str">
        <f>Ce_Calculations!B20</f>
        <v xml:space="preserve">75G trace waste </v>
      </c>
      <c r="B14" s="41" t="e">
        <f>IF(Ce_Calculations!O20&gt;SUM($B$30:$D$30),(Ce_Calculations!O20-SUM($B$30:$D$30))*Ce_Calculations!A22,"LLD")</f>
        <v>#VALUE!</v>
      </c>
      <c r="C14" t="e">
        <f>IF(Ce_Calculations!O20&gt;SUM($B$30:$D$30),((Ce_Calculations!P20^2+$B$31^2+$C$31^2+$D$31^2)^0.5)*Ce_Calculations!A22,"LLD")</f>
        <v>#VALUE!</v>
      </c>
      <c r="D14" s="11" t="e">
        <f>IF(Ce_Calculations!O20&gt;SUM($B$30:$D$30),C14/B14,"LLD")</f>
        <v>#VALUE!</v>
      </c>
      <c r="E14" s="12" t="e">
        <f>IF(Ce_Calculations!R20&gt;SUM($E$30:$G$30),(Ce_Calculations!R20-SUM($E$30:$G$30))*Ce_Calculations!A22,"LLD")</f>
        <v>#VALUE!</v>
      </c>
      <c r="F14" t="e">
        <f>IF(Ce_Calculations!R20&gt;SUM($E$30:$G$30),((Ce_Calculations!S20^2+$E$31^2+$F$31^2+$G$31^2)^0.5)*Ce_Calculations!A22,"LLD")</f>
        <v>#VALUE!</v>
      </c>
      <c r="G14" s="11" t="e">
        <f>IF(Ce_Calculations!R20&gt;SUM($E$30:$G$30),F14/E14,"LLD")</f>
        <v>#VALUE!</v>
      </c>
      <c r="H14" s="29"/>
      <c r="I14" t="e">
        <f t="shared" si="0"/>
        <v>#VALUE!</v>
      </c>
      <c r="J14" t="e">
        <f t="shared" si="1"/>
        <v>#VALUE!</v>
      </c>
      <c r="L14" t="e">
        <f t="shared" si="2"/>
        <v>#VALUE!</v>
      </c>
      <c r="M14" t="e">
        <f t="shared" si="3"/>
        <v>#VALUE!</v>
      </c>
      <c r="N14" s="11" t="e">
        <f t="shared" si="4"/>
        <v>#VALUE!</v>
      </c>
    </row>
    <row r="15" spans="1:14" x14ac:dyDescent="0.25">
      <c r="A15" t="str">
        <f>Ce_Calculations!B21</f>
        <v>81G trace</v>
      </c>
      <c r="B15" s="41">
        <f>IF(Ce_Calculations!O21&gt;SUM($B$30:$D$30),(Ce_Calculations!O21-SUM($B$30:$D$30))*Ce_Calculations!A23,"LLD")</f>
        <v>3.9853027960669003</v>
      </c>
      <c r="C15">
        <f>IF(Ce_Calculations!O21&gt;SUM($B$30:$D$30),((Ce_Calculations!P21^2+$B$31^2+$C$31^2+$D$31^2)^0.5)*Ce_Calculations!A23,"LLD")</f>
        <v>0.25306927917665262</v>
      </c>
      <c r="D15" s="11">
        <f>IF(Ce_Calculations!O21&gt;SUM($B$30:$D$30),C15/B15,"LLD")</f>
        <v>6.3500640259105776E-2</v>
      </c>
      <c r="E15" s="12">
        <f>IF(Ce_Calculations!R21&gt;SUM($E$30:$G$30),(Ce_Calculations!R21-SUM($E$30:$G$30))*Ce_Calculations!A23,"LLD")</f>
        <v>0.81583842974879983</v>
      </c>
      <c r="F15">
        <f>IF(Ce_Calculations!R21&gt;SUM($E$30:$G$30),((Ce_Calculations!S21^2+$E$31^2+$F$31^2+$G$31^2)^0.5)*Ce_Calculations!A23,"LLD")</f>
        <v>0.13003190534001438</v>
      </c>
      <c r="G15" s="11">
        <f>IF(Ce_Calculations!R21&gt;SUM($E$30:$G$30),F15/E15,"LLD")</f>
        <v>0.1593843837192761</v>
      </c>
      <c r="H15" s="29"/>
      <c r="I15">
        <f t="shared" si="0"/>
        <v>6.4044060062990543E-2</v>
      </c>
      <c r="J15">
        <f t="shared" si="1"/>
        <v>1.690829640635446E-2</v>
      </c>
      <c r="L15">
        <f t="shared" si="2"/>
        <v>4.8011412258156998</v>
      </c>
      <c r="M15">
        <f t="shared" si="3"/>
        <v>0.28452127595198395</v>
      </c>
      <c r="N15" s="11">
        <f t="shared" si="4"/>
        <v>5.9261176159975303E-2</v>
      </c>
    </row>
    <row r="16" spans="1:14" x14ac:dyDescent="0.25">
      <c r="A16" t="str">
        <f>Ce_Calculations!B22</f>
        <v>82G trace</v>
      </c>
      <c r="B16" s="41">
        <f>IF(Ce_Calculations!O22&gt;SUM($B$30:$D$30),(Ce_Calculations!O22-SUM($B$30:$D$30))*Ce_Calculations!A24,"LLD")</f>
        <v>1.3114360396245071</v>
      </c>
      <c r="C16">
        <f>IF(Ce_Calculations!O22&gt;SUM($B$30:$D$30),((Ce_Calculations!P22^2+$B$31^2+$C$31^2+$D$31^2)^0.5)*Ce_Calculations!A24,"LLD")</f>
        <v>0.18613737219471999</v>
      </c>
      <c r="D16" s="11">
        <f>IF(Ce_Calculations!O22&gt;SUM($B$30:$D$30),C16/B16,"LLD")</f>
        <v>0.14193400712703855</v>
      </c>
      <c r="E16" s="12">
        <f>IF(Ce_Calculations!R22&gt;SUM($E$30:$G$30),(Ce_Calculations!R22-SUM($E$30:$G$30))*Ce_Calculations!A24,"LLD")</f>
        <v>0.22998360795523928</v>
      </c>
      <c r="F16">
        <f>IF(Ce_Calculations!R22&gt;SUM($E$30:$G$30),((Ce_Calculations!S22^2+$E$31^2+$F$31^2+$G$31^2)^0.5)*Ce_Calculations!A24,"LLD")</f>
        <v>9.8196266312026492E-2</v>
      </c>
      <c r="G16" s="11">
        <f>IF(Ce_Calculations!R22&gt;SUM($E$30:$G$30),F16/E16,"LLD")</f>
        <v>0.42697071841371409</v>
      </c>
      <c r="H16" s="29"/>
      <c r="I16">
        <f t="shared" si="0"/>
        <v>3.4647121327555715E-2</v>
      </c>
      <c r="J16">
        <f t="shared" si="1"/>
        <v>9.6425067176224288E-3</v>
      </c>
      <c r="L16">
        <f t="shared" si="2"/>
        <v>1.5414196475797464</v>
      </c>
      <c r="M16">
        <f t="shared" si="3"/>
        <v>0.21045101103387018</v>
      </c>
      <c r="N16" s="11">
        <f t="shared" si="4"/>
        <v>0.13653064002675</v>
      </c>
    </row>
    <row r="17" spans="1:14" x14ac:dyDescent="0.25">
      <c r="A17" t="str">
        <f>Ce_Calculations!B23</f>
        <v>83G Trace</v>
      </c>
      <c r="B17" s="41" t="e">
        <f>IF(Ce_Calculations!O23&gt;SUM($B$30:$D$30),(Ce_Calculations!O23-SUM($B$30:$D$30))*Ce_Calculations!A25,"LLD")</f>
        <v>#VALUE!</v>
      </c>
      <c r="C17" t="e">
        <f>IF(Ce_Calculations!O23&gt;SUM($B$30:$D$30),((Ce_Calculations!P23^2+$B$31^2+$C$31^2+$D$31^2)^0.5)*Ce_Calculations!A25,"LLD")</f>
        <v>#VALUE!</v>
      </c>
      <c r="D17" s="11" t="e">
        <f>IF(Ce_Calculations!O23&gt;SUM($B$30:$D$30),C17/B17,"LLD")</f>
        <v>#VALUE!</v>
      </c>
      <c r="E17" s="12" t="e">
        <f>IF(Ce_Calculations!R23&gt;SUM($E$30:$G$30),(Ce_Calculations!R23-SUM($E$30:$G$30))*Ce_Calculations!A25,"LLD")</f>
        <v>#VALUE!</v>
      </c>
      <c r="F17" t="e">
        <f>IF(Ce_Calculations!R23&gt;SUM($E$30:$G$30),((Ce_Calculations!S23^2+$E$31^2+$F$31^2+$G$31^2)^0.5)*Ce_Calculations!A25,"LLD")</f>
        <v>#VALUE!</v>
      </c>
      <c r="G17" s="11" t="e">
        <f>IF(Ce_Calculations!R23&gt;SUM($E$30:$G$30),F17/E17,"LLD")</f>
        <v>#VALUE!</v>
      </c>
      <c r="H17" s="29"/>
      <c r="I17" t="e">
        <f t="shared" si="0"/>
        <v>#VALUE!</v>
      </c>
      <c r="J17" t="e">
        <f t="shared" si="1"/>
        <v>#VALUE!</v>
      </c>
      <c r="L17" t="e">
        <f t="shared" si="2"/>
        <v>#VALUE!</v>
      </c>
      <c r="M17" t="e">
        <f t="shared" si="3"/>
        <v>#VALUE!</v>
      </c>
      <c r="N17" s="11" t="e">
        <f t="shared" si="4"/>
        <v>#VALUE!</v>
      </c>
    </row>
    <row r="18" spans="1:14" x14ac:dyDescent="0.25">
      <c r="A18" t="str">
        <f>Ce_Calculations!B24</f>
        <v>84G trace</v>
      </c>
      <c r="B18" s="41">
        <f>IF(Ce_Calculations!O24&gt;SUM($B$30:$D$30),(Ce_Calculations!O24-SUM($B$30:$D$30))*Ce_Calculations!A26,"LLD")</f>
        <v>0.983833174475785</v>
      </c>
      <c r="C18">
        <f>IF(Ce_Calculations!O24&gt;SUM($B$30:$D$30),((Ce_Calculations!P24^2+$B$31^2+$C$31^2+$D$31^2)^0.5)*Ce_Calculations!A26,"LLD")</f>
        <v>0.1337471204197869</v>
      </c>
      <c r="D18" s="11">
        <f>IF(Ce_Calculations!O24&gt;SUM($B$30:$D$30),C18/B18,"LLD")</f>
        <v>0.13594491819311874</v>
      </c>
      <c r="E18" s="12">
        <f>IF(Ce_Calculations!R24&gt;SUM($E$30:$G$30),(Ce_Calculations!R24-SUM($E$30:$G$30))*Ce_Calculations!A26,"LLD")</f>
        <v>0.19444923932733524</v>
      </c>
      <c r="F18">
        <f>IF(Ce_Calculations!R24&gt;SUM($E$30:$G$30),((Ce_Calculations!S24^2+$E$31^2+$F$31^2+$G$31^2)^0.5)*Ce_Calculations!A26,"LLD")</f>
        <v>7.0545092116777133E-2</v>
      </c>
      <c r="G18" s="11">
        <f>IF(Ce_Calculations!R24&gt;SUM($E$30:$G$30),F18/E18,"LLD")</f>
        <v>0.36279438459526059</v>
      </c>
      <c r="H18" s="29"/>
      <c r="I18">
        <f t="shared" si="0"/>
        <v>1.7888292220584977E-2</v>
      </c>
      <c r="J18">
        <f t="shared" si="1"/>
        <v>4.9766100217645713E-3</v>
      </c>
      <c r="L18">
        <f t="shared" si="2"/>
        <v>1.1782824138031203</v>
      </c>
      <c r="M18">
        <f t="shared" si="3"/>
        <v>0.15121144878067119</v>
      </c>
      <c r="N18" s="11">
        <f t="shared" si="4"/>
        <v>0.12833209340077376</v>
      </c>
    </row>
    <row r="19" spans="1:14" s="62" customFormat="1" x14ac:dyDescent="0.25">
      <c r="A19" s="62" t="str">
        <f>Ce_Calculations!B25</f>
        <v>86G Trace</v>
      </c>
      <c r="B19" s="63">
        <f>IF(Ce_Calculations!O25&gt;SUM($B$30:$D$30),(Ce_Calculations!O25-SUM($B$30:$D$30))*Ce_Calculations!A25,"LLD")</f>
        <v>2.8492342028013864</v>
      </c>
      <c r="C19" s="62">
        <f>IF(Ce_Calculations!O25&gt;SUM($B$30:$D$30),((Ce_Calculations!P25^2+$B$31^2+$C$31^2+$D$31^2)^0.5)*Ce_Calculations!A27,"LLD")</f>
        <v>0.17126726458027458</v>
      </c>
      <c r="D19" s="64">
        <f>IF(Ce_Calculations!O25&gt;SUM($B$30:$D$30),C19/B19,"LLD")</f>
        <v>6.0109928629904642E-2</v>
      </c>
      <c r="E19" s="65">
        <f>IF(Ce_Calculations!R25&gt;SUM($E$30:$G$30),(Ce_Calculations!R25-SUM($E$30:$G$30))*Ce_Calculations!A25,"LLD")</f>
        <v>1.1821436004405459</v>
      </c>
      <c r="F19" s="62">
        <f>IF(Ce_Calculations!R25&gt;SUM($E$30:$G$30),((Ce_Calculations!S25^2+$E$31^2+$F$31^2+$G$31^2)^0.5)*Ce_Calculations!A27,"LLD")</f>
        <v>8.728955809957914E-2</v>
      </c>
      <c r="G19" s="64">
        <f>IF(Ce_Calculations!R25&gt;SUM($E$30:$G$30),F19/E19,"LLD")</f>
        <v>7.3840063142116746E-2</v>
      </c>
      <c r="H19" s="66"/>
      <c r="I19" s="62">
        <f t="shared" si="0"/>
        <v>2.9332475916809778E-2</v>
      </c>
      <c r="J19" s="62">
        <f t="shared" si="1"/>
        <v>7.6194669532198018E-3</v>
      </c>
      <c r="L19" s="62">
        <f t="shared" si="2"/>
        <v>4.0313778032419325</v>
      </c>
      <c r="M19" s="62">
        <f t="shared" si="3"/>
        <v>0.19222888146693665</v>
      </c>
      <c r="N19" s="64">
        <f t="shared" si="4"/>
        <v>4.7683172068951465E-2</v>
      </c>
    </row>
    <row r="20" spans="1:14" x14ac:dyDescent="0.25">
      <c r="A20" t="str">
        <f>Ce_Calculations!B26</f>
        <v>24G Taper Waste</v>
      </c>
      <c r="B20" s="41">
        <f>IF(Ce_Calculations!O26&gt;SUM($B$30:$D$30),(Ce_Calculations!O26-SUM($B$30:$D$30))*Ce_Calculations!A28,"LLD")</f>
        <v>16.048809113483564</v>
      </c>
      <c r="C20">
        <f>IF(Ce_Calculations!O26&gt;SUM($B$30:$D$30),((Ce_Calculations!P26^2+$B$31^2+$C$31^2+$D$31^2)^0.5)*Ce_Calculations!A28,"LLD")</f>
        <v>0.20678725028820577</v>
      </c>
      <c r="D20" s="11">
        <f>IF(Ce_Calculations!O26&gt;SUM($B$30:$D$30),C20/B20,"LLD")</f>
        <v>1.2884896868420688E-2</v>
      </c>
      <c r="E20" s="12">
        <f>IF(Ce_Calculations!R26&gt;SUM($E$30:$G$30),(Ce_Calculations!R26-SUM($E$30:$G$30))*Ce_Calculations!A28,"LLD")</f>
        <v>69.386831324190311</v>
      </c>
      <c r="F20">
        <f>IF(Ce_Calculations!R26&gt;SUM($E$30:$G$30),((Ce_Calculations!S26^2+$E$31^2+$F$31^2+$G$31^2)^0.5)*Ce_Calculations!A28,"LLD")</f>
        <v>0.99473362223517925</v>
      </c>
      <c r="G20" s="11">
        <f>IF(Ce_Calculations!R26&gt;SUM($E$30:$G$30),F20/E20,"LLD")</f>
        <v>1.4336057768477252E-2</v>
      </c>
      <c r="H20" s="29"/>
      <c r="I20">
        <f t="shared" si="0"/>
        <v>4.2760966881757061E-2</v>
      </c>
      <c r="J20">
        <f t="shared" si="1"/>
        <v>0.98949497920512031</v>
      </c>
      <c r="L20">
        <f t="shared" si="2"/>
        <v>85.435640437673868</v>
      </c>
      <c r="M20">
        <f t="shared" si="3"/>
        <v>1.0159999734679512</v>
      </c>
      <c r="N20" s="11">
        <f t="shared" si="4"/>
        <v>1.1891992244257046E-2</v>
      </c>
    </row>
    <row r="21" spans="1:14" x14ac:dyDescent="0.25">
      <c r="A21" t="str">
        <f>Ce_Calculations!B27</f>
        <v>24G Trace Original</v>
      </c>
      <c r="B21" s="41">
        <f>IF(Ce_Calculations!O27&gt;SUM($B$30:$D$30),(Ce_Calculations!O27-SUM($B$30:$D$30))*Ce_Calculations!A29,"LLD")</f>
        <v>14.617848435642557</v>
      </c>
      <c r="C21">
        <f>IF(Ce_Calculations!O27&gt;SUM($B$30:$D$30),((Ce_Calculations!P27^2+$B$31^2+$C$31^2+$D$31^2)^0.5)*Ce_Calculations!A29,"LLD")</f>
        <v>0.21029304330803097</v>
      </c>
      <c r="D21" s="11">
        <f>IF(Ce_Calculations!O27&gt;SUM($B$30:$D$30),C21/B21,"LLD")</f>
        <v>1.4386046225193818E-2</v>
      </c>
      <c r="E21" s="12">
        <f>IF(Ce_Calculations!R27&gt;SUM($E$30:$G$30),(Ce_Calculations!R27-SUM($E$30:$G$30))*Ce_Calculations!A29,"LLD")</f>
        <v>14.333910371342171</v>
      </c>
      <c r="F21">
        <f>IF(Ce_Calculations!R27&gt;SUM($E$30:$G$30),((Ce_Calculations!S27^2+$E$31^2+$F$31^2+$G$31^2)^0.5)*Ce_Calculations!A29,"LLD")</f>
        <v>0.22591492226298393</v>
      </c>
      <c r="G21" s="11">
        <f>IF(Ce_Calculations!R27&gt;SUM($E$30:$G$30),F21/E21,"LLD")</f>
        <v>1.576087169588114E-2</v>
      </c>
      <c r="H21" s="29"/>
      <c r="I21">
        <f t="shared" si="0"/>
        <v>4.4223164063753394E-2</v>
      </c>
      <c r="J21">
        <f t="shared" si="1"/>
        <v>5.1037552101090074E-2</v>
      </c>
      <c r="L21">
        <f t="shared" si="2"/>
        <v>28.951758806984728</v>
      </c>
      <c r="M21">
        <f t="shared" si="3"/>
        <v>0.3086433478383156</v>
      </c>
      <c r="N21" s="11">
        <f t="shared" si="4"/>
        <v>1.0660607871735037E-2</v>
      </c>
    </row>
    <row r="22" spans="1:14" x14ac:dyDescent="0.25">
      <c r="A22" t="str">
        <f>Ce_Calculations!B28</f>
        <v>53G</v>
      </c>
      <c r="B22" s="41">
        <f>IF(Ce_Calculations!O28&gt;SUM($B$30:$D$30),(Ce_Calculations!O28-SUM($B$30:$D$30))*Ce_Calculations!A30,"LLD")</f>
        <v>2.574852172940405</v>
      </c>
      <c r="C22">
        <f>IF(Ce_Calculations!O28&gt;SUM($B$30:$D$30),((Ce_Calculations!P28^2+$B$31^2+$C$31^2+$D$31^2)^0.5)*Ce_Calculations!A30,"LLD")</f>
        <v>0.2459478365487156</v>
      </c>
      <c r="D22" s="11">
        <f>IF(Ce_Calculations!O28&gt;SUM($B$30:$D$30),C22/B22,"LLD")</f>
        <v>9.5519206552293234E-2</v>
      </c>
      <c r="E22" s="12">
        <f>IF(Ce_Calculations!R28&gt;SUM($E$30:$G$30),(Ce_Calculations!R28-SUM($E$30:$G$30))*Ce_Calculations!A30,"LLD")</f>
        <v>30.166235214628021</v>
      </c>
      <c r="F22">
        <f>IF(Ce_Calculations!R28&gt;SUM($E$30:$G$30),((Ce_Calculations!S28^2+$E$31^2+$F$31^2+$G$31^2)^0.5)*Ce_Calculations!A30,"LLD")</f>
        <v>0.74319984199570854</v>
      </c>
      <c r="G22" s="11">
        <f>IF(Ce_Calculations!R28&gt;SUM($E$30:$G$30),F22/E22,"LLD")</f>
        <v>2.4636811213197753E-2</v>
      </c>
      <c r="H22" s="29"/>
      <c r="I22">
        <f t="shared" si="0"/>
        <v>6.0490338302993725E-2</v>
      </c>
      <c r="J22">
        <f t="shared" si="1"/>
        <v>0.55234600514244614</v>
      </c>
      <c r="L22">
        <f t="shared" si="2"/>
        <v>32.741087387568427</v>
      </c>
      <c r="M22">
        <f t="shared" si="3"/>
        <v>0.78283864457845964</v>
      </c>
      <c r="N22" s="11">
        <f t="shared" si="4"/>
        <v>2.3909976944617248E-2</v>
      </c>
    </row>
    <row r="23" spans="1:14" x14ac:dyDescent="0.25">
      <c r="A23" t="str">
        <f>Ce_Calculations!B29</f>
        <v>94G</v>
      </c>
      <c r="B23" s="41">
        <f>IF(Ce_Calculations!O29&gt;SUM($B$30:$D$30),(Ce_Calculations!O29-SUM($B$30:$D$30))*Ce_Calculations!A31,"LLD")</f>
        <v>6.633176886904911</v>
      </c>
      <c r="C23">
        <f>IF(Ce_Calculations!O29&gt;SUM($B$30:$D$30),((Ce_Calculations!P29^2+$B$31^2+$C$31^2+$D$31^2)^0.5)*Ce_Calculations!A31,"LLD")</f>
        <v>0.33653424694775458</v>
      </c>
      <c r="D23" s="11">
        <f>IF(Ce_Calculations!O29&gt;SUM($B$30:$D$30),C23/B23,"LLD")</f>
        <v>5.0735002651916904E-2</v>
      </c>
      <c r="E23" s="12">
        <f>IF(Ce_Calculations!R29&gt;SUM($E$30:$G$30),(Ce_Calculations!R29-SUM($E$30:$G$30))*Ce_Calculations!A31,"LLD")</f>
        <v>10.941762178060797</v>
      </c>
      <c r="F23">
        <f>IF(Ce_Calculations!R29&gt;SUM($E$30:$G$30),((Ce_Calculations!S29^2+$E$31^2+$F$31^2+$G$31^2)^0.5)*Ce_Calculations!A31,"LLD")</f>
        <v>0.43555594470086717</v>
      </c>
      <c r="G23" s="11">
        <f>IF(Ce_Calculations!R29&gt;SUM($E$30:$G$30),F23/E23,"LLD")</f>
        <v>3.9806745715438366E-2</v>
      </c>
      <c r="H23" s="29"/>
      <c r="I23">
        <f t="shared" si="0"/>
        <v>0.11325529936869226</v>
      </c>
      <c r="J23">
        <f t="shared" si="1"/>
        <v>0.18970898096426486</v>
      </c>
      <c r="L23">
        <f t="shared" si="2"/>
        <v>17.574939064965708</v>
      </c>
      <c r="M23">
        <f t="shared" si="3"/>
        <v>0.55042191120353956</v>
      </c>
      <c r="N23" s="11">
        <f t="shared" si="4"/>
        <v>3.1318567260398833E-2</v>
      </c>
    </row>
    <row r="24" spans="1:14" x14ac:dyDescent="0.25">
      <c r="A24" t="str">
        <f>Ce_Calculations!B30</f>
        <v>47G</v>
      </c>
      <c r="B24" s="41">
        <f>IF(Ce_Calculations!O30&gt;SUM($B$30:$D$30),(Ce_Calculations!O30-SUM($B$30:$D$30))*Ce_Calculations!A32,"LLD")</f>
        <v>6.7946316585945687E-2</v>
      </c>
      <c r="C24">
        <f>IF(Ce_Calculations!O30&gt;SUM($B$30:$D$30),((Ce_Calculations!P30^2+$B$31^2+$C$31^2+$D$31^2)^0.5)*Ce_Calculations!A32,"LLD")</f>
        <v>0.22409644859839631</v>
      </c>
      <c r="D24" s="11">
        <f>IF(Ce_Calculations!O30&gt;SUM($B$30:$D$30),C24/B24,"LLD")</f>
        <v>3.2981397647205117</v>
      </c>
      <c r="E24" s="12">
        <f>IF(Ce_Calculations!R30&gt;SUM($E$30:$G$30),(Ce_Calculations!R30-SUM($E$30:$G$30))*Ce_Calculations!A32,"LLD")</f>
        <v>1.7213483574628794</v>
      </c>
      <c r="F24">
        <f>IF(Ce_Calculations!R30&gt;SUM($E$30:$G$30),((Ce_Calculations!S30^2+$E$31^2+$F$31^2+$G$31^2)^0.5)*Ce_Calculations!A32,"LLD")</f>
        <v>0.1212378204972919</v>
      </c>
      <c r="G24" s="11">
        <f>IF(Ce_Calculations!R30&gt;SUM($E$30:$G$30),F24/E24,"LLD")</f>
        <v>7.0431891355208373E-2</v>
      </c>
      <c r="H24" s="29"/>
      <c r="I24">
        <f t="shared" si="0"/>
        <v>5.0219218274413675E-2</v>
      </c>
      <c r="J24">
        <f t="shared" si="1"/>
        <v>1.4698609118933571E-2</v>
      </c>
      <c r="L24">
        <f t="shared" si="2"/>
        <v>1.7892946740488251</v>
      </c>
      <c r="M24">
        <f t="shared" si="3"/>
        <v>0.25478977097471406</v>
      </c>
      <c r="N24" s="11">
        <f t="shared" si="4"/>
        <v>0.14239676374723367</v>
      </c>
    </row>
    <row r="25" spans="1:14" x14ac:dyDescent="0.25">
      <c r="A25" t="str">
        <f>Ce_Calculations!B31</f>
        <v>48G</v>
      </c>
      <c r="B25" s="41" t="str">
        <f>IF(Ce_Calculations!O31&gt;SUM($B$30:$D$30),(Ce_Calculations!O31-SUM($B$30:$D$30))*Ce_Calculations!A33,"LLD")</f>
        <v>LLD</v>
      </c>
      <c r="C25" t="str">
        <f>IF(Ce_Calculations!O31&gt;SUM($B$30:$D$30),((Ce_Calculations!P31^2+$B$31^2+$C$31^2+$D$31^2)^0.5)*Ce_Calculations!A33,"LLD")</f>
        <v>LLD</v>
      </c>
      <c r="D25" s="11" t="str">
        <f>IF(Ce_Calculations!O31&gt;SUM($B$30:$D$30),C25/B25,"LLD")</f>
        <v>LLD</v>
      </c>
      <c r="E25" s="12">
        <f>IF(Ce_Calculations!R31&gt;SUM($E$30:$G$30),(Ce_Calculations!R31-SUM($E$30:$G$30))*Ce_Calculations!A33,"LLD")</f>
        <v>0.44307264037838434</v>
      </c>
      <c r="F25">
        <f>IF(Ce_Calculations!R31&gt;SUM($E$30:$G$30),((Ce_Calculations!S31^2+$E$31^2+$F$31^2+$G$31^2)^0.5)*Ce_Calculations!A33,"LLD")</f>
        <v>0.11996402360993183</v>
      </c>
      <c r="G25" s="11">
        <f>IF(Ce_Calculations!R31&gt;SUM($E$30:$G$30),F25/E25,"LLD")</f>
        <v>0.27075475368436758</v>
      </c>
      <c r="H25" s="29"/>
      <c r="I25" t="str">
        <f t="shared" si="0"/>
        <v>LLD</v>
      </c>
      <c r="J25">
        <f t="shared" si="1"/>
        <v>1.4391366960684281E-2</v>
      </c>
      <c r="L25">
        <f t="shared" si="2"/>
        <v>0.44307264037838434</v>
      </c>
      <c r="M25">
        <f t="shared" si="3"/>
        <v>0.11996402360993183</v>
      </c>
      <c r="N25" s="11">
        <f t="shared" si="4"/>
        <v>0.27075475368436758</v>
      </c>
    </row>
    <row r="26" spans="1:14" x14ac:dyDescent="0.25">
      <c r="A26" t="str">
        <f>Ce_Calculations!B32</f>
        <v>49G</v>
      </c>
      <c r="B26" s="41" t="str">
        <f>IF(Ce_Calculations!O32&gt;SUM($B$30:$D$30),(Ce_Calculations!O32-SUM($B$30:$D$30))*Ce_Calculations!A34,"LLD")</f>
        <v>LLD</v>
      </c>
      <c r="C26" t="str">
        <f>IF(Ce_Calculations!O32&gt;SUM($B$30:$D$30),((Ce_Calculations!P32^2+$B$31^2+$C$31^2+$D$31^2)^0.5)*Ce_Calculations!A34,"LLD")</f>
        <v>LLD</v>
      </c>
      <c r="D26" s="11" t="str">
        <f>IF(Ce_Calculations!O32&gt;SUM($B$30:$D$30),C26/B26,"LLD")</f>
        <v>LLD</v>
      </c>
      <c r="E26" s="12">
        <f>IF(Ce_Calculations!R32&gt;SUM($E$30:$G$30),(Ce_Calculations!R32-SUM($E$30:$G$30))*Ce_Calculations!A34,"LLD")</f>
        <v>0.13257473406080988</v>
      </c>
      <c r="F26">
        <f>IF(Ce_Calculations!R32&gt;SUM($E$30:$G$30),((Ce_Calculations!S32^2+$E$31^2+$F$31^2+$G$31^2)^0.5)*Ce_Calculations!A34,"LLD")</f>
        <v>0.12546557051872895</v>
      </c>
      <c r="G26" s="11">
        <f>IF(Ce_Calculations!R32&gt;SUM($E$30:$G$30),F26/E26,"LLD")</f>
        <v>0.94637618100881815</v>
      </c>
      <c r="H26" s="29"/>
      <c r="I26" t="str">
        <f t="shared" si="0"/>
        <v>LLD</v>
      </c>
      <c r="J26">
        <f t="shared" si="1"/>
        <v>1.5741609385590147E-2</v>
      </c>
      <c r="L26">
        <f t="shared" si="2"/>
        <v>0.13257473406080988</v>
      </c>
      <c r="M26">
        <f t="shared" si="3"/>
        <v>0.12546557051872895</v>
      </c>
      <c r="N26" s="11">
        <f t="shared" si="4"/>
        <v>0.94637618100881815</v>
      </c>
    </row>
    <row r="27" spans="1:14" x14ac:dyDescent="0.25">
      <c r="A27" t="str">
        <f>Ce_Calculations!B33</f>
        <v>50G</v>
      </c>
      <c r="B27" s="41">
        <f>IF(Ce_Calculations!O33&gt;SUM($B$30:$D$30),(Ce_Calculations!O33-SUM($B$30:$D$30))*Ce_Calculations!A35,"LLD")</f>
        <v>6.7098463154118437E-2</v>
      </c>
      <c r="C27">
        <f>IF(Ce_Calculations!O33&gt;SUM($B$30:$D$30),((Ce_Calculations!P33^2+$B$31^2+$C$31^2+$D$31^2)^0.5)*Ce_Calculations!A35,"LLD")</f>
        <v>0.22552632835111536</v>
      </c>
      <c r="D27" s="11">
        <f>IF(Ce_Calculations!O33&gt;SUM($B$30:$D$30),C27/B27,"LLD")</f>
        <v>3.361125095117365</v>
      </c>
      <c r="E27" s="12">
        <f>IF(Ce_Calculations!R33&gt;SUM($E$30:$G$30),(Ce_Calculations!R33-SUM($E$30:$G$30))*Ce_Calculations!A35,"LLD")</f>
        <v>8.1293101638773194E-2</v>
      </c>
      <c r="F27">
        <f>IF(Ce_Calculations!R33&gt;SUM($E$30:$G$30),((Ce_Calculations!S33^2+$E$31^2+$F$31^2+$G$31^2)^0.5)*Ce_Calculations!A35,"LLD")</f>
        <v>0.11939978464594173</v>
      </c>
      <c r="G27" s="11">
        <f>IF(Ce_Calculations!R33&gt;SUM($E$30:$G$30),F27/E27,"LLD")</f>
        <v>1.4687566624840569</v>
      </c>
      <c r="H27" s="29"/>
      <c r="I27">
        <f t="shared" si="0"/>
        <v>5.0862124779535098E-2</v>
      </c>
      <c r="J27">
        <f t="shared" si="1"/>
        <v>1.4256308573497261E-2</v>
      </c>
      <c r="L27">
        <f t="shared" si="2"/>
        <v>0.14839156479289162</v>
      </c>
      <c r="M27">
        <f t="shared" si="3"/>
        <v>0.25518313689002325</v>
      </c>
      <c r="N27" s="11">
        <f t="shared" si="4"/>
        <v>1.7196606643118793</v>
      </c>
    </row>
    <row r="28" spans="1:14" x14ac:dyDescent="0.25">
      <c r="A28" t="str">
        <f>Ce_Calculations!B34</f>
        <v>51G</v>
      </c>
      <c r="B28" s="41" t="e">
        <f>IF(Ce_Calculations!O34&gt;SUM($B$30:$D$30),(Ce_Calculations!O34-SUM($B$30:$D$30))*Ce_Calculations!#REF!,"LLD")</f>
        <v>#REF!</v>
      </c>
      <c r="C28" t="e">
        <f>IF(Ce_Calculations!O34&gt;SUM($B$30:$D$30),((Ce_Calculations!P34^2+$B$31^2+$C$31^2+$D$31^2)^0.5)*Ce_Calculations!#REF!,"LLD")</f>
        <v>#REF!</v>
      </c>
      <c r="D28" s="11" t="e">
        <f>IF(Ce_Calculations!O34&gt;SUM($B$30:$D$30),C28/B28,"LLD")</f>
        <v>#REF!</v>
      </c>
      <c r="E28" s="12" t="e">
        <f>IF(Ce_Calculations!R34&gt;SUM($E$30:$G$30),(Ce_Calculations!R34-SUM($E$30:$G$30))*Ce_Calculations!#REF!,"LLD")</f>
        <v>#REF!</v>
      </c>
      <c r="F28" t="e">
        <f>IF(Ce_Calculations!R34&gt;SUM($E$30:$G$30),((Ce_Calculations!S34^2+$E$31^2+$F$31^2+$G$31^2)^0.5)*Ce_Calculations!#REF!,"LLD")</f>
        <v>#REF!</v>
      </c>
      <c r="G28" s="11" t="e">
        <f>IF(Ce_Calculations!R34&gt;SUM($E$30:$G$30),F28/E28,"LLD")</f>
        <v>#REF!</v>
      </c>
      <c r="H28" s="29"/>
      <c r="I28" t="e">
        <f t="shared" si="0"/>
        <v>#REF!</v>
      </c>
      <c r="J28" t="e">
        <f t="shared" si="1"/>
        <v>#REF!</v>
      </c>
      <c r="L28" t="e">
        <f t="shared" si="2"/>
        <v>#REF!</v>
      </c>
      <c r="M28" t="e">
        <f t="shared" si="3"/>
        <v>#REF!</v>
      </c>
      <c r="N28" s="11" t="e">
        <f t="shared" si="4"/>
        <v>#REF!</v>
      </c>
    </row>
    <row r="29" spans="1:14" ht="15.75" thickBot="1" x14ac:dyDescent="0.3">
      <c r="A29" t="str">
        <f>Ce_Calculations!B35</f>
        <v>52G</v>
      </c>
      <c r="B29" s="41" t="e">
        <f>IF(Ce_Calculations!O35&gt;SUM($B$30:$D$30),(Ce_Calculations!O35-SUM($B$30:$D$30))*Ce_Calculations!#REF!,"LLD")</f>
        <v>#REF!</v>
      </c>
      <c r="C29" t="e">
        <f>IF(Ce_Calculations!O35&gt;SUM($B$30:$D$30),((Ce_Calculations!P35^2+$B$31^2+$C$31^2+$D$31^2)^0.5)*Ce_Calculations!#REF!,"LLD")</f>
        <v>#REF!</v>
      </c>
      <c r="D29" s="11" t="e">
        <f>IF(Ce_Calculations!O35&gt;SUM($B$30:$D$30),C29/B29,"LLD")</f>
        <v>#REF!</v>
      </c>
      <c r="E29" s="12" t="e">
        <f>IF(Ce_Calculations!R35&gt;SUM($E$30:$G$30),(Ce_Calculations!R35-SUM($E$30:$G$30))*Ce_Calculations!#REF!,"LLD")</f>
        <v>#REF!</v>
      </c>
      <c r="F29" t="e">
        <f>IF(Ce_Calculations!R35&gt;SUM($E$30:$G$30),((Ce_Calculations!S35^2+$E$31^2+$F$31^2+$G$31^2)^0.5)*Ce_Calculations!#REF!,"LLD")</f>
        <v>#REF!</v>
      </c>
      <c r="G29" s="11" t="e">
        <f>IF(Ce_Calculations!R35&gt;SUM($E$30:$G$30),F29/E29,"LLD")</f>
        <v>#REF!</v>
      </c>
      <c r="H29" s="29"/>
      <c r="I29" t="e">
        <f t="shared" si="0"/>
        <v>#REF!</v>
      </c>
      <c r="J29" t="e">
        <f t="shared" si="1"/>
        <v>#REF!</v>
      </c>
      <c r="L29" t="e">
        <f t="shared" si="2"/>
        <v>#REF!</v>
      </c>
      <c r="M29" t="e">
        <f t="shared" si="3"/>
        <v>#REF!</v>
      </c>
      <c r="N29" s="11" t="e">
        <f t="shared" si="4"/>
        <v>#REF!</v>
      </c>
    </row>
    <row r="30" spans="1:14" ht="31.5" thickTop="1" thickBot="1" x14ac:dyDescent="0.3">
      <c r="A30" s="55" t="s">
        <v>72</v>
      </c>
      <c r="B30" s="61">
        <f>B36/PPB_Ce_to_Stock!$B$26</f>
        <v>7.7833333333333338E-2</v>
      </c>
      <c r="C30" s="61">
        <f>C36/PPB_Ce_to_Stock!$B$26</f>
        <v>0</v>
      </c>
      <c r="D30" s="61">
        <f>D36/PPB_Ce_to_Stock!$B$26</f>
        <v>0</v>
      </c>
      <c r="E30" s="61">
        <f>E36/PPB_Ce_to_Stock!$B$26</f>
        <v>0.01</v>
      </c>
      <c r="F30" s="61">
        <f>F36/PPB_Ce_to_Stock!$B$26</f>
        <v>0.10085</v>
      </c>
      <c r="G30" s="61">
        <f>G36/PPB_Ce_to_Stock!$B$26</f>
        <v>0</v>
      </c>
      <c r="H30" s="54"/>
      <c r="N30" s="11"/>
    </row>
    <row r="31" spans="1:14" ht="16.5" thickTop="1" thickBot="1" x14ac:dyDescent="0.3">
      <c r="A31" s="59" t="s">
        <v>71</v>
      </c>
      <c r="B31" s="61">
        <f>B37/PPB_Ce_to_Stock!$B$26</f>
        <v>0.24299999999999999</v>
      </c>
      <c r="C31" s="61">
        <f>C37/PPB_Ce_to_Stock!$B$26</f>
        <v>0</v>
      </c>
      <c r="D31" s="61">
        <f>D37/PPB_Ce_to_Stock!$B$26</f>
        <v>0</v>
      </c>
      <c r="E31" s="61">
        <f>E37/PPB_Ce_to_Stock!$B$26</f>
        <v>3.1E-2</v>
      </c>
      <c r="F31" s="61">
        <f>F37/PPB_Ce_to_Stock!$B$26</f>
        <v>0.12483333333333334</v>
      </c>
      <c r="G31" s="61">
        <f>G37/PPB_Ce_to_Stock!$B$26</f>
        <v>0</v>
      </c>
    </row>
    <row r="32" spans="1:14" ht="15.75" thickTop="1" x14ac:dyDescent="0.25">
      <c r="B32" t="s">
        <v>54</v>
      </c>
      <c r="N32" s="28"/>
    </row>
    <row r="33" spans="2:14" x14ac:dyDescent="0.25">
      <c r="B33" t="s">
        <v>55</v>
      </c>
      <c r="N33" s="28"/>
    </row>
    <row r="35" spans="2:14" ht="15.75" thickBot="1" x14ac:dyDescent="0.3">
      <c r="L35" t="s">
        <v>41</v>
      </c>
    </row>
    <row r="36" spans="2:14" ht="15.75" thickTop="1" x14ac:dyDescent="0.25">
      <c r="B36" s="61">
        <v>0.46700000000000003</v>
      </c>
      <c r="C36" s="56"/>
      <c r="D36" s="57"/>
      <c r="E36" s="61">
        <v>0.06</v>
      </c>
      <c r="F36" s="56">
        <v>0.60509999999999997</v>
      </c>
      <c r="G36" s="58"/>
      <c r="L36" t="s">
        <v>42</v>
      </c>
    </row>
    <row r="37" spans="2:14" ht="15.75" thickBot="1" x14ac:dyDescent="0.3">
      <c r="B37" s="59">
        <v>1.458</v>
      </c>
      <c r="C37" s="52"/>
      <c r="D37" s="52"/>
      <c r="E37" s="59">
        <v>0.186</v>
      </c>
      <c r="F37" s="52">
        <v>0.749</v>
      </c>
      <c r="G37" s="60"/>
      <c r="L37" t="s">
        <v>44</v>
      </c>
    </row>
    <row r="38" spans="2:1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selection activeCell="B8" sqref="B8"/>
    </sheetView>
  </sheetViews>
  <sheetFormatPr defaultRowHeight="15" x14ac:dyDescent="0.25"/>
  <cols>
    <col min="1" max="1" width="17" bestFit="1" customWidth="1"/>
    <col min="9" max="9" width="12.42578125" bestFit="1" customWidth="1"/>
  </cols>
  <sheetData>
    <row r="1" spans="1:17" x14ac:dyDescent="0.25">
      <c r="I1" t="s">
        <v>77</v>
      </c>
    </row>
    <row r="2" spans="1:17" x14ac:dyDescent="0.25">
      <c r="A2" t="s">
        <v>0</v>
      </c>
      <c r="B2" t="s">
        <v>76</v>
      </c>
      <c r="C2" t="s">
        <v>33</v>
      </c>
      <c r="D2" t="s">
        <v>36</v>
      </c>
      <c r="E2" t="s">
        <v>75</v>
      </c>
      <c r="F2" t="s">
        <v>33</v>
      </c>
      <c r="G2" t="s">
        <v>36</v>
      </c>
      <c r="I2" t="str">
        <f>PPB_Ce_Aliquot_Sent!B1</f>
        <v>Ce140</v>
      </c>
      <c r="J2" t="str">
        <f>PPB_Ce_Aliquot_Sent!C1</f>
        <v>±</v>
      </c>
      <c r="K2" t="str">
        <f>PPB_Ce_Aliquot_Sent!D1</f>
        <v>%</v>
      </c>
      <c r="L2" t="str">
        <f>PPB_Ce_Aliquot_Sent!E1</f>
        <v>Ce 142</v>
      </c>
      <c r="M2" t="str">
        <f>PPB_Ce_Aliquot_Sent!F1</f>
        <v>±</v>
      </c>
      <c r="N2" t="str">
        <f>PPB_Ce_Aliquot_Sent!G1</f>
        <v>%</v>
      </c>
      <c r="O2" t="str">
        <f>PPB_Ce_Aliquot_Sent!L1</f>
        <v>Sum Ce</v>
      </c>
      <c r="P2" t="str">
        <f>PPB_Ce_Aliquot_Sent!M1</f>
        <v>±</v>
      </c>
      <c r="Q2" t="str">
        <f>PPB_Ce_Aliquot_Sent!N1</f>
        <v>%</v>
      </c>
    </row>
    <row r="3" spans="1:17" x14ac:dyDescent="0.25">
      <c r="A3" t="s">
        <v>4</v>
      </c>
      <c r="B3">
        <v>43.00274451269938</v>
      </c>
      <c r="C3">
        <v>0.47845126843353314</v>
      </c>
      <c r="D3">
        <v>1.1126063553739901E-2</v>
      </c>
      <c r="E3">
        <v>390.06079101119832</v>
      </c>
      <c r="F3">
        <v>8.8232252616455895</v>
      </c>
      <c r="G3">
        <v>2.2620128618342165E-2</v>
      </c>
      <c r="I3">
        <f>IF(PPB_Ce_Aliquot_Sent!B2="LLD","LLD",PPB_Ce_Aliquot_Sent!B2/B3)</f>
        <v>0.58532158055088013</v>
      </c>
      <c r="J3">
        <f>IF(I3="LLD","LLD",((PPB_Ce_Aliquot_Sent!C2/B3)^2+((I3*C3)^2)/(B3^2))^0.5)</f>
        <v>1.3044157407969544E-2</v>
      </c>
      <c r="K3" s="11">
        <f>IF(I3="LLD","LLD",J3/I3)</f>
        <v>2.2285454426083061E-2</v>
      </c>
      <c r="L3">
        <f>IF(PPB_Ce_Aliquot_Sent!E2="LLD","LLD",PPB_Ce_Aliquot_Sent!E2/B3)</f>
        <v>0.4385373167203831</v>
      </c>
      <c r="M3">
        <f>IF(L3="LLD","LLD",((PPB_Ce_Aliquot_Sent!F2/B3)^2+((L3*C3)^2)/(B3^2))^0.5)</f>
        <v>1.0246578698590381E-2</v>
      </c>
      <c r="N3" s="11">
        <f>IF(L3="LLD","LLD",M3/L3)</f>
        <v>2.3365351836463506E-2</v>
      </c>
      <c r="O3">
        <f>IF(PPB_Ce_Aliquot_Sent!L2="LLD","LLD",PPB_Ce_Aliquot_Sent!L2/B3)</f>
        <v>1.0238588972712632</v>
      </c>
      <c r="P3">
        <f>IF(O3="LLD","LLD",((PPB_Ce_Aliquot_Sent!M2/B3)^2+((O3*C3)^2)/(B3^2))^0.5)</f>
        <v>1.8403592404720632E-2</v>
      </c>
      <c r="Q3" s="11">
        <f>IF(O3="LLD","LLD",P3/O3)</f>
        <v>1.7974735047738465E-2</v>
      </c>
    </row>
    <row r="4" spans="1:17" x14ac:dyDescent="0.25">
      <c r="A4" t="s">
        <v>5</v>
      </c>
      <c r="B4">
        <v>419.71105424542981</v>
      </c>
      <c r="C4">
        <v>2.3546391093527403</v>
      </c>
      <c r="D4">
        <v>5.6101431819230666E-3</v>
      </c>
      <c r="E4">
        <v>1601.2955232210968</v>
      </c>
      <c r="F4">
        <v>28.460368979296774</v>
      </c>
      <c r="G4">
        <v>1.7773339503283647E-2</v>
      </c>
      <c r="I4">
        <f>IF(PPB_Ce_Aliquot_Sent!B3="LLD","LLD",PPB_Ce_Aliquot_Sent!B3/B4)</f>
        <v>4.6004238128694152E-3</v>
      </c>
      <c r="J4">
        <f>IF(I4="LLD","LLD",((PPB_Ce_Aliquot_Sent!C3/B4)^2+((I4*C4)^2)/(B4^2))^0.5)</f>
        <v>4.425538185453213E-4</v>
      </c>
      <c r="K4" s="11">
        <f t="shared" ref="K4:K30" si="0">IF(I4="LLD","LLD",J4/I4)</f>
        <v>9.6198488779947411E-2</v>
      </c>
      <c r="L4">
        <f>IF(PPB_Ce_Aliquot_Sent!E3="LLD","LLD",PPB_Ce_Aliquot_Sent!E3/B4)</f>
        <v>1.424076467744195E-3</v>
      </c>
      <c r="M4">
        <f>IF(L4="LLD","LLD",((PPB_Ce_Aliquot_Sent!F3/B4)^2+((L4*C4)^2)/(B4^2))^0.5)</f>
        <v>2.3301649473207874E-4</v>
      </c>
      <c r="N4" s="11">
        <f t="shared" ref="N4:N30" si="1">IF(L4="LLD","LLD",M4/L4)</f>
        <v>0.16362639226894043</v>
      </c>
      <c r="O4">
        <f>IF(PPB_Ce_Aliquot_Sent!L3="LLD","LLD",PPB_Ce_Aliquot_Sent!L3/B4)</f>
        <v>6.0245002806136108E-3</v>
      </c>
      <c r="P4">
        <f>IF(O4="LLD","LLD",((PPB_Ce_Aliquot_Sent!M3/B4)^2+((O4*C4)^2)/(B4^2))^0.5)</f>
        <v>5.0056264342630222E-4</v>
      </c>
      <c r="Q4" s="11">
        <f t="shared" ref="Q4:Q30" si="2">IF(O4="LLD","LLD",P4/O4)</f>
        <v>8.3087828053901039E-2</v>
      </c>
    </row>
    <row r="5" spans="1:17" x14ac:dyDescent="0.25">
      <c r="A5" t="s">
        <v>6</v>
      </c>
      <c r="B5">
        <v>25.642232508482515</v>
      </c>
      <c r="C5">
        <v>0.12298225008108585</v>
      </c>
      <c r="D5">
        <v>4.7960820119856183E-3</v>
      </c>
      <c r="E5">
        <v>6.5000374894237591</v>
      </c>
      <c r="F5">
        <v>0.11444890005446411</v>
      </c>
      <c r="G5">
        <v>1.7607421532673379E-2</v>
      </c>
      <c r="I5">
        <f>IF(PPB_Ce_Aliquot_Sent!B4="LLD","LLD",PPB_Ce_Aliquot_Sent!B4/B5)</f>
        <v>5.2387264589023819E-2</v>
      </c>
      <c r="J5">
        <f>IF(I5="LLD","LLD",((PPB_Ce_Aliquot_Sent!C4/B5)^2+((I5*C5)^2)/(B5^2))^0.5)</f>
        <v>8.7761933648132628E-3</v>
      </c>
      <c r="K5" s="11">
        <f t="shared" si="0"/>
        <v>0.16752532192055034</v>
      </c>
      <c r="L5">
        <f>IF(PPB_Ce_Aliquot_Sent!E4="LLD","LLD",PPB_Ce_Aliquot_Sent!E4/B5)</f>
        <v>9.7415550401943485E-3</v>
      </c>
      <c r="M5">
        <f>IF(L5="LLD","LLD",((PPB_Ce_Aliquot_Sent!F4/B5)^2+((L5*C5)^2)/(B5^2))^0.5)</f>
        <v>4.6338129509386362E-3</v>
      </c>
      <c r="N5" s="11">
        <f t="shared" si="1"/>
        <v>0.47567487242223594</v>
      </c>
      <c r="O5">
        <f>IF(PPB_Ce_Aliquot_Sent!L4="LLD","LLD",PPB_Ce_Aliquot_Sent!L4/B5)</f>
        <v>6.2128819629218165E-2</v>
      </c>
      <c r="P5">
        <f>IF(O5="LLD","LLD",((PPB_Ce_Aliquot_Sent!M4/B5)^2+((O5*C5)^2)/(B5^2))^0.5)</f>
        <v>9.9255866441528041E-3</v>
      </c>
      <c r="Q5" s="11">
        <f t="shared" si="2"/>
        <v>0.15975817186594293</v>
      </c>
    </row>
    <row r="6" spans="1:17" x14ac:dyDescent="0.25">
      <c r="A6" t="s">
        <v>7</v>
      </c>
      <c r="B6">
        <v>2.6334374773772407</v>
      </c>
      <c r="C6">
        <v>1.5821753507140456E-2</v>
      </c>
      <c r="D6">
        <v>6.0080232179645495E-3</v>
      </c>
      <c r="E6">
        <v>6.7748991823491895</v>
      </c>
      <c r="F6">
        <v>0.12169366408511646</v>
      </c>
      <c r="G6">
        <v>1.7962431736573727E-2</v>
      </c>
      <c r="I6">
        <f>IF(PPB_Ce_Aliquot_Sent!B5="LLD","LLD",PPB_Ce_Aliquot_Sent!B5/B6)</f>
        <v>0.45016485320563321</v>
      </c>
      <c r="J6">
        <f>IF(I6="LLD","LLD",((PPB_Ce_Aliquot_Sent!C5/B6)^2+((I6*C6)^2)/(B6^2))^0.5)</f>
        <v>6.6519530435366611E-2</v>
      </c>
      <c r="K6" s="11">
        <f t="shared" si="0"/>
        <v>0.14776704569821403</v>
      </c>
      <c r="L6">
        <f>IF(PPB_Ce_Aliquot_Sent!E5="LLD","LLD",PPB_Ce_Aliquot_Sent!E5/B6)</f>
        <v>6.855545467896644E-2</v>
      </c>
      <c r="M6">
        <f>IF(L6="LLD","LLD",((PPB_Ce_Aliquot_Sent!F5/B6)^2+((L6*C6)^2)/(B6^2))^0.5)</f>
        <v>3.5061983263123819E-2</v>
      </c>
      <c r="N6" s="11">
        <f t="shared" si="1"/>
        <v>0.51143973046802971</v>
      </c>
      <c r="O6">
        <f>IF(PPB_Ce_Aliquot_Sent!L5="LLD","LLD",PPB_Ce_Aliquot_Sent!L5/B6)</f>
        <v>0.51872030788459966</v>
      </c>
      <c r="P6">
        <f>IF(O6="LLD","LLD",((PPB_Ce_Aliquot_Sent!M5/B6)^2+((O6*C6)^2)/(B6^2))^0.5)</f>
        <v>7.5209165376716611E-2</v>
      </c>
      <c r="Q6" s="11">
        <f t="shared" si="2"/>
        <v>0.14498982251808903</v>
      </c>
    </row>
    <row r="7" spans="1:17" x14ac:dyDescent="0.25">
      <c r="A7" t="s">
        <v>8</v>
      </c>
      <c r="B7">
        <v>282.7886445686122</v>
      </c>
      <c r="C7">
        <v>1.882322870934964</v>
      </c>
      <c r="D7">
        <v>6.6562887410362807E-3</v>
      </c>
      <c r="E7">
        <v>7255.4949968855699</v>
      </c>
      <c r="F7">
        <v>133.26959217208648</v>
      </c>
      <c r="G7">
        <v>1.8368090975087518E-2</v>
      </c>
      <c r="I7">
        <f>IF(PPB_Ce_Aliquot_Sent!B6="LLD","LLD",PPB_Ce_Aliquot_Sent!B6/B7)</f>
        <v>0.12582328404957771</v>
      </c>
      <c r="J7">
        <f>IF(I7="LLD","LLD",((PPB_Ce_Aliquot_Sent!C6/B7)^2+((I7*C7)^2)/(B7^2))^0.5)</f>
        <v>1.9698274546961422E-3</v>
      </c>
      <c r="K7" s="11">
        <f t="shared" si="0"/>
        <v>1.5655508196082198E-2</v>
      </c>
      <c r="L7">
        <f>IF(PPB_Ce_Aliquot_Sent!E6="LLD","LLD",PPB_Ce_Aliquot_Sent!E6/B7)</f>
        <v>0.10916494214157464</v>
      </c>
      <c r="M7">
        <f>IF(L7="LLD","LLD",((PPB_Ce_Aliquot_Sent!F6/B7)^2+((L7*C7)^2)/(B7^2))^0.5)</f>
        <v>1.8571827494957564E-3</v>
      </c>
      <c r="N7" s="11">
        <f t="shared" si="1"/>
        <v>1.7012629815597754E-2</v>
      </c>
      <c r="O7">
        <f>IF(PPB_Ce_Aliquot_Sent!L6="LLD","LLD",PPB_Ce_Aliquot_Sent!L6/B7)</f>
        <v>0.23498822619115234</v>
      </c>
      <c r="P7">
        <f>IF(O7="LLD","LLD",((PPB_Ce_Aliquot_Sent!M6/B7)^2+((O7*C7)^2)/(B7^2))^0.5)</f>
        <v>2.9234367242269798E-3</v>
      </c>
      <c r="Q7" s="11">
        <f t="shared" si="2"/>
        <v>1.2440779572713126E-2</v>
      </c>
    </row>
    <row r="8" spans="1:17" x14ac:dyDescent="0.25">
      <c r="A8" t="s">
        <v>9</v>
      </c>
      <c r="B8">
        <v>4857.9273024863887</v>
      </c>
      <c r="C8">
        <v>25.055132434612087</v>
      </c>
      <c r="D8">
        <v>5.1575766524518283E-3</v>
      </c>
      <c r="E8">
        <v>279426.89383357583</v>
      </c>
      <c r="F8">
        <v>4919.8526449123437</v>
      </c>
      <c r="G8">
        <v>1.7606940324944399E-2</v>
      </c>
      <c r="I8">
        <f>IF(PPB_Ce_Aliquot_Sent!B7="LLD","LLD",PPB_Ce_Aliquot_Sent!B7/B8)</f>
        <v>8.839195112844889E-3</v>
      </c>
      <c r="J8">
        <f>IF(I8="LLD","LLD",((PPB_Ce_Aliquot_Sent!C7/B8)^2+((I8*C8)^2)/(B8^2))^0.5)</f>
        <v>1.2650116664576132E-4</v>
      </c>
      <c r="K8" s="11">
        <f t="shared" si="0"/>
        <v>1.4311389785019351E-2</v>
      </c>
      <c r="L8">
        <f>IF(PPB_Ce_Aliquot_Sent!E7="LLD","LLD",PPB_Ce_Aliquot_Sent!E7/B8)</f>
        <v>6.3819290205762826E-3</v>
      </c>
      <c r="M8">
        <f>IF(L8="LLD","LLD",((PPB_Ce_Aliquot_Sent!F7/B8)^2+((L8*C8)^2)/(B8^2))^0.5)</f>
        <v>1.0089720923165074E-4</v>
      </c>
      <c r="N8" s="11">
        <f t="shared" si="1"/>
        <v>1.5809829427175268E-2</v>
      </c>
      <c r="O8">
        <f>IF(PPB_Ce_Aliquot_Sent!L7="LLD","LLD",PPB_Ce_Aliquot_Sent!L7/B8)</f>
        <v>1.5221124133421172E-2</v>
      </c>
      <c r="P8">
        <f>IF(O8="LLD","LLD",((PPB_Ce_Aliquot_Sent!M7/B8)^2+((O8*C8)^2)/(B8^2))^0.5)</f>
        <v>1.7083304920605279E-4</v>
      </c>
      <c r="Q8" s="11">
        <f t="shared" si="2"/>
        <v>1.1223418698159945E-2</v>
      </c>
    </row>
    <row r="9" spans="1:17" x14ac:dyDescent="0.25">
      <c r="A9" t="s">
        <v>19</v>
      </c>
      <c r="B9">
        <v>287.90966188671757</v>
      </c>
      <c r="C9">
        <v>1.0747816570134887</v>
      </c>
      <c r="D9">
        <v>3.7330517147992686E-3</v>
      </c>
      <c r="E9">
        <v>6494.4129887242916</v>
      </c>
      <c r="F9">
        <v>111.41105190671118</v>
      </c>
      <c r="G9">
        <v>1.7154907164072399E-2</v>
      </c>
      <c r="I9">
        <f>IF(PPB_Ce_Aliquot_Sent!B8="LLD","LLD",PPB_Ce_Aliquot_Sent!B8/B9)</f>
        <v>4.1501356704033545E-3</v>
      </c>
      <c r="J9">
        <f>IF(I9="LLD","LLD",((PPB_Ce_Aliquot_Sent!C8/B9)^2+((I9*C9)^2)/(B9^2))^0.5)</f>
        <v>7.0246398369618371E-4</v>
      </c>
      <c r="K9" s="11">
        <f t="shared" si="0"/>
        <v>0.16926289632066674</v>
      </c>
      <c r="L9">
        <f>IF(PPB_Ce_Aliquot_Sent!E8="LLD","LLD",PPB_Ce_Aliquot_Sent!E8/B9)</f>
        <v>2.3342187722749326E-2</v>
      </c>
      <c r="M9">
        <f>IF(L9="LLD","LLD",((PPB_Ce_Aliquot_Sent!F8/B9)^2+((L9*C9)^2)/(B9^2))^0.5)</f>
        <v>5.0425233548319587E-4</v>
      </c>
      <c r="N9" s="11">
        <f t="shared" si="1"/>
        <v>2.1602616750089405E-2</v>
      </c>
      <c r="O9">
        <f>IF(PPB_Ce_Aliquot_Sent!L8="LLD","LLD",PPB_Ce_Aliquot_Sent!L8/B9)</f>
        <v>2.7492323393152683E-2</v>
      </c>
      <c r="P9">
        <f>IF(O9="LLD","LLD",((PPB_Ce_Aliquot_Sent!M8/B9)^2+((O9*C9)^2)/(B9^2))^0.5)</f>
        <v>8.6627135147880543E-4</v>
      </c>
      <c r="Q9" s="11">
        <f t="shared" si="2"/>
        <v>3.1509572293717508E-2</v>
      </c>
    </row>
    <row r="10" spans="1:17" x14ac:dyDescent="0.25">
      <c r="A10" t="s">
        <v>20</v>
      </c>
      <c r="B10">
        <v>56.301698333769963</v>
      </c>
      <c r="C10">
        <v>0.3953720483715627</v>
      </c>
      <c r="D10">
        <v>7.0223822739360793E-3</v>
      </c>
      <c r="E10">
        <v>160.21331740782909</v>
      </c>
      <c r="F10">
        <v>2.9472892254705148</v>
      </c>
      <c r="G10">
        <v>1.8396031448297635E-2</v>
      </c>
      <c r="I10">
        <f>IF(PPB_Ce_Aliquot_Sent!B9="LLD","LLD",PPB_Ce_Aliquot_Sent!B9/B10)</f>
        <v>2.9685707258772832E-2</v>
      </c>
      <c r="J10">
        <f>IF(I10="LLD","LLD",((PPB_Ce_Aliquot_Sent!C9/B10)^2+((I10*C10)^2)/(B10^2))^0.5)</f>
        <v>3.0653113173746719E-3</v>
      </c>
      <c r="K10" s="11">
        <f t="shared" si="0"/>
        <v>0.10325882724147661</v>
      </c>
      <c r="L10">
        <f>IF(PPB_Ce_Aliquot_Sent!E9="LLD","LLD",PPB_Ce_Aliquot_Sent!E9/B10)</f>
        <v>2.0733533180307028E-2</v>
      </c>
      <c r="M10">
        <f>IF(L10="LLD","LLD",((PPB_Ce_Aliquot_Sent!F9/B10)^2+((L10*C10)^2)/(B10^2))^0.5)</f>
        <v>1.6484204937235083E-3</v>
      </c>
      <c r="N10" s="11">
        <f t="shared" si="1"/>
        <v>7.9505045251486564E-2</v>
      </c>
      <c r="O10">
        <f>IF(PPB_Ce_Aliquot_Sent!L9="LLD","LLD",PPB_Ce_Aliquot_Sent!L9/B10)</f>
        <v>5.041924043907986E-2</v>
      </c>
      <c r="P10">
        <f>IF(O10="LLD","LLD",((PPB_Ce_Aliquot_Sent!M9/B10)^2+((O10*C10)^2)/(B10^2))^0.5)</f>
        <v>3.4891442967110312E-3</v>
      </c>
      <c r="Q10" s="11">
        <f t="shared" si="2"/>
        <v>6.920263507195959E-2</v>
      </c>
    </row>
    <row r="11" spans="1:17" x14ac:dyDescent="0.25">
      <c r="A11" t="s">
        <v>21</v>
      </c>
      <c r="B11">
        <v>221.05185035393566</v>
      </c>
      <c r="C11">
        <v>1.2051999742443347</v>
      </c>
      <c r="D11">
        <v>5.4521143899706652E-3</v>
      </c>
      <c r="E11">
        <v>630.19475627435531</v>
      </c>
      <c r="F11">
        <v>11.165077443603167</v>
      </c>
      <c r="G11">
        <v>1.7716868210090993E-2</v>
      </c>
      <c r="I11">
        <f>IF(PPB_Ce_Aliquot_Sent!B10="LLD","LLD",PPB_Ce_Aliquot_Sent!B10/B11)</f>
        <v>5.7927082820016951E-3</v>
      </c>
      <c r="J11">
        <f>IF(I11="LLD","LLD",((PPB_Ce_Aliquot_Sent!C10/B11)^2+((I11*C11)^2)/(B11^2))^0.5)</f>
        <v>7.7225121157536384E-4</v>
      </c>
      <c r="K11" s="11">
        <f t="shared" si="0"/>
        <v>0.13331436246751738</v>
      </c>
      <c r="L11">
        <f>IF(PPB_Ce_Aliquot_Sent!E10="LLD","LLD",PPB_Ce_Aliquot_Sent!E10/B11)</f>
        <v>5.107782179409953E-3</v>
      </c>
      <c r="M11">
        <f>IF(L11="LLD","LLD",((PPB_Ce_Aliquot_Sent!F10/B11)^2+((L11*C11)^2)/(B11^2))^0.5)</f>
        <v>4.1558885330039041E-4</v>
      </c>
      <c r="N11" s="11">
        <f t="shared" si="1"/>
        <v>8.1363855916894032E-2</v>
      </c>
      <c r="O11">
        <f>IF(PPB_Ce_Aliquot_Sent!L10="LLD","LLD",PPB_Ce_Aliquot_Sent!L10/B11)</f>
        <v>1.0900490461411649E-2</v>
      </c>
      <c r="P11">
        <f>IF(O11="LLD","LLD",((PPB_Ce_Aliquot_Sent!M10/B11)^2+((O11*C11)^2)/(B11^2))^0.5)</f>
        <v>8.7797782522074487E-4</v>
      </c>
      <c r="Q11" s="11">
        <f t="shared" si="2"/>
        <v>8.0544800101319841E-2</v>
      </c>
    </row>
    <row r="12" spans="1:17" x14ac:dyDescent="0.25">
      <c r="A12" t="s">
        <v>22</v>
      </c>
      <c r="B12">
        <v>14.293132809461373</v>
      </c>
      <c r="C12">
        <v>9.1581342525668824E-2</v>
      </c>
      <c r="D12">
        <v>6.4073666526799737E-3</v>
      </c>
      <c r="E12">
        <v>44.827336339497492</v>
      </c>
      <c r="F12">
        <v>0.81220544973078557</v>
      </c>
      <c r="G12">
        <v>1.8118530255279725E-2</v>
      </c>
      <c r="I12">
        <f>IF(PPB_Ce_Aliquot_Sent!B11="LLD","LLD",PPB_Ce_Aliquot_Sent!B11/B12)</f>
        <v>8.9779350166406549E-2</v>
      </c>
      <c r="J12">
        <f>IF(I12="LLD","LLD",((PPB_Ce_Aliquot_Sent!C11/B12)^2+((I12*C12)^2)/(B12^2))^0.5)</f>
        <v>1.1665807281944694E-2</v>
      </c>
      <c r="K12" s="11">
        <f t="shared" si="0"/>
        <v>0.1299386469196096</v>
      </c>
      <c r="L12">
        <f>IF(PPB_Ce_Aliquot_Sent!E11="LLD","LLD",PPB_Ce_Aliquot_Sent!E11/B12)</f>
        <v>9.1474033844257896E-2</v>
      </c>
      <c r="M12">
        <f>IF(L12="LLD","LLD",((PPB_Ce_Aliquot_Sent!F11/B12)^2+((L12*C12)^2)/(B12^2))^0.5)</f>
        <v>6.3418262037580452E-3</v>
      </c>
      <c r="N12" s="11">
        <f t="shared" si="1"/>
        <v>6.9329250468559506E-2</v>
      </c>
      <c r="O12">
        <f>IF(PPB_Ce_Aliquot_Sent!L11="LLD","LLD",PPB_Ce_Aliquot_Sent!L11/B12)</f>
        <v>0.18125338401066443</v>
      </c>
      <c r="P12">
        <f>IF(O12="LLD","LLD",((PPB_Ce_Aliquot_Sent!M11/B12)^2+((O12*C12)^2)/(B12^2))^0.5)</f>
        <v>1.3303538442692015E-2</v>
      </c>
      <c r="Q12" s="11">
        <f t="shared" si="2"/>
        <v>7.3397462427014726E-2</v>
      </c>
    </row>
    <row r="13" spans="1:17" x14ac:dyDescent="0.25">
      <c r="A13" t="s">
        <v>23</v>
      </c>
      <c r="B13">
        <v>5.5452498212334627</v>
      </c>
      <c r="C13">
        <v>3.5466190701659184E-2</v>
      </c>
      <c r="D13">
        <v>6.3957787015933272E-3</v>
      </c>
      <c r="E13">
        <v>17.42700796663943</v>
      </c>
      <c r="F13">
        <v>0.31666806882622933</v>
      </c>
      <c r="G13">
        <v>1.8171109431546019E-2</v>
      </c>
      <c r="I13">
        <f>IF(PPB_Ce_Aliquot_Sent!B12="LLD","LLD",PPB_Ce_Aliquot_Sent!B12/B13)</f>
        <v>0.33601998810371175</v>
      </c>
      <c r="J13">
        <f>IF(I13="LLD","LLD",((PPB_Ce_Aliquot_Sent!C12/B13)^2+((I13*C13)^2)/(B13^2))^0.5)</f>
        <v>4.4147064210737441E-2</v>
      </c>
      <c r="K13" s="11">
        <f t="shared" si="0"/>
        <v>0.1313822563350355</v>
      </c>
      <c r="L13">
        <f>IF(PPB_Ce_Aliquot_Sent!E12="LLD","LLD",PPB_Ce_Aliquot_Sent!E12/B13)</f>
        <v>0.20299254747337928</v>
      </c>
      <c r="M13">
        <f>IF(L13="LLD","LLD",((PPB_Ce_Aliquot_Sent!F12/B13)^2+((L13*C13)^2)/(B13^2))^0.5)</f>
        <v>2.3510574339583284E-2</v>
      </c>
      <c r="N13" s="11">
        <f t="shared" si="1"/>
        <v>0.11581988911522229</v>
      </c>
      <c r="O13">
        <f>IF(PPB_Ce_Aliquot_Sent!L12="LLD","LLD",PPB_Ce_Aliquot_Sent!L12/B13)</f>
        <v>0.53901253557709095</v>
      </c>
      <c r="P13">
        <f>IF(O13="LLD","LLD",((PPB_Ce_Aliquot_Sent!M12/B13)^2+((O13*C13)^2)/(B13^2))^0.5)</f>
        <v>5.0072854344112634E-2</v>
      </c>
      <c r="Q13" s="11">
        <f t="shared" si="2"/>
        <v>9.2897383713910098E-2</v>
      </c>
    </row>
    <row r="14" spans="1:17" x14ac:dyDescent="0.25">
      <c r="A14" t="s">
        <v>24</v>
      </c>
      <c r="B14">
        <v>43.165418970382163</v>
      </c>
      <c r="C14">
        <v>0.17947758024419916</v>
      </c>
      <c r="D14">
        <v>4.1579019623867713E-3</v>
      </c>
      <c r="E14">
        <v>122.40012133788849</v>
      </c>
      <c r="F14">
        <v>2.1149970673086607</v>
      </c>
      <c r="G14">
        <v>1.7279370675378335E-2</v>
      </c>
      <c r="I14">
        <f>IF(PPB_Ce_Aliquot_Sent!B13="LLD","LLD",PPB_Ce_Aliquot_Sent!B13/B14)</f>
        <v>1.2948788231444401E-2</v>
      </c>
      <c r="J14">
        <f>IF(I14="LLD","LLD",((PPB_Ce_Aliquot_Sent!C13/B14)^2+((I14*C14)^2)/(B14^2))^0.5)</f>
        <v>2.5000354009327009E-3</v>
      </c>
      <c r="K14" s="11">
        <f t="shared" si="0"/>
        <v>0.19307099291821755</v>
      </c>
      <c r="L14">
        <f>IF(PPB_Ce_Aliquot_Sent!E13="LLD","LLD",PPB_Ce_Aliquot_Sent!E13/B14)</f>
        <v>1.1007971340563203E-2</v>
      </c>
      <c r="M14">
        <f>IF(L14="LLD","LLD",((PPB_Ce_Aliquot_Sent!F13/B14)^2+((L14*C14)^2)/(B14^2))^0.5)</f>
        <v>1.332557023445774E-3</v>
      </c>
      <c r="N14" s="11">
        <f t="shared" si="1"/>
        <v>0.12105382383540945</v>
      </c>
      <c r="O14">
        <f>IF(PPB_Ce_Aliquot_Sent!L13="LLD","LLD",PPB_Ce_Aliquot_Sent!L13/B14)</f>
        <v>2.3956759572007606E-2</v>
      </c>
      <c r="P14">
        <f>IF(O14="LLD","LLD",((PPB_Ce_Aliquot_Sent!M13/B14)^2+((O14*C14)^2)/(B14^2))^0.5)</f>
        <v>2.8338690386605476E-3</v>
      </c>
      <c r="Q14" s="11">
        <f t="shared" si="2"/>
        <v>0.11829099967141615</v>
      </c>
    </row>
    <row r="15" spans="1:17" x14ac:dyDescent="0.25">
      <c r="A15" t="s">
        <v>25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I15" t="e">
        <f>IF(PPB_Ce_Aliquot_Sent!B14="LLD","LLD",PPB_Ce_Aliquot_Sent!B14/B15)</f>
        <v>#VALUE!</v>
      </c>
      <c r="J15" t="e">
        <f>IF(I15="LLD","LLD",((PPB_Ce_Aliquot_Sent!C14/B15)^2+((I15*C15)^2)/(B15^2))^0.5)</f>
        <v>#VALUE!</v>
      </c>
      <c r="K15" s="11" t="e">
        <f t="shared" si="0"/>
        <v>#VALUE!</v>
      </c>
      <c r="L15" t="e">
        <f>IF(PPB_Ce_Aliquot_Sent!E14="LLD","LLD",PPB_Ce_Aliquot_Sent!E14/B15)</f>
        <v>#VALUE!</v>
      </c>
      <c r="M15" t="e">
        <f>IF(L15="LLD","LLD",((PPB_Ce_Aliquot_Sent!F14/B15)^2+((L15*C15)^2)/(B15^2))^0.5)</f>
        <v>#VALUE!</v>
      </c>
      <c r="N15" s="11" t="e">
        <f t="shared" si="1"/>
        <v>#VALUE!</v>
      </c>
      <c r="O15" t="e">
        <f>IF(PPB_Ce_Aliquot_Sent!L14="LLD","LLD",PPB_Ce_Aliquot_Sent!L14/B15)</f>
        <v>#VALUE!</v>
      </c>
      <c r="P15" t="e">
        <f>IF(O15="LLD","LLD",((PPB_Ce_Aliquot_Sent!M14/B15)^2+((O15*C15)^2)/(B15^2))^0.5)</f>
        <v>#VALUE!</v>
      </c>
      <c r="Q15" s="11" t="e">
        <f t="shared" si="2"/>
        <v>#VALUE!</v>
      </c>
    </row>
    <row r="16" spans="1:17" x14ac:dyDescent="0.25">
      <c r="A16" t="s">
        <v>27</v>
      </c>
      <c r="B16">
        <v>56.500242433425186</v>
      </c>
      <c r="C16">
        <v>0.64227138272777973</v>
      </c>
      <c r="D16">
        <v>1.1367586315838816E-2</v>
      </c>
      <c r="E16">
        <v>23.475924816156091</v>
      </c>
      <c r="F16">
        <v>0.49203700625466129</v>
      </c>
      <c r="G16">
        <v>2.0959217160043137E-2</v>
      </c>
      <c r="I16">
        <f>IF(PPB_Ce_Aliquot_Sent!B15="LLD","LLD",PPB_Ce_Aliquot_Sent!B15/B16)</f>
        <v>7.0536030013726464E-2</v>
      </c>
      <c r="J16">
        <f>IF(I16="LLD","LLD",((PPB_Ce_Aliquot_Sent!C15/B16)^2+((I16*C16)^2)/(B16^2))^0.5)</f>
        <v>4.5502865301763236E-3</v>
      </c>
      <c r="K16" s="11">
        <f t="shared" si="0"/>
        <v>6.451010255738561E-2</v>
      </c>
      <c r="L16">
        <f>IF(PPB_Ce_Aliquot_Sent!E15="LLD","LLD",PPB_Ce_Aliquot_Sent!E15/B16)</f>
        <v>1.4439556267570189E-2</v>
      </c>
      <c r="M16">
        <f>IF(L16="LLD","LLD",((PPB_Ce_Aliquot_Sent!F15/B16)^2+((L16*C16)^2)/(B16^2))^0.5)</f>
        <v>2.3072858381633426E-3</v>
      </c>
      <c r="N16" s="11">
        <f t="shared" si="1"/>
        <v>0.1597892480494901</v>
      </c>
      <c r="O16">
        <f>IF(PPB_Ce_Aliquot_Sent!L15="LLD","LLD",PPB_Ce_Aliquot_Sent!L15/B16)</f>
        <v>8.4975586281296644E-2</v>
      </c>
      <c r="P16">
        <f>IF(O16="LLD","LLD",((PPB_Ce_Aliquot_Sent!M15/B16)^2+((O16*C16)^2)/(B16^2))^0.5)</f>
        <v>5.1275630680691726E-3</v>
      </c>
      <c r="Q16" s="11">
        <f t="shared" si="2"/>
        <v>6.0341602717459135E-2</v>
      </c>
    </row>
    <row r="17" spans="1:21" x14ac:dyDescent="0.25">
      <c r="A17" t="s">
        <v>28</v>
      </c>
      <c r="B17">
        <v>7.6111083371291652</v>
      </c>
      <c r="C17">
        <v>4.1786079037852301E-2</v>
      </c>
      <c r="D17">
        <v>5.4901437723607017E-3</v>
      </c>
      <c r="E17">
        <v>3.2516418412685382</v>
      </c>
      <c r="F17">
        <v>5.859754907125421E-2</v>
      </c>
      <c r="G17">
        <v>1.8020911260138661E-2</v>
      </c>
      <c r="I17">
        <f>IF(PPB_Ce_Aliquot_Sent!B16="LLD","LLD",PPB_Ce_Aliquot_Sent!B16/B17)</f>
        <v>0.17230552785945072</v>
      </c>
      <c r="J17">
        <f>IF(I17="LLD","LLD",((PPB_Ce_Aliquot_Sent!C16/B17)^2+((I17*C17)^2)/(B17^2))^0.5)</f>
        <v>2.4474302929431254E-2</v>
      </c>
      <c r="K17" s="11">
        <f t="shared" si="0"/>
        <v>0.1420401494570441</v>
      </c>
      <c r="L17">
        <f>IF(PPB_Ce_Aliquot_Sent!E16="LLD","LLD",PPB_Ce_Aliquot_Sent!E16/B17)</f>
        <v>3.0216835415850463E-2</v>
      </c>
      <c r="M17">
        <f>IF(L17="LLD","LLD",((PPB_Ce_Aliquot_Sent!F16/B17)^2+((L17*C17)^2)/(B17^2))^0.5)</f>
        <v>1.2902770449064651E-2</v>
      </c>
      <c r="N17" s="11">
        <f t="shared" si="1"/>
        <v>0.42700601408102479</v>
      </c>
      <c r="O17">
        <f>IF(PPB_Ce_Aliquot_Sent!L16="LLD","LLD",PPB_Ce_Aliquot_Sent!L16/B17)</f>
        <v>0.20252236327530118</v>
      </c>
      <c r="P17">
        <f>IF(O17="LLD","LLD",((PPB_Ce_Aliquot_Sent!M16/B17)^2+((O17*C17)^2)/(B17^2))^0.5)</f>
        <v>2.7672854137529415E-2</v>
      </c>
      <c r="Q17" s="11">
        <f t="shared" si="2"/>
        <v>0.13664097974163966</v>
      </c>
    </row>
    <row r="18" spans="1:21" x14ac:dyDescent="0.25">
      <c r="A18" t="s">
        <v>29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I18" t="e">
        <f>IF(PPB_Ce_Aliquot_Sent!B17="LLD","LLD",PPB_Ce_Aliquot_Sent!B17/B18)</f>
        <v>#VALUE!</v>
      </c>
      <c r="J18" t="e">
        <f>IF(I18="LLD","LLD",((PPB_Ce_Aliquot_Sent!C17/B18)^2+((I18*C18)^2)/(B18^2))^0.5)</f>
        <v>#VALUE!</v>
      </c>
      <c r="K18" s="11" t="e">
        <f t="shared" si="0"/>
        <v>#VALUE!</v>
      </c>
      <c r="L18" t="e">
        <f>IF(PPB_Ce_Aliquot_Sent!E17="LLD","LLD",PPB_Ce_Aliquot_Sent!E17/B18)</f>
        <v>#VALUE!</v>
      </c>
      <c r="M18" t="e">
        <f>IF(L18="LLD","LLD",((PPB_Ce_Aliquot_Sent!F17/B18)^2+((L18*C18)^2)/(B18^2))^0.5)</f>
        <v>#VALUE!</v>
      </c>
      <c r="N18" s="11" t="e">
        <f t="shared" si="1"/>
        <v>#VALUE!</v>
      </c>
      <c r="O18" t="e">
        <f>IF(PPB_Ce_Aliquot_Sent!L17="LLD","LLD",PPB_Ce_Aliquot_Sent!L17/B18)</f>
        <v>#VALUE!</v>
      </c>
      <c r="P18" t="e">
        <f>IF(O18="LLD","LLD",((PPB_Ce_Aliquot_Sent!M17/B18)^2+((O18*C18)^2)/(B18^2))^0.5)</f>
        <v>#VALUE!</v>
      </c>
      <c r="Q18" s="11" t="e">
        <f t="shared" si="2"/>
        <v>#VALUE!</v>
      </c>
    </row>
    <row r="19" spans="1:21" x14ac:dyDescent="0.25">
      <c r="A19" t="s">
        <v>30</v>
      </c>
      <c r="B19">
        <v>0.95037831512682347</v>
      </c>
      <c r="C19">
        <v>5.8692215262494147E-3</v>
      </c>
      <c r="D19">
        <v>6.1756686077861474E-3</v>
      </c>
      <c r="E19">
        <v>0.41330232618114388</v>
      </c>
      <c r="F19">
        <v>8.4687143303290909E-3</v>
      </c>
      <c r="G19">
        <v>2.0490362124449761E-2</v>
      </c>
      <c r="I19">
        <f>IF(PPB_Ce_Aliquot_Sent!B18="LLD","LLD",PPB_Ce_Aliquot_Sent!B18/B19)</f>
        <v>1.0352016232025425</v>
      </c>
      <c r="J19">
        <f>IF(I19="LLD","LLD",((PPB_Ce_Aliquot_Sent!C18/B19)^2+((I19*C19)^2)/(B19^2))^0.5)</f>
        <v>0.14087553628045626</v>
      </c>
      <c r="K19" s="11">
        <f t="shared" si="0"/>
        <v>0.13608511919121405</v>
      </c>
      <c r="L19">
        <f>IF(PPB_Ce_Aliquot_Sent!E18="LLD","LLD",PPB_Ce_Aliquot_Sent!E18/B19)</f>
        <v>0.20460193191738271</v>
      </c>
      <c r="M19">
        <f>IF(L19="LLD","LLD",((PPB_Ce_Aliquot_Sent!F18/B19)^2+((L19*C19)^2)/(B19^2))^0.5)</f>
        <v>7.4239185621766055E-2</v>
      </c>
      <c r="N19" s="11">
        <f t="shared" si="1"/>
        <v>0.36284694345771618</v>
      </c>
      <c r="O19">
        <f>IF(PPB_Ce_Aliquot_Sent!L18="LLD","LLD",PPB_Ce_Aliquot_Sent!L18/B19)</f>
        <v>1.2398035551199251</v>
      </c>
      <c r="P19">
        <f>IF(O19="LLD","LLD",((PPB_Ce_Aliquot_Sent!M18/B19)^2+((O19*C19)^2)/(B19^2))^0.5)</f>
        <v>0.15929070707093645</v>
      </c>
      <c r="Q19" s="11">
        <f t="shared" si="2"/>
        <v>0.12848060195756447</v>
      </c>
    </row>
    <row r="20" spans="1:21" x14ac:dyDescent="0.25">
      <c r="A20" t="s">
        <v>10</v>
      </c>
      <c r="B20">
        <v>8290.8082424456243</v>
      </c>
      <c r="C20">
        <v>125.867398408726</v>
      </c>
      <c r="D20">
        <v>1.5181559472613928E-2</v>
      </c>
      <c r="E20">
        <v>69656.737023483744</v>
      </c>
      <c r="F20">
        <v>1650.3624754801365</v>
      </c>
      <c r="G20">
        <v>2.3692790475151614E-2</v>
      </c>
      <c r="I20">
        <f>IF(PPB_Ce_Aliquot_Sent!B19="LLD","LLD",PPB_Ce_Aliquot_Sent!B19/B20)</f>
        <v>3.4366181432281186E-4</v>
      </c>
      <c r="J20">
        <f>IF(I20="LLD","LLD",((PPB_Ce_Aliquot_Sent!C19/B20)^2+((I20*C20)^2)/(B20^2))^0.5)</f>
        <v>2.1306154657643035E-5</v>
      </c>
      <c r="K20" s="11">
        <f t="shared" si="0"/>
        <v>6.199744565635542E-2</v>
      </c>
      <c r="L20">
        <f>IF(PPB_Ce_Aliquot_Sent!E19="LLD","LLD",PPB_Ce_Aliquot_Sent!E19/B20)</f>
        <v>1.4258484406724586E-4</v>
      </c>
      <c r="M20">
        <f>IF(L20="LLD","LLD",((PPB_Ce_Aliquot_Sent!F19/B20)^2+((L20*C20)^2)/(B20^2))^0.5)</f>
        <v>1.0748698367877578E-5</v>
      </c>
      <c r="N20" s="11">
        <f t="shared" si="1"/>
        <v>7.538457848162515E-2</v>
      </c>
      <c r="O20">
        <f>IF(PPB_Ce_Aliquot_Sent!L19="LLD","LLD",PPB_Ce_Aliquot_Sent!L19/B20)</f>
        <v>4.8624665839005777E-4</v>
      </c>
      <c r="P20">
        <f>IF(O20="LLD","LLD",((PPB_Ce_Aliquot_Sent!M19/B20)^2+((O20*C20)^2)/(B20^2))^0.5)</f>
        <v>2.433257494773949E-5</v>
      </c>
      <c r="Q20" s="11">
        <f t="shared" si="2"/>
        <v>5.0041629135927891E-2</v>
      </c>
    </row>
    <row r="21" spans="1:21" x14ac:dyDescent="0.25">
      <c r="A21" t="s">
        <v>11</v>
      </c>
      <c r="B21">
        <v>189.84088835053595</v>
      </c>
      <c r="C21">
        <v>0.8764615385232597</v>
      </c>
      <c r="D21">
        <v>4.616821729705024E-3</v>
      </c>
      <c r="E21">
        <v>5520.9207445843122</v>
      </c>
      <c r="F21">
        <v>96.555544981800253</v>
      </c>
      <c r="G21">
        <v>1.7489029357379452E-2</v>
      </c>
      <c r="I21">
        <f>IF(PPB_Ce_Aliquot_Sent!B20="LLD","LLD",PPB_Ce_Aliquot_Sent!B20/B21)</f>
        <v>8.4538211198474184E-2</v>
      </c>
      <c r="J21">
        <f>IF(I21="LLD","LLD",((PPB_Ce_Aliquot_Sent!C20/B21)^2+((I21*C21)^2)/(B21^2))^0.5)</f>
        <v>1.1570795651062228E-3</v>
      </c>
      <c r="K21" s="11">
        <f t="shared" si="0"/>
        <v>1.3687059954340585E-2</v>
      </c>
      <c r="L21">
        <f>IF(PPB_Ce_Aliquot_Sent!E20="LLD","LLD",PPB_Ce_Aliquot_Sent!E20/B21)</f>
        <v>0.36549992958350175</v>
      </c>
      <c r="M21">
        <f>IF(L21="LLD","LLD",((PPB_Ce_Aliquot_Sent!F20/B21)^2+((L21*C21)^2)/(B21^2))^0.5)</f>
        <v>5.5048414490486497E-3</v>
      </c>
      <c r="N21" s="11">
        <f t="shared" si="1"/>
        <v>1.5061128617238267E-2</v>
      </c>
      <c r="O21">
        <f>IF(PPB_Ce_Aliquot_Sent!L20="LLD","LLD",PPB_Ce_Aliquot_Sent!L20/B21)</f>
        <v>0.4500381407819759</v>
      </c>
      <c r="P21">
        <f>IF(O21="LLD","LLD",((PPB_Ce_Aliquot_Sent!M20/B21)^2+((O21*C21)^2)/(B21^2))^0.5)</f>
        <v>5.7410214393260467E-3</v>
      </c>
      <c r="Q21" s="11">
        <f t="shared" si="2"/>
        <v>1.2756744193615634E-2</v>
      </c>
    </row>
    <row r="22" spans="1:21" x14ac:dyDescent="0.25">
      <c r="A22" t="s">
        <v>12</v>
      </c>
      <c r="B22">
        <v>2131.2757584995938</v>
      </c>
      <c r="C22">
        <v>15.333434106735124</v>
      </c>
      <c r="D22">
        <v>7.1944862346343093E-3</v>
      </c>
      <c r="E22">
        <v>43631.197640689817</v>
      </c>
      <c r="F22">
        <v>806.34289817158287</v>
      </c>
      <c r="G22">
        <v>1.8480879319700345E-2</v>
      </c>
      <c r="I22">
        <f>IF(PPB_Ce_Aliquot_Sent!B21="LLD","LLD",PPB_Ce_Aliquot_Sent!B21/B22)</f>
        <v>6.8587316199445912E-3</v>
      </c>
      <c r="J22">
        <f>IF(I22="LLD","LLD",((PPB_Ce_Aliquot_Sent!C21/B22)^2+((I22*C22)^2)/(B22^2))^0.5)</f>
        <v>1.1032093558285843E-4</v>
      </c>
      <c r="K22" s="11">
        <f t="shared" si="0"/>
        <v>1.6084743024797007E-2</v>
      </c>
      <c r="L22">
        <f>IF(PPB_Ce_Aliquot_Sent!E21="LLD","LLD",PPB_Ce_Aliquot_Sent!E21/B22)</f>
        <v>6.7255071588826982E-3</v>
      </c>
      <c r="M22">
        <f>IF(L22="LLD","LLD",((PPB_Ce_Aliquot_Sent!F21/B22)^2+((L22*C22)^2)/(B22^2))^0.5)</f>
        <v>1.1652136875885881E-4</v>
      </c>
      <c r="N22" s="11">
        <f t="shared" si="1"/>
        <v>1.7325291016152364E-2</v>
      </c>
      <c r="O22">
        <f>IF(PPB_Ce_Aliquot_Sent!L21="LLD","LLD",PPB_Ce_Aliquot_Sent!L21/B22)</f>
        <v>1.3584238778827289E-2</v>
      </c>
      <c r="P22">
        <f>IF(O22="LLD","LLD",((PPB_Ce_Aliquot_Sent!M21/B22)^2+((O22*C22)^2)/(B22^2))^0.5)</f>
        <v>1.7470893946361555E-4</v>
      </c>
      <c r="Q22" s="11">
        <f t="shared" si="2"/>
        <v>1.2861150507448453E-2</v>
      </c>
    </row>
    <row r="23" spans="1:21" x14ac:dyDescent="0.25">
      <c r="A23" t="s">
        <v>31</v>
      </c>
      <c r="B23">
        <v>2.9830744067341466</v>
      </c>
      <c r="C23">
        <v>4.8327355599100355E-2</v>
      </c>
      <c r="D23">
        <v>1.6200519668568669E-2</v>
      </c>
      <c r="E23">
        <v>15.817756797443025</v>
      </c>
      <c r="F23">
        <v>0.41238639219108802</v>
      </c>
      <c r="G23">
        <v>2.607110461185945E-2</v>
      </c>
      <c r="I23">
        <f>IF(PPB_Ce_Aliquot_Sent!B22="LLD","LLD",PPB_Ce_Aliquot_Sent!B22/B23)</f>
        <v>0.86315385467013506</v>
      </c>
      <c r="J23">
        <f>IF(I23="LLD","LLD",((PPB_Ce_Aliquot_Sent!C22/B23)^2+((I23*C23)^2)/(B23^2))^0.5)</f>
        <v>8.3625202040278138E-2</v>
      </c>
      <c r="K23" s="11">
        <f t="shared" si="0"/>
        <v>9.6883309490909411E-2</v>
      </c>
      <c r="L23">
        <f>IF(PPB_Ce_Aliquot_Sent!E22="LLD","LLD",PPB_Ce_Aliquot_Sent!E22/B23)</f>
        <v>10.112464894113669</v>
      </c>
      <c r="M23">
        <f>IF(L23="LLD","LLD",((PPB_Ce_Aliquot_Sent!F22/B23)^2+((L23*C23)^2)/(B23^2))^0.5)</f>
        <v>0.29817701583085676</v>
      </c>
      <c r="N23" s="11">
        <f t="shared" si="1"/>
        <v>2.9486086622107496E-2</v>
      </c>
      <c r="O23">
        <f>IF(PPB_Ce_Aliquot_Sent!L22="LLD","LLD",PPB_Ce_Aliquot_Sent!L22/B23)</f>
        <v>10.975618748783806</v>
      </c>
      <c r="P23">
        <f>IF(O23="LLD","LLD",((PPB_Ce_Aliquot_Sent!M22/B23)^2+((O23*C23)^2)/(B23^2))^0.5)</f>
        <v>0.31699286355094519</v>
      </c>
      <c r="Q23" s="11">
        <f t="shared" si="2"/>
        <v>2.888154834879544E-2</v>
      </c>
    </row>
    <row r="24" spans="1:21" x14ac:dyDescent="0.25">
      <c r="A24" t="s">
        <v>32</v>
      </c>
      <c r="B24">
        <v>0.18394729811479152</v>
      </c>
      <c r="C24">
        <v>5.3518732118052782E-3</v>
      </c>
      <c r="D24">
        <v>2.9094600826729537E-2</v>
      </c>
      <c r="E24">
        <v>0</v>
      </c>
      <c r="F24">
        <v>0</v>
      </c>
      <c r="G24" t="e">
        <v>#DIV/0!</v>
      </c>
      <c r="I24">
        <f>IF(PPB_Ce_Aliquot_Sent!B23="LLD","LLD",PPB_Ce_Aliquot_Sent!B23/B24)</f>
        <v>36.060202867266391</v>
      </c>
      <c r="J24">
        <f>IF(I24="LLD","LLD",((PPB_Ce_Aliquot_Sent!C23/B24)^2+((I24*C24)^2)/(B24^2))^0.5)</f>
        <v>2.1089936248332268</v>
      </c>
      <c r="K24" s="11">
        <f t="shared" si="0"/>
        <v>5.8485351083470014E-2</v>
      </c>
      <c r="L24">
        <f>IF(PPB_Ce_Aliquot_Sent!E23="LLD","LLD",PPB_Ce_Aliquot_Sent!E23/B24)</f>
        <v>59.483136149315101</v>
      </c>
      <c r="M24">
        <f>IF(L24="LLD","LLD",((PPB_Ce_Aliquot_Sent!F23/B24)^2+((L24*C24)^2)/(B24^2))^0.5)</f>
        <v>2.9328701821019338</v>
      </c>
      <c r="N24" s="11">
        <f t="shared" si="1"/>
        <v>4.9305910413664417E-2</v>
      </c>
      <c r="O24">
        <f>IF(PPB_Ce_Aliquot_Sent!L23="LLD","LLD",PPB_Ce_Aliquot_Sent!L23/B24)</f>
        <v>95.543339016581498</v>
      </c>
      <c r="P24">
        <f>IF(O24="LLD","LLD",((PPB_Ce_Aliquot_Sent!M23/B24)^2+((O24*C24)^2)/(B24^2))^0.5)</f>
        <v>4.084238545173303</v>
      </c>
      <c r="Q24" s="11">
        <f t="shared" si="2"/>
        <v>4.2747496447287502E-2</v>
      </c>
    </row>
    <row r="25" spans="1:21" x14ac:dyDescent="0.25">
      <c r="A25" t="s">
        <v>13</v>
      </c>
      <c r="B25">
        <v>77.568271944853791</v>
      </c>
      <c r="C25">
        <v>0.24842641317109518</v>
      </c>
      <c r="D25">
        <v>3.2026807732381981E-3</v>
      </c>
      <c r="E25">
        <v>944.85454600579624</v>
      </c>
      <c r="F25">
        <v>16.082519500052445</v>
      </c>
      <c r="G25">
        <v>1.7021159042985422E-2</v>
      </c>
      <c r="I25">
        <f>IF(PPB_Ce_Aliquot_Sent!B24="LLD","LLD",PPB_Ce_Aliquot_Sent!B24/B25)</f>
        <v>8.7595501204733924E-4</v>
      </c>
      <c r="J25">
        <f>IF(I25="LLD","LLD",((PPB_Ce_Aliquot_Sent!C24/B25)^2+((I25*C25)^2)/(B25^2))^0.5)</f>
        <v>2.8890234194425763E-3</v>
      </c>
      <c r="K25" s="11">
        <f t="shared" si="0"/>
        <v>3.2981413197124838</v>
      </c>
      <c r="L25">
        <f>IF(PPB_Ce_Aliquot_Sent!E24="LLD","LLD",PPB_Ce_Aliquot_Sent!E24/B25)</f>
        <v>2.2191397517359299E-2</v>
      </c>
      <c r="M25">
        <f>IF(L25="LLD","LLD",((PPB_Ce_Aliquot_Sent!F24/B25)^2+((L25*C25)^2)/(B25^2))^0.5)</f>
        <v>1.5645971575724326E-3</v>
      </c>
      <c r="N25" s="11">
        <f t="shared" si="1"/>
        <v>7.0504669944672069E-2</v>
      </c>
      <c r="O25">
        <f>IF(PPB_Ce_Aliquot_Sent!L24="LLD","LLD",PPB_Ce_Aliquot_Sent!L24/B25)</f>
        <v>2.3067352529406639E-2</v>
      </c>
      <c r="P25">
        <f>IF(O25="LLD","LLD",((PPB_Ce_Aliquot_Sent!M24/B25)^2+((O25*C25)^2)/(B25^2))^0.5)</f>
        <v>3.285547040409619E-3</v>
      </c>
      <c r="Q25" s="11">
        <f t="shared" si="2"/>
        <v>0.14243277533566756</v>
      </c>
    </row>
    <row r="26" spans="1:21" x14ac:dyDescent="0.25">
      <c r="A26" t="s">
        <v>14</v>
      </c>
      <c r="B26">
        <v>15.591964272175455</v>
      </c>
      <c r="C26">
        <v>4.9930707722179654E-2</v>
      </c>
      <c r="D26">
        <v>3.2023359501460119E-3</v>
      </c>
      <c r="E26">
        <v>1018.9897936777647</v>
      </c>
      <c r="F26">
        <v>17.345158833297575</v>
      </c>
      <c r="G26">
        <v>1.7021916157467065E-2</v>
      </c>
      <c r="I26" t="str">
        <f>IF(PPB_Ce_Aliquot_Sent!B25="LLD","LLD",PPB_Ce_Aliquot_Sent!B25/B26)</f>
        <v>LLD</v>
      </c>
      <c r="J26" t="str">
        <f>IF(I26="LLD","LLD",((PPB_Ce_Aliquot_Sent!C25/B26)^2+((I26*C26)^2)/(B26^2))^0.5)</f>
        <v>LLD</v>
      </c>
      <c r="K26" s="11" t="str">
        <f t="shared" si="0"/>
        <v>LLD</v>
      </c>
      <c r="L26">
        <f>IF(PPB_Ce_Aliquot_Sent!E25="LLD","LLD",PPB_Ce_Aliquot_Sent!E25/B26)</f>
        <v>2.8416730095326536E-2</v>
      </c>
      <c r="M26">
        <f>IF(L26="LLD","LLD",((PPB_Ce_Aliquot_Sent!F25/B26)^2+((L26*C26)^2)/(B26^2))^0.5)</f>
        <v>7.6945028867400605E-3</v>
      </c>
      <c r="N26" s="11">
        <f t="shared" si="1"/>
        <v>0.27077369074232477</v>
      </c>
      <c r="O26">
        <f>IF(PPB_Ce_Aliquot_Sent!L25="LLD","LLD",PPB_Ce_Aliquot_Sent!L25/B26)</f>
        <v>2.8416730095326536E-2</v>
      </c>
      <c r="P26">
        <f>IF(O26="LLD","LLD",((PPB_Ce_Aliquot_Sent!M25/B26)^2+((O26*C26)^2)/(B26^2))^0.5)</f>
        <v>7.6945028867400605E-3</v>
      </c>
      <c r="Q26" s="11">
        <f t="shared" si="2"/>
        <v>0.27077369074232477</v>
      </c>
    </row>
    <row r="27" spans="1:21" x14ac:dyDescent="0.25">
      <c r="A27" t="s">
        <v>15</v>
      </c>
      <c r="B27">
        <v>3.4423014985742499</v>
      </c>
      <c r="C27">
        <v>1.1014823623589244E-2</v>
      </c>
      <c r="D27">
        <v>3.1998427877835281E-3</v>
      </c>
      <c r="E27">
        <v>864.36110088945406</v>
      </c>
      <c r="F27">
        <v>14.713019925606043</v>
      </c>
      <c r="G27">
        <v>1.7021844123325188E-2</v>
      </c>
      <c r="I27" t="str">
        <f>IF(PPB_Ce_Aliquot_Sent!B26="LLD","LLD",PPB_Ce_Aliquot_Sent!B26/B27)</f>
        <v>LLD</v>
      </c>
      <c r="J27" t="str">
        <f>IF(I27="LLD","LLD",((PPB_Ce_Aliquot_Sent!C26/B27)^2+((I27*C27)^2)/(B27^2))^0.5)</f>
        <v>LLD</v>
      </c>
      <c r="K27" s="11" t="str">
        <f t="shared" si="0"/>
        <v>LLD</v>
      </c>
      <c r="L27">
        <f>IF(PPB_Ce_Aliquot_Sent!E26="LLD","LLD",PPB_Ce_Aliquot_Sent!E26/B27)</f>
        <v>3.8513399862191142E-2</v>
      </c>
      <c r="M27">
        <f>IF(L27="LLD","LLD",((PPB_Ce_Aliquot_Sent!F26/B27)^2+((L27*C27)^2)/(B27^2))^0.5)</f>
        <v>3.6448372619938559E-2</v>
      </c>
      <c r="N27" s="11">
        <f t="shared" si="1"/>
        <v>0.94638159057258842</v>
      </c>
      <c r="O27">
        <f>IF(PPB_Ce_Aliquot_Sent!L26="LLD","LLD",PPB_Ce_Aliquot_Sent!L26/B27)</f>
        <v>3.8513399862191142E-2</v>
      </c>
      <c r="P27">
        <f>IF(O27="LLD","LLD",((PPB_Ce_Aliquot_Sent!M26/B27)^2+((O27*C27)^2)/(B27^2))^0.5)</f>
        <v>3.6448372619938559E-2</v>
      </c>
      <c r="Q27" s="11">
        <f t="shared" si="2"/>
        <v>0.94638159057258842</v>
      </c>
    </row>
    <row r="28" spans="1:21" x14ac:dyDescent="0.25">
      <c r="A28" t="s">
        <v>16</v>
      </c>
      <c r="B28">
        <v>37.213498570056672</v>
      </c>
      <c r="C28">
        <v>0.11919471866231886</v>
      </c>
      <c r="D28">
        <v>3.2029968490580791E-3</v>
      </c>
      <c r="E28">
        <v>326.94751665755166</v>
      </c>
      <c r="F28">
        <v>5.5651547665099512</v>
      </c>
      <c r="G28">
        <v>1.7021553867127101E-2</v>
      </c>
      <c r="I28">
        <f>IF(PPB_Ce_Aliquot_Sent!B27="LLD","LLD",PPB_Ce_Aliquot_Sent!B27/B28)</f>
        <v>1.8030678579656117E-3</v>
      </c>
      <c r="J28">
        <f>IF(I28="LLD","LLD",((PPB_Ce_Aliquot_Sent!C27/B28)^2+((I28*C28)^2)/(B28^2))^0.5)</f>
        <v>6.0603393773662759E-3</v>
      </c>
      <c r="K28" s="11">
        <f t="shared" si="0"/>
        <v>3.3611266212709889</v>
      </c>
      <c r="L28">
        <f>IF(PPB_Ce_Aliquot_Sent!E27="LLD","LLD",PPB_Ce_Aliquot_Sent!E27/B28)</f>
        <v>2.1845057509369617E-3</v>
      </c>
      <c r="M28">
        <f>IF(L28="LLD","LLD",((PPB_Ce_Aliquot_Sent!F27/B28)^2+((L28*C28)^2)/(B28^2))^0.5)</f>
        <v>3.2085150052437953E-3</v>
      </c>
      <c r="N28" s="11">
        <f t="shared" si="1"/>
        <v>1.4687601549538716</v>
      </c>
      <c r="O28">
        <f>IF(PPB_Ce_Aliquot_Sent!L27="LLD","LLD",PPB_Ce_Aliquot_Sent!L27/B28)</f>
        <v>3.9875736089025728E-3</v>
      </c>
      <c r="P28">
        <f>IF(O28="LLD","LLD",((PPB_Ce_Aliquot_Sent!M27/B28)^2+((O28*C28)^2)/(B28^2))^0.5)</f>
        <v>6.8572853758440749E-3</v>
      </c>
      <c r="Q28" s="11">
        <f t="shared" si="2"/>
        <v>1.719663647220115</v>
      </c>
    </row>
    <row r="29" spans="1:21" x14ac:dyDescent="0.25">
      <c r="A29" t="s">
        <v>17</v>
      </c>
      <c r="B29">
        <v>9.8768937804534396</v>
      </c>
      <c r="C29">
        <v>3.1563473423135438E-2</v>
      </c>
      <c r="D29">
        <v>3.1956882522722022E-3</v>
      </c>
      <c r="E29">
        <v>90.956672221551671</v>
      </c>
      <c r="F29">
        <v>1.5483060924404213</v>
      </c>
      <c r="G29">
        <v>1.7022457557253935E-2</v>
      </c>
      <c r="I29" t="e">
        <f>IF(PPB_Ce_Aliquot_Sent!B28="LLD","LLD",PPB_Ce_Aliquot_Sent!B28/B29)</f>
        <v>#REF!</v>
      </c>
      <c r="J29" t="e">
        <f>IF(I29="LLD","LLD",((PPB_Ce_Aliquot_Sent!C28/B29)^2+((I29*C29)^2)/(B29^2))^0.5)</f>
        <v>#REF!</v>
      </c>
      <c r="K29" s="11" t="e">
        <f t="shared" si="0"/>
        <v>#REF!</v>
      </c>
      <c r="L29" t="e">
        <f>IF(PPB_Ce_Aliquot_Sent!E28="LLD","LLD",PPB_Ce_Aliquot_Sent!E28/B29)</f>
        <v>#REF!</v>
      </c>
      <c r="M29" t="e">
        <f>IF(L29="LLD","LLD",((PPB_Ce_Aliquot_Sent!F28/B29)^2+((L29*C29)^2)/(B29^2))^0.5)</f>
        <v>#REF!</v>
      </c>
      <c r="N29" s="11" t="e">
        <f t="shared" si="1"/>
        <v>#REF!</v>
      </c>
      <c r="O29" t="e">
        <f>IF(PPB_Ce_Aliquot_Sent!L28="LLD","LLD",PPB_Ce_Aliquot_Sent!L28/B29)</f>
        <v>#REF!</v>
      </c>
      <c r="P29" t="e">
        <f>IF(O29="LLD","LLD",((PPB_Ce_Aliquot_Sent!M28/B29)^2+((O29*C29)^2)/(B29^2))^0.5)</f>
        <v>#REF!</v>
      </c>
      <c r="Q29" s="11" t="e">
        <f t="shared" si="2"/>
        <v>#REF!</v>
      </c>
    </row>
    <row r="30" spans="1:21" x14ac:dyDescent="0.25">
      <c r="A30" t="s">
        <v>18</v>
      </c>
      <c r="B30">
        <v>13.883375816361006</v>
      </c>
      <c r="C30">
        <v>4.440689150781079E-2</v>
      </c>
      <c r="D30">
        <v>3.1985658311920817E-3</v>
      </c>
      <c r="E30">
        <v>133.99870149106837</v>
      </c>
      <c r="F30">
        <v>2.2808861215299685</v>
      </c>
      <c r="G30">
        <v>1.7021703166892256E-2</v>
      </c>
      <c r="I30" t="e">
        <f>IF(PPB_Ce_Aliquot_Sent!B29="LLD","LLD",PPB_Ce_Aliquot_Sent!B29/B30)</f>
        <v>#REF!</v>
      </c>
      <c r="J30" t="e">
        <f>IF(I30="LLD","LLD",((PPB_Ce_Aliquot_Sent!C29/B30)^2+((I30*C30)^2)/(B30^2))^0.5)</f>
        <v>#REF!</v>
      </c>
      <c r="K30" s="11" t="e">
        <f t="shared" si="0"/>
        <v>#REF!</v>
      </c>
      <c r="L30" t="e">
        <f>IF(PPB_Ce_Aliquot_Sent!E29="LLD","LLD",PPB_Ce_Aliquot_Sent!E29/B30)</f>
        <v>#REF!</v>
      </c>
      <c r="M30" t="e">
        <f>IF(L30="LLD","LLD",((PPB_Ce_Aliquot_Sent!F29/B30)^2+((L30*C30)^2)/(B30^2))^0.5)</f>
        <v>#REF!</v>
      </c>
      <c r="N30" s="11" t="e">
        <f t="shared" si="1"/>
        <v>#REF!</v>
      </c>
      <c r="O30" t="e">
        <f>IF(PPB_Ce_Aliquot_Sent!L29="LLD","LLD",PPB_Ce_Aliquot_Sent!L29/B30)</f>
        <v>#REF!</v>
      </c>
      <c r="P30" t="e">
        <f>IF(O30="LLD","LLD",((PPB_Ce_Aliquot_Sent!M29/B30)^2+((O30*C30)^2)/(B30^2))^0.5)</f>
        <v>#REF!</v>
      </c>
      <c r="Q30" s="11" t="e">
        <f t="shared" si="2"/>
        <v>#REF!</v>
      </c>
    </row>
    <row r="31" spans="1:21" x14ac:dyDescent="0.25">
      <c r="S31" t="s">
        <v>86</v>
      </c>
      <c r="T31" t="s">
        <v>33</v>
      </c>
      <c r="U31" t="s">
        <v>36</v>
      </c>
    </row>
    <row r="32" spans="1:21" x14ac:dyDescent="0.25">
      <c r="H32" t="s">
        <v>78</v>
      </c>
      <c r="I32">
        <f>I8/I4</f>
        <v>1.9213871313590196</v>
      </c>
      <c r="J32">
        <f>((J8/I4)^2+((I8*J4)/(I4^2))^2)^0.5</f>
        <v>0.18686875393990954</v>
      </c>
      <c r="K32" s="11">
        <f>J32/I32</f>
        <v>9.7257211152306969E-2</v>
      </c>
      <c r="L32">
        <f t="shared" ref="L32:O32" si="3">L8/L4</f>
        <v>4.4814510773326397</v>
      </c>
      <c r="M32">
        <f>((M8/L4)^2+((L8*M4)/(L4^2))^2)^0.5</f>
        <v>0.73669858453368187</v>
      </c>
      <c r="N32" s="11">
        <f>M32/L32</f>
        <v>0.16438840273409053</v>
      </c>
      <c r="O32">
        <f t="shared" si="3"/>
        <v>2.5265372104640123</v>
      </c>
      <c r="P32">
        <f>((P8/O4)^2+((O8*P4)/(O4^2))^2)^0.5</f>
        <v>0.21183100760423651</v>
      </c>
      <c r="Q32" s="11">
        <f>P32/O32</f>
        <v>8.3842425406167917E-2</v>
      </c>
      <c r="S32">
        <f>AVERAGE(I32,L32,O32)</f>
        <v>2.9764584730518906</v>
      </c>
      <c r="T32">
        <f>(1/3)*(J32^2+M32^2+P32^2)^0.5</f>
        <v>0.26299917858672128</v>
      </c>
      <c r="U32" s="11">
        <f>T32/S32</f>
        <v>8.8359767477977594E-2</v>
      </c>
    </row>
    <row r="33" spans="8:21" x14ac:dyDescent="0.25">
      <c r="H33" t="s">
        <v>79</v>
      </c>
      <c r="I33">
        <f>I4/I5</f>
        <v>8.7815690491946319E-2</v>
      </c>
      <c r="K33" s="11"/>
      <c r="L33">
        <f t="shared" ref="L33:O33" si="4">L4/L5</f>
        <v>0.14618574363829534</v>
      </c>
      <c r="N33" s="11"/>
      <c r="O33">
        <f t="shared" si="4"/>
        <v>9.6967885702119269E-2</v>
      </c>
      <c r="U33" s="11"/>
    </row>
    <row r="34" spans="8:21" x14ac:dyDescent="0.25">
      <c r="H34" t="s">
        <v>80</v>
      </c>
      <c r="I34">
        <f>I5/I6</f>
        <v>0.11637351120589053</v>
      </c>
      <c r="K34" s="11"/>
      <c r="L34">
        <f t="shared" ref="L34:O34" si="5">L5/L6</f>
        <v>0.14209744630551133</v>
      </c>
      <c r="N34" s="11"/>
      <c r="O34">
        <f t="shared" si="5"/>
        <v>0.11977325484438145</v>
      </c>
      <c r="U34" s="11"/>
    </row>
    <row r="35" spans="8:21" x14ac:dyDescent="0.25">
      <c r="H35" t="s">
        <v>84</v>
      </c>
      <c r="I35">
        <f>I8/I6</f>
        <v>1.9635462542001665E-2</v>
      </c>
      <c r="K35" s="11"/>
      <c r="L35">
        <f t="shared" ref="L35:O35" si="6">L8/L6</f>
        <v>9.3091484119852658E-2</v>
      </c>
      <c r="N35" s="11"/>
      <c r="O35">
        <f t="shared" si="6"/>
        <v>2.9343605604135001E-2</v>
      </c>
      <c r="U35" s="11"/>
    </row>
    <row r="36" spans="8:21" x14ac:dyDescent="0.25">
      <c r="H36" t="s">
        <v>81</v>
      </c>
      <c r="I36" s="62">
        <f>I8/I20</f>
        <v>25.720620518350543</v>
      </c>
      <c r="J36">
        <f>((J8/I20)^2+((I8*J20)/(I20^2))^2)^0.5</f>
        <v>1.6365469454336725</v>
      </c>
      <c r="K36" s="11">
        <f t="shared" ref="K36" si="7">J36/I36</f>
        <v>6.3627817387456403E-2</v>
      </c>
      <c r="L36" s="62">
        <f t="shared" ref="L36:O36" si="8">L8/L20</f>
        <v>44.758817547020897</v>
      </c>
      <c r="M36">
        <f>((M8/L20)^2+((L8*M20)/(L20^2))^2)^0.5</f>
        <v>3.4475289645626139</v>
      </c>
      <c r="N36" s="11">
        <f t="shared" ref="N36" si="9">M36/L36</f>
        <v>7.7024576463416386E-2</v>
      </c>
      <c r="O36" s="62">
        <f t="shared" si="8"/>
        <v>31.303298173436655</v>
      </c>
      <c r="P36">
        <f>((P8/O20)^2+((O8*P20)/(O20^2))^2)^0.5</f>
        <v>1.6053831001438699</v>
      </c>
      <c r="Q36" s="11">
        <f>P36/O36</f>
        <v>5.128479086290548E-2</v>
      </c>
      <c r="S36">
        <f>AVERAGE(I36,L36,O36)</f>
        <v>33.927578746269369</v>
      </c>
      <c r="T36">
        <f>(1/3)*(J36^2+M36^2+P36^2)^0.5</f>
        <v>1.3800562293026726</v>
      </c>
      <c r="U36" s="11">
        <f t="shared" ref="U36" si="10">T36/S36</f>
        <v>4.067653160938936E-2</v>
      </c>
    </row>
    <row r="37" spans="8:21" x14ac:dyDescent="0.25">
      <c r="H37" t="s">
        <v>82</v>
      </c>
      <c r="I37">
        <f>I22/I9</f>
        <v>1.652652386488846</v>
      </c>
      <c r="L37">
        <f t="shared" ref="L37:O37" si="11">L22/L9</f>
        <v>0.28812668455784934</v>
      </c>
      <c r="O37">
        <f t="shared" si="11"/>
        <v>0.49411024978014839</v>
      </c>
    </row>
    <row r="38" spans="8:21" x14ac:dyDescent="0.25">
      <c r="H38" t="s">
        <v>83</v>
      </c>
      <c r="I38">
        <f>I14/I23</f>
        <v>1.5001715118787184E-2</v>
      </c>
      <c r="L38">
        <f t="shared" ref="L38:O38" si="12">L14/L23</f>
        <v>1.0885547149805973E-3</v>
      </c>
      <c r="O38">
        <f t="shared" si="12"/>
        <v>2.18272519484719E-3</v>
      </c>
    </row>
    <row r="44" spans="8:21" x14ac:dyDescent="0.25">
      <c r="I44">
        <v>1.9213871313590196</v>
      </c>
      <c r="J44">
        <v>0.18686875393990954</v>
      </c>
      <c r="K44">
        <v>9.7257211152306969E-2</v>
      </c>
      <c r="L44">
        <v>4.4814510773326397</v>
      </c>
      <c r="M44">
        <v>0.73669858453368187</v>
      </c>
      <c r="N44">
        <v>0.16438840273409053</v>
      </c>
      <c r="O44">
        <v>2.5265372104640123</v>
      </c>
      <c r="P44">
        <v>0.21183100760423651</v>
      </c>
      <c r="Q44">
        <v>8.3842425406167917E-2</v>
      </c>
      <c r="S44">
        <v>2.9764584730518906</v>
      </c>
      <c r="T44">
        <v>0.26299917858672128</v>
      </c>
      <c r="U44">
        <v>8.8359767477977594E-2</v>
      </c>
    </row>
    <row r="45" spans="8:21" x14ac:dyDescent="0.25">
      <c r="I45">
        <v>8.7815690491946319E-2</v>
      </c>
      <c r="L45">
        <v>0.14618574363829534</v>
      </c>
      <c r="O45">
        <v>9.6967885702119269E-2</v>
      </c>
    </row>
    <row r="46" spans="8:21" x14ac:dyDescent="0.25">
      <c r="I46">
        <v>0.11637351120589053</v>
      </c>
      <c r="L46">
        <v>0.14209744630551133</v>
      </c>
      <c r="O46">
        <v>0.11977325484438145</v>
      </c>
    </row>
    <row r="47" spans="8:21" x14ac:dyDescent="0.25">
      <c r="I47">
        <v>1.9635462542001665E-2</v>
      </c>
      <c r="L47">
        <v>9.3091484119852658E-2</v>
      </c>
      <c r="O47">
        <v>2.9343605604135001E-2</v>
      </c>
    </row>
    <row r="48" spans="8:21" x14ac:dyDescent="0.25">
      <c r="I48">
        <v>16.238087394117745</v>
      </c>
      <c r="J48">
        <v>0.70320811362863223</v>
      </c>
      <c r="K48">
        <v>4.3306092433236298E-2</v>
      </c>
      <c r="L48" s="62">
        <v>28.257389454012507</v>
      </c>
      <c r="M48">
        <v>1.4556222691964127</v>
      </c>
      <c r="N48">
        <v>5.151297757230424E-2</v>
      </c>
      <c r="O48" s="62">
        <v>19.762574977603549</v>
      </c>
      <c r="P48">
        <v>0.70224529196165175</v>
      </c>
      <c r="Q48">
        <v>3.5534098808353135E-2</v>
      </c>
      <c r="S48">
        <v>21.419350608577933</v>
      </c>
      <c r="T48">
        <v>0.58750756890972688</v>
      </c>
      <c r="U48">
        <v>2.7428822640143173E-2</v>
      </c>
    </row>
    <row r="49" spans="9:15" x14ac:dyDescent="0.25">
      <c r="I49">
        <v>1.652652386488846</v>
      </c>
      <c r="L49">
        <v>0.28812668455784934</v>
      </c>
      <c r="O49">
        <v>0.49411024978014839</v>
      </c>
    </row>
    <row r="50" spans="9:15" x14ac:dyDescent="0.25">
      <c r="I50">
        <v>1.5001715118787184E-2</v>
      </c>
      <c r="L50">
        <v>1.0885547149805973E-3</v>
      </c>
      <c r="O50">
        <v>2.18272519484719E-3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27" sqref="B27"/>
    </sheetView>
  </sheetViews>
  <sheetFormatPr defaultRowHeight="15" x14ac:dyDescent="0.25"/>
  <cols>
    <col min="1" max="1" width="17" bestFit="1" customWidth="1"/>
    <col min="4" max="4" width="10.140625" bestFit="1" customWidth="1"/>
    <col min="10" max="10" width="10.140625" bestFit="1" customWidth="1"/>
  </cols>
  <sheetData>
    <row r="1" spans="1:7" x14ac:dyDescent="0.25">
      <c r="A1" t="str">
        <f>PPB_Ce_Aliquot_Sent!A1</f>
        <v>Sample ID</v>
      </c>
      <c r="B1" s="29" t="str">
        <f>PPB_Ce_Aliquot_Sent!B1</f>
        <v>Ce140</v>
      </c>
      <c r="C1" t="str">
        <f>PPB_Ce_Aliquot_Sent!C1</f>
        <v>±</v>
      </c>
      <c r="D1" t="str">
        <f>PPB_Ce_Aliquot_Sent!D1</f>
        <v>%</v>
      </c>
      <c r="E1" s="29" t="str">
        <f>PPB_Ce_Aliquot_Sent!E1</f>
        <v>Ce 142</v>
      </c>
      <c r="F1" t="str">
        <f>PPB_Ce_Aliquot_Sent!F1</f>
        <v>±</v>
      </c>
      <c r="G1" t="str">
        <f>PPB_Ce_Aliquot_Sent!G1</f>
        <v>%</v>
      </c>
    </row>
    <row r="2" spans="1:7" x14ac:dyDescent="0.25">
      <c r="A2" t="str">
        <f>PPB_Ce_Aliquot_Sent!A2</f>
        <v>87G Trace</v>
      </c>
      <c r="B2" s="29">
        <f>PPB_Ce_Aliquot_Sent!B2</f>
        <v>25.170434386198888</v>
      </c>
      <c r="C2">
        <f>PPB_Ce_Aliquot_Sent!C2</f>
        <v>0.48602550370012043</v>
      </c>
      <c r="D2" s="11">
        <f>PPB_Ce_Aliquot_Sent!D2</f>
        <v>1.9309380849089015E-2</v>
      </c>
      <c r="E2" s="29">
        <f>PPB_Ce_Aliquot_Sent!E2</f>
        <v>18.858308190211364</v>
      </c>
      <c r="F2">
        <f>PPB_Ce_Aliquot_Sent!F2</f>
        <v>0.38746842661417302</v>
      </c>
      <c r="G2" s="11">
        <f>PPB_Ce_Aliquot_Sent!G2</f>
        <v>2.0546298358581988E-2</v>
      </c>
    </row>
    <row r="3" spans="1:7" x14ac:dyDescent="0.25">
      <c r="A3" t="str">
        <f>PPB_Ce_Aliquot_Sent!A3</f>
        <v>90G Trace</v>
      </c>
      <c r="B3" s="29">
        <f>PPB_Ce_Aliquot_Sent!B3</f>
        <v>1.9308487284752021</v>
      </c>
      <c r="C3">
        <f>PPB_Ce_Aliquot_Sent!C3</f>
        <v>0.185428598344694</v>
      </c>
      <c r="D3" s="11">
        <f>PPB_Ce_Aliquot_Sent!D3</f>
        <v>9.6034762128220999E-2</v>
      </c>
      <c r="E3" s="29">
        <f>PPB_Ce_Aliquot_Sent!E3</f>
        <v>0.59770063560302389</v>
      </c>
      <c r="F3">
        <f>PPB_Ce_Aliquot_Sent!F3</f>
        <v>9.7742097587693408E-2</v>
      </c>
      <c r="G3" s="11">
        <f>PPB_Ce_Aliquot_Sent!G3</f>
        <v>0.16353018846814643</v>
      </c>
    </row>
    <row r="4" spans="1:7" x14ac:dyDescent="0.25">
      <c r="A4" t="str">
        <f>PPB_Ce_Aliquot_Sent!A4</f>
        <v>93G Trace</v>
      </c>
      <c r="B4" s="29">
        <f>IF(PPB_Ce_Aliquot_Sent!B4="LLD","LLD",PPB_Ce_Aliquot_Sent!B4*12)</f>
        <v>16.119917028901696</v>
      </c>
      <c r="C4">
        <f>IF(PPB_Ce_Aliquot_Sent!C4="LLD","LLD",PPB_Ce_Aliquot_Sent!C4*12)</f>
        <v>2.6993873738584231</v>
      </c>
      <c r="D4" s="11">
        <f>IF(PPB_Ce_Aliquot_Sent!D4="LLD","LLD",PPB_Ce_Aliquot_Sent!D4*12)</f>
        <v>2.0094798520503359</v>
      </c>
      <c r="E4" s="29">
        <f>IF(PPB_Ce_Aliquot_Sent!E4="LLD","LLD",PPB_Ce_Aliquot_Sent!E4*12)</f>
        <v>2.9975426320181184</v>
      </c>
      <c r="F4">
        <f>IF(PPB_Ce_Aliquot_Sent!F4="LLD","LLD",PPB_Ce_Aliquot_Sent!F4*12)</f>
        <v>1.4257832305311344</v>
      </c>
      <c r="G4" s="11">
        <f>IF(PPB_Ce_Aliquot_Sent!G4="LLD","LLD",PPB_Ce_Aliquot_Sent!G4*12)</f>
        <v>5.7078083172597216</v>
      </c>
    </row>
    <row r="5" spans="1:7" x14ac:dyDescent="0.25">
      <c r="A5" t="str">
        <f>PPB_Ce_Aliquot_Sent!A5</f>
        <v>96G Trace</v>
      </c>
      <c r="B5" s="29">
        <f>IF(PPB_Ce_Aliquot_Sent!B5="LLD","LLD",PPB_Ce_Aliquot_Sent!B5*144)</f>
        <v>170.70926334188235</v>
      </c>
      <c r="C5">
        <f>IF(PPB_Ce_Aliquot_Sent!C5="LLD","LLD",PPB_Ce_Aliquot_Sent!C5*144)</f>
        <v>25.204344573991698</v>
      </c>
      <c r="D5" s="11">
        <f>IF(PPB_Ce_Aliquot_Sent!D5="LLD","LLD",PPB_Ce_Aliquot_Sent!D5*144)</f>
        <v>21.260859238705116</v>
      </c>
      <c r="E5" s="29">
        <f>IF(PPB_Ce_Aliquot_Sent!E5="LLD","LLD",PPB_Ce_Aliquot_Sent!E5*144)</f>
        <v>25.997256522752707</v>
      </c>
      <c r="F5">
        <f>IF(PPB_Ce_Aliquot_Sent!F5="LLD","LLD",PPB_Ce_Aliquot_Sent!F5*144)</f>
        <v>13.295112421345408</v>
      </c>
      <c r="G5" s="11">
        <f>IF(PPB_Ce_Aliquot_Sent!G5="LLD","LLD",PPB_Ce_Aliquot_Sent!G5*144)</f>
        <v>73.642239403153127</v>
      </c>
    </row>
    <row r="6" spans="1:7" x14ac:dyDescent="0.25">
      <c r="A6" t="str">
        <f>PPB_Ce_Aliquot_Sent!A6</f>
        <v>30G Trace Waste</v>
      </c>
      <c r="B6" s="29">
        <f>PPB_Ce_Aliquot_Sent!B6</f>
        <v>35.581395951551563</v>
      </c>
      <c r="C6">
        <f>PPB_Ce_Aliquot_Sent!C6</f>
        <v>0.50418820118664387</v>
      </c>
      <c r="D6" s="11">
        <f>PPB_Ce_Aliquot_Sent!D6</f>
        <v>1.4169994956722833E-2</v>
      </c>
      <c r="E6" s="29">
        <f>PPB_Ce_Aliquot_Sent!E6</f>
        <v>30.870606022626866</v>
      </c>
      <c r="F6">
        <f>PPB_Ce_Aliquot_Sent!F6</f>
        <v>0.48332308109131944</v>
      </c>
      <c r="G6" s="11">
        <f>PPB_Ce_Aliquot_Sent!G6</f>
        <v>1.5656417005129857E-2</v>
      </c>
    </row>
    <row r="7" spans="1:7" x14ac:dyDescent="0.25">
      <c r="A7" t="str">
        <f>PPB_Ce_Aliquot_Sent!A7</f>
        <v>30G Trace Original</v>
      </c>
      <c r="B7" s="29">
        <f>PPB_Ce_Aliquot_Sent!B7</f>
        <v>42.940167270693443</v>
      </c>
      <c r="C7">
        <f>PPB_Ce_Aliquot_Sent!C7</f>
        <v>0.57323962246023585</v>
      </c>
      <c r="D7" s="11">
        <f>PPB_Ce_Aliquot_Sent!D7</f>
        <v>1.3349729609727684E-2</v>
      </c>
      <c r="E7" s="29">
        <f>PPB_Ce_Aliquot_Sent!E7</f>
        <v>31.00294723158774</v>
      </c>
      <c r="F7">
        <f>PPB_Ce_Aliquot_Sent!F7</f>
        <v>0.46333602240207233</v>
      </c>
      <c r="G7" s="11">
        <f>PPB_Ce_Aliquot_Sent!G7</f>
        <v>1.4944902461724563E-2</v>
      </c>
    </row>
    <row r="9" spans="1:7" x14ac:dyDescent="0.25">
      <c r="B9">
        <f>B7/B3</f>
        <v>22.239011600149247</v>
      </c>
      <c r="C9">
        <f>(((D7/B3)^2)+((B7/(B3^2))^2)*D3^2)^0.5</f>
        <v>1.1061249281971819</v>
      </c>
      <c r="D9" s="11">
        <f>C9/B9</f>
        <v>4.9738043582375692E-2</v>
      </c>
      <c r="E9">
        <f t="shared" ref="E9" si="0">E7/E3</f>
        <v>51.870360151631218</v>
      </c>
    </row>
    <row r="10" spans="1:7" x14ac:dyDescent="0.25">
      <c r="E10" t="s">
        <v>58</v>
      </c>
    </row>
    <row r="13" spans="1:7" x14ac:dyDescent="0.25">
      <c r="A13" t="s">
        <v>74</v>
      </c>
      <c r="B13">
        <f>B9</f>
        <v>22.239011600149247</v>
      </c>
      <c r="C13">
        <f t="shared" ref="C13:D13" si="1">C9</f>
        <v>1.1061249281971819</v>
      </c>
      <c r="D13" s="11">
        <f t="shared" si="1"/>
        <v>4.9738043582375692E-2</v>
      </c>
    </row>
    <row r="18" spans="1:4" x14ac:dyDescent="0.25">
      <c r="C18" t="s">
        <v>60</v>
      </c>
      <c r="D18" t="s">
        <v>61</v>
      </c>
    </row>
    <row r="19" spans="1:4" x14ac:dyDescent="0.25">
      <c r="A19" t="s">
        <v>59</v>
      </c>
      <c r="C19">
        <v>443588.15472990012</v>
      </c>
      <c r="D19">
        <v>421897.64456719375</v>
      </c>
    </row>
    <row r="21" spans="1:4" x14ac:dyDescent="0.25">
      <c r="A21" s="32" t="s">
        <v>62</v>
      </c>
      <c r="B21" s="32"/>
      <c r="C21" s="32">
        <f>C19/(C19-D19)</f>
        <v>20.45079398328696</v>
      </c>
    </row>
    <row r="26" spans="1:4" x14ac:dyDescent="0.25">
      <c r="A26" t="s">
        <v>73</v>
      </c>
      <c r="B26">
        <v>6</v>
      </c>
    </row>
    <row r="27" spans="1:4" x14ac:dyDescent="0.25">
      <c r="A27" t="s">
        <v>48</v>
      </c>
    </row>
    <row r="28" spans="1:4" x14ac:dyDescent="0.25">
      <c r="A28" t="s">
        <v>45</v>
      </c>
    </row>
    <row r="29" spans="1:4" x14ac:dyDescent="0.25">
      <c r="A29" t="s">
        <v>47</v>
      </c>
    </row>
    <row r="30" spans="1:4" x14ac:dyDescent="0.25">
      <c r="A30" t="s">
        <v>53</v>
      </c>
    </row>
    <row r="31" spans="1:4" x14ac:dyDescent="0.25">
      <c r="A31" t="s">
        <v>49</v>
      </c>
    </row>
    <row r="32" spans="1:4" x14ac:dyDescent="0.25">
      <c r="A3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Ce_Calculations</vt:lpstr>
      <vt:lpstr>PPB_Ce_Aliquot_Sent</vt:lpstr>
      <vt:lpstr>DF</vt:lpstr>
      <vt:lpstr>PPB_Ce_to_Stock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Paul Michael</dc:creator>
  <cp:lastModifiedBy>Paul M. Mendoza</cp:lastModifiedBy>
  <dcterms:created xsi:type="dcterms:W3CDTF">2015-10-01T14:52:56Z</dcterms:created>
  <dcterms:modified xsi:type="dcterms:W3CDTF">2016-02-29T17:00:51Z</dcterms:modified>
</cp:coreProperties>
</file>