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lements\"/>
    </mc:Choice>
  </mc:AlternateContent>
  <bookViews>
    <workbookView xWindow="0" yWindow="0" windowWidth="19170" windowHeight="7560" activeTab="1"/>
  </bookViews>
  <sheets>
    <sheet name="Cs_Calculations" sheetId="1" r:id="rId1"/>
    <sheet name="PPB_Sr_Aliquot_Sent" sheetId="2" r:id="rId2"/>
    <sheet name="DF" sheetId="5" r:id="rId3"/>
    <sheet name="PPB_Sr_to_Stock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6" i="1" l="1"/>
  <c r="J3" i="1"/>
  <c r="C31" i="2" l="1"/>
  <c r="D31" i="2"/>
  <c r="C30" i="2"/>
  <c r="D30" i="2"/>
  <c r="M2" i="5"/>
  <c r="N2" i="5"/>
  <c r="L2" i="5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B36" i="1" l="1"/>
  <c r="M34" i="1" l="1"/>
  <c r="B29" i="2" l="1"/>
  <c r="M6" i="1"/>
  <c r="M13" i="1"/>
  <c r="M15" i="1"/>
  <c r="M17" i="1"/>
  <c r="M20" i="1"/>
  <c r="M22" i="1"/>
  <c r="M24" i="1"/>
  <c r="M26" i="1"/>
  <c r="M28" i="1"/>
  <c r="M30" i="1"/>
  <c r="M32" i="1"/>
  <c r="M7" i="1"/>
  <c r="M9" i="1"/>
  <c r="M11" i="1"/>
  <c r="M10" i="1"/>
  <c r="M33" i="1"/>
  <c r="M29" i="1"/>
  <c r="M25" i="1"/>
  <c r="M21" i="1"/>
  <c r="M16" i="1"/>
  <c r="M12" i="1"/>
  <c r="M8" i="1"/>
  <c r="M31" i="1"/>
  <c r="M27" i="1"/>
  <c r="M23" i="1"/>
  <c r="M18" i="1"/>
  <c r="M14" i="1"/>
  <c r="B20" i="2" l="1"/>
  <c r="B9" i="2"/>
  <c r="B24" i="2"/>
  <c r="B4" i="2"/>
  <c r="B7" i="2"/>
  <c r="C17" i="2"/>
  <c r="F17" i="2" s="1"/>
  <c r="D17" i="2"/>
  <c r="B17" i="2"/>
  <c r="B8" i="2"/>
  <c r="B5" i="2"/>
  <c r="B15" i="2"/>
  <c r="B12" i="2"/>
  <c r="B3" i="2"/>
  <c r="B13" i="2"/>
  <c r="B10" i="2"/>
  <c r="B16" i="2"/>
  <c r="B27" i="2"/>
  <c r="B11" i="2"/>
  <c r="B14" i="2"/>
  <c r="D14" i="2"/>
  <c r="C14" i="2"/>
  <c r="F14" i="2" s="1"/>
  <c r="B25" i="2"/>
  <c r="B18" i="2"/>
  <c r="B23" i="2"/>
  <c r="B2" i="2"/>
  <c r="B22" i="2"/>
  <c r="B28" i="2"/>
  <c r="B21" i="2"/>
  <c r="B26" i="2"/>
  <c r="B6" i="2"/>
  <c r="B19" i="2"/>
  <c r="I30" i="5"/>
  <c r="H29" i="2"/>
  <c r="K13" i="1"/>
  <c r="K14" i="1"/>
  <c r="K15" i="1"/>
  <c r="K16" i="1"/>
  <c r="K17" i="1"/>
  <c r="K18" i="1"/>
  <c r="N18" i="1" s="1"/>
  <c r="O18" i="1" s="1"/>
  <c r="K20" i="1"/>
  <c r="K21" i="1"/>
  <c r="K22" i="1"/>
  <c r="N22" i="1" s="1"/>
  <c r="O22" i="1" s="1"/>
  <c r="K23" i="1"/>
  <c r="K24" i="1"/>
  <c r="K25" i="1"/>
  <c r="K26" i="1"/>
  <c r="K27" i="1"/>
  <c r="K28" i="1"/>
  <c r="K29" i="1"/>
  <c r="K30" i="1"/>
  <c r="K31" i="1"/>
  <c r="K32" i="1"/>
  <c r="K33" i="1"/>
  <c r="K34" i="1"/>
  <c r="K12" i="1"/>
  <c r="K7" i="1"/>
  <c r="K8" i="1"/>
  <c r="K9" i="1"/>
  <c r="K10" i="1"/>
  <c r="K11" i="1"/>
  <c r="I20" i="5" l="1"/>
  <c r="H19" i="2"/>
  <c r="I11" i="5"/>
  <c r="H10" i="2"/>
  <c r="I13" i="5"/>
  <c r="H12" i="2"/>
  <c r="I18" i="5"/>
  <c r="H17" i="2"/>
  <c r="I25" i="5"/>
  <c r="H24" i="2"/>
  <c r="I19" i="5"/>
  <c r="H18" i="2"/>
  <c r="I12" i="5"/>
  <c r="H11" i="2"/>
  <c r="I16" i="5"/>
  <c r="H15" i="2"/>
  <c r="I10" i="5"/>
  <c r="H9" i="2"/>
  <c r="I7" i="5"/>
  <c r="H6" i="2"/>
  <c r="L7" i="5" s="1"/>
  <c r="I22" i="5"/>
  <c r="H21" i="2"/>
  <c r="L22" i="5" s="1"/>
  <c r="I3" i="5"/>
  <c r="H2" i="2"/>
  <c r="L3" i="5" s="1"/>
  <c r="I26" i="5"/>
  <c r="H25" i="2"/>
  <c r="I28" i="5"/>
  <c r="H27" i="2"/>
  <c r="I14" i="5"/>
  <c r="H13" i="2"/>
  <c r="I29" i="5"/>
  <c r="H28" i="2"/>
  <c r="I24" i="5"/>
  <c r="H23" i="2"/>
  <c r="I17" i="5"/>
  <c r="H16" i="2"/>
  <c r="I4" i="5"/>
  <c r="H3" i="2"/>
  <c r="I6" i="5"/>
  <c r="H5" i="2"/>
  <c r="I8" i="5"/>
  <c r="H7" i="2"/>
  <c r="L8" i="5" s="1"/>
  <c r="L30" i="5"/>
  <c r="I27" i="5"/>
  <c r="H26" i="2"/>
  <c r="I9" i="5"/>
  <c r="H8" i="2"/>
  <c r="I5" i="5"/>
  <c r="H4" i="2"/>
  <c r="I23" i="5"/>
  <c r="H22" i="2"/>
  <c r="I15" i="5"/>
  <c r="H14" i="2"/>
  <c r="I21" i="5"/>
  <c r="H20" i="2"/>
  <c r="L21" i="5" s="1"/>
  <c r="B6" i="4"/>
  <c r="B3" i="4"/>
  <c r="B4" i="4"/>
  <c r="B2" i="4"/>
  <c r="B5" i="4"/>
  <c r="B7" i="4"/>
  <c r="B9" i="4" l="1"/>
  <c r="L13" i="5"/>
  <c r="L24" i="5"/>
  <c r="L14" i="5"/>
  <c r="L11" i="5"/>
  <c r="I36" i="5"/>
  <c r="I35" i="5"/>
  <c r="I32" i="5"/>
  <c r="I38" i="5"/>
  <c r="I37" i="5"/>
  <c r="L23" i="5"/>
  <c r="L17" i="5"/>
  <c r="L19" i="5"/>
  <c r="L29" i="5"/>
  <c r="L28" i="5"/>
  <c r="L25" i="5"/>
  <c r="L15" i="5"/>
  <c r="J14" i="2"/>
  <c r="I14" i="2"/>
  <c r="L9" i="5"/>
  <c r="L37" i="5" s="1"/>
  <c r="L27" i="5"/>
  <c r="L4" i="5"/>
  <c r="L26" i="5"/>
  <c r="L10" i="5"/>
  <c r="L12" i="5"/>
  <c r="L18" i="5"/>
  <c r="I17" i="2"/>
  <c r="J17" i="2"/>
  <c r="L16" i="5"/>
  <c r="L5" i="5"/>
  <c r="L6" i="5"/>
  <c r="L20" i="5"/>
  <c r="L36" i="5" s="1"/>
  <c r="I34" i="5"/>
  <c r="J15" i="5"/>
  <c r="K15" i="5"/>
  <c r="I33" i="5"/>
  <c r="J18" i="5"/>
  <c r="K18" i="5"/>
  <c r="A1" i="2"/>
  <c r="C1" i="2"/>
  <c r="D1" i="2"/>
  <c r="L38" i="5" l="1"/>
  <c r="L34" i="5"/>
  <c r="L33" i="5"/>
  <c r="L35" i="5"/>
  <c r="M15" i="5"/>
  <c r="N15" i="5"/>
  <c r="L32" i="5"/>
  <c r="P32" i="5" s="1"/>
  <c r="M18" i="5"/>
  <c r="N18" i="5"/>
  <c r="P36" i="5"/>
  <c r="B1" i="4"/>
  <c r="I2" i="5"/>
  <c r="C1" i="4"/>
  <c r="J2" i="5"/>
  <c r="D1" i="4"/>
  <c r="K2" i="5"/>
  <c r="A7" i="4"/>
  <c r="A5" i="4"/>
  <c r="A3" i="4"/>
  <c r="A1" i="4"/>
  <c r="A6" i="4"/>
  <c r="A4" i="4"/>
  <c r="A2" i="4"/>
  <c r="F27" i="1" l="1"/>
  <c r="F28" i="1"/>
  <c r="F29" i="1"/>
  <c r="F30" i="1"/>
  <c r="F31" i="1"/>
  <c r="F32" i="1"/>
  <c r="F33" i="1"/>
  <c r="F34" i="1"/>
  <c r="F7" i="1"/>
  <c r="F8" i="1"/>
  <c r="F9" i="1"/>
  <c r="F10" i="1"/>
  <c r="F11" i="1"/>
  <c r="F12" i="1"/>
  <c r="F13" i="1"/>
  <c r="F14" i="1"/>
  <c r="F15" i="1"/>
  <c r="F16" i="1"/>
  <c r="F17" i="1"/>
  <c r="F20" i="1"/>
  <c r="F21" i="1"/>
  <c r="F23" i="1"/>
  <c r="F24" i="1"/>
  <c r="F25" i="1"/>
  <c r="F26" i="1"/>
  <c r="F6" i="1"/>
  <c r="N34" i="1" l="1"/>
  <c r="C29" i="2" s="1"/>
  <c r="N26" i="1"/>
  <c r="C21" i="2" s="1"/>
  <c r="N24" i="1"/>
  <c r="C19" i="2" s="1"/>
  <c r="N21" i="1"/>
  <c r="C16" i="2" s="1"/>
  <c r="N17" i="1"/>
  <c r="C13" i="2" s="1"/>
  <c r="N15" i="1"/>
  <c r="C11" i="2" s="1"/>
  <c r="N13" i="1"/>
  <c r="C9" i="2" s="1"/>
  <c r="N11" i="1"/>
  <c r="C7" i="2" s="1"/>
  <c r="N9" i="1"/>
  <c r="C5" i="2" s="1"/>
  <c r="N7" i="1"/>
  <c r="C3" i="2" s="1"/>
  <c r="N33" i="1"/>
  <c r="C28" i="2" s="1"/>
  <c r="N31" i="1"/>
  <c r="C26" i="2" s="1"/>
  <c r="N29" i="1"/>
  <c r="C24" i="2" s="1"/>
  <c r="N27" i="1"/>
  <c r="C22" i="2" s="1"/>
  <c r="N6" i="1"/>
  <c r="C2" i="2" s="1"/>
  <c r="N25" i="1"/>
  <c r="C20" i="2" s="1"/>
  <c r="N23" i="1"/>
  <c r="C18" i="2" s="1"/>
  <c r="N20" i="1"/>
  <c r="C15" i="2" s="1"/>
  <c r="N16" i="1"/>
  <c r="C12" i="2" s="1"/>
  <c r="N14" i="1"/>
  <c r="C10" i="2" s="1"/>
  <c r="N12" i="1"/>
  <c r="C8" i="2" s="1"/>
  <c r="N10" i="1"/>
  <c r="C6" i="2" s="1"/>
  <c r="N8" i="1"/>
  <c r="C4" i="2" s="1"/>
  <c r="N32" i="1"/>
  <c r="C27" i="2" s="1"/>
  <c r="N30" i="1"/>
  <c r="C25" i="2" s="1"/>
  <c r="N28" i="1"/>
  <c r="C23" i="2" s="1"/>
  <c r="G26" i="1"/>
  <c r="G6" i="1"/>
  <c r="G25" i="1"/>
  <c r="G23" i="1"/>
  <c r="G20" i="1"/>
  <c r="G16" i="1"/>
  <c r="G14" i="1"/>
  <c r="G12" i="1"/>
  <c r="G10" i="1"/>
  <c r="G8" i="1"/>
  <c r="G34" i="1"/>
  <c r="G32" i="1"/>
  <c r="G30" i="1"/>
  <c r="G28" i="1"/>
  <c r="G24" i="1"/>
  <c r="G21" i="1"/>
  <c r="G17" i="1"/>
  <c r="G15" i="1"/>
  <c r="G13" i="1"/>
  <c r="G11" i="1"/>
  <c r="G9" i="1"/>
  <c r="G7" i="1"/>
  <c r="G33" i="1"/>
  <c r="G31" i="1"/>
  <c r="G29" i="1"/>
  <c r="G27" i="1"/>
  <c r="F16" i="2" l="1"/>
  <c r="I16" i="2" s="1"/>
  <c r="D16" i="2"/>
  <c r="J17" i="5"/>
  <c r="K17" i="5" s="1"/>
  <c r="F9" i="2"/>
  <c r="I9" i="2" s="1"/>
  <c r="D9" i="2"/>
  <c r="J10" i="5"/>
  <c r="K10" i="5" s="1"/>
  <c r="F12" i="2"/>
  <c r="I12" i="2" s="1"/>
  <c r="D12" i="2"/>
  <c r="J13" i="5"/>
  <c r="K13" i="5" s="1"/>
  <c r="D27" i="2"/>
  <c r="F27" i="2"/>
  <c r="I27" i="2" s="1"/>
  <c r="J28" i="5"/>
  <c r="K28" i="5" s="1"/>
  <c r="D7" i="2"/>
  <c r="J8" i="5"/>
  <c r="D2" i="2"/>
  <c r="D2" i="4" s="1"/>
  <c r="J3" i="5"/>
  <c r="K3" i="5" s="1"/>
  <c r="F22" i="2"/>
  <c r="I22" i="2" s="1"/>
  <c r="D22" i="2"/>
  <c r="J23" i="5"/>
  <c r="K23" i="5" s="1"/>
  <c r="F11" i="2"/>
  <c r="I11" i="2" s="1"/>
  <c r="D11" i="2"/>
  <c r="J12" i="5"/>
  <c r="K12" i="5" s="1"/>
  <c r="D8" i="2"/>
  <c r="F8" i="2"/>
  <c r="I8" i="2" s="1"/>
  <c r="J9" i="5"/>
  <c r="K9" i="5" s="1"/>
  <c r="D24" i="2"/>
  <c r="F24" i="2"/>
  <c r="I24" i="2" s="1"/>
  <c r="J25" i="5"/>
  <c r="K25" i="5" s="1"/>
  <c r="F13" i="2"/>
  <c r="I13" i="2" s="1"/>
  <c r="D13" i="2"/>
  <c r="J14" i="5"/>
  <c r="K14" i="5" s="1"/>
  <c r="D20" i="2"/>
  <c r="J21" i="5"/>
  <c r="K21" i="5" s="1"/>
  <c r="D4" i="2"/>
  <c r="F4" i="2"/>
  <c r="I4" i="2" s="1"/>
  <c r="J5" i="5"/>
  <c r="K5" i="5" s="1"/>
  <c r="D6" i="2"/>
  <c r="J7" i="5"/>
  <c r="K7" i="5" s="1"/>
  <c r="D10" i="2"/>
  <c r="F10" i="2"/>
  <c r="I10" i="2" s="1"/>
  <c r="J11" i="5"/>
  <c r="K11" i="5" s="1"/>
  <c r="F26" i="2"/>
  <c r="I26" i="2" s="1"/>
  <c r="D26" i="2"/>
  <c r="J27" i="5"/>
  <c r="K27" i="5" s="1"/>
  <c r="D28" i="2"/>
  <c r="F28" i="2"/>
  <c r="I28" i="2" s="1"/>
  <c r="J29" i="5"/>
  <c r="K29" i="5" s="1"/>
  <c r="D19" i="2"/>
  <c r="F19" i="2"/>
  <c r="I19" i="2" s="1"/>
  <c r="J20" i="5"/>
  <c r="K20" i="5" s="1"/>
  <c r="D23" i="2"/>
  <c r="F23" i="2"/>
  <c r="I23" i="2" s="1"/>
  <c r="J24" i="5"/>
  <c r="K24" i="5" s="1"/>
  <c r="D15" i="2"/>
  <c r="F15" i="2"/>
  <c r="I15" i="2" s="1"/>
  <c r="J16" i="5"/>
  <c r="K16" i="5" s="1"/>
  <c r="D3" i="2"/>
  <c r="F3" i="2"/>
  <c r="I3" i="2" s="1"/>
  <c r="J4" i="5"/>
  <c r="K4" i="5" s="1"/>
  <c r="D21" i="2"/>
  <c r="J22" i="5"/>
  <c r="K22" i="5" s="1"/>
  <c r="F25" i="2"/>
  <c r="I25" i="2" s="1"/>
  <c r="D25" i="2"/>
  <c r="J26" i="5"/>
  <c r="K26" i="5" s="1"/>
  <c r="F18" i="2"/>
  <c r="I18" i="2" s="1"/>
  <c r="D18" i="2"/>
  <c r="J19" i="5"/>
  <c r="K19" i="5" s="1"/>
  <c r="D5" i="2"/>
  <c r="D5" i="4" s="1"/>
  <c r="F5" i="2"/>
  <c r="I5" i="2" s="1"/>
  <c r="J6" i="5"/>
  <c r="K6" i="5" s="1"/>
  <c r="F29" i="2"/>
  <c r="I29" i="2" s="1"/>
  <c r="D29" i="2"/>
  <c r="J30" i="5"/>
  <c r="K30" i="5" s="1"/>
  <c r="F2" i="2"/>
  <c r="I2" i="2" s="1"/>
  <c r="F6" i="2"/>
  <c r="I6" i="2" s="1"/>
  <c r="F20" i="2"/>
  <c r="I20" i="2" s="1"/>
  <c r="F7" i="2"/>
  <c r="I7" i="2" s="1"/>
  <c r="F21" i="2"/>
  <c r="I21" i="2" s="1"/>
  <c r="O28" i="1"/>
  <c r="O32" i="1"/>
  <c r="O10" i="1"/>
  <c r="O14" i="1"/>
  <c r="O20" i="1"/>
  <c r="O25" i="1"/>
  <c r="O27" i="1"/>
  <c r="O31" i="1"/>
  <c r="O7" i="1"/>
  <c r="O11" i="1"/>
  <c r="O15" i="1"/>
  <c r="O21" i="1"/>
  <c r="O26" i="1"/>
  <c r="O30" i="1"/>
  <c r="C4" i="4"/>
  <c r="O8" i="1"/>
  <c r="O12" i="1"/>
  <c r="O16" i="1"/>
  <c r="O23" i="1"/>
  <c r="O6" i="1"/>
  <c r="O29" i="1"/>
  <c r="O33" i="1"/>
  <c r="O9" i="1"/>
  <c r="O13" i="1"/>
  <c r="O17" i="1"/>
  <c r="O24" i="1"/>
  <c r="O34" i="1"/>
  <c r="J16" i="2" l="1"/>
  <c r="M17" i="5"/>
  <c r="N17" i="5" s="1"/>
  <c r="J12" i="2"/>
  <c r="M13" i="5"/>
  <c r="N13" i="5" s="1"/>
  <c r="J9" i="2"/>
  <c r="M10" i="5"/>
  <c r="N10" i="5" s="1"/>
  <c r="J4" i="2"/>
  <c r="M5" i="5"/>
  <c r="N5" i="5" s="1"/>
  <c r="M19" i="5"/>
  <c r="N19" i="5" s="1"/>
  <c r="J18" i="2"/>
  <c r="J19" i="2"/>
  <c r="M20" i="5"/>
  <c r="N20" i="5" s="1"/>
  <c r="J22" i="2"/>
  <c r="M23" i="5"/>
  <c r="N23" i="5" s="1"/>
  <c r="J29" i="2"/>
  <c r="M30" i="5"/>
  <c r="N30" i="5" s="1"/>
  <c r="J25" i="2"/>
  <c r="M26" i="5"/>
  <c r="N26" i="5" s="1"/>
  <c r="M29" i="5"/>
  <c r="N29" i="5" s="1"/>
  <c r="J28" i="2"/>
  <c r="J5" i="2"/>
  <c r="M6" i="5"/>
  <c r="N6" i="5" s="1"/>
  <c r="M14" i="5"/>
  <c r="N14" i="5" s="1"/>
  <c r="J13" i="2"/>
  <c r="M25" i="5"/>
  <c r="N25" i="5" s="1"/>
  <c r="J24" i="2"/>
  <c r="J27" i="2"/>
  <c r="M28" i="5"/>
  <c r="N28" i="5" s="1"/>
  <c r="J3" i="2"/>
  <c r="M4" i="5"/>
  <c r="N4" i="5" s="1"/>
  <c r="M27" i="5"/>
  <c r="N27" i="5" s="1"/>
  <c r="J26" i="2"/>
  <c r="M11" i="5"/>
  <c r="N11" i="5" s="1"/>
  <c r="J10" i="2"/>
  <c r="M9" i="5"/>
  <c r="N9" i="5" s="1"/>
  <c r="J8" i="2"/>
  <c r="J15" i="2"/>
  <c r="M16" i="5"/>
  <c r="N16" i="5" s="1"/>
  <c r="K8" i="5"/>
  <c r="J32" i="5"/>
  <c r="K32" i="5" s="1"/>
  <c r="J36" i="5"/>
  <c r="K36" i="5" s="1"/>
  <c r="J23" i="2"/>
  <c r="M24" i="5"/>
  <c r="N24" i="5" s="1"/>
  <c r="J11" i="2"/>
  <c r="M12" i="5"/>
  <c r="N12" i="5" s="1"/>
  <c r="J7" i="2"/>
  <c r="M8" i="5"/>
  <c r="J6" i="2"/>
  <c r="M7" i="5"/>
  <c r="N7" i="5" s="1"/>
  <c r="J21" i="2"/>
  <c r="M22" i="5"/>
  <c r="N22" i="5" s="1"/>
  <c r="J20" i="2"/>
  <c r="M21" i="5"/>
  <c r="N21" i="5" s="1"/>
  <c r="J2" i="2"/>
  <c r="M3" i="5"/>
  <c r="N3" i="5" s="1"/>
  <c r="D6" i="4"/>
  <c r="C2" i="4"/>
  <c r="D3" i="4"/>
  <c r="C5" i="4"/>
  <c r="D4" i="4"/>
  <c r="C3" i="4"/>
  <c r="C7" i="4"/>
  <c r="D7" i="4"/>
  <c r="C6" i="4"/>
  <c r="M36" i="5" l="1"/>
  <c r="Q36" i="5" s="1"/>
  <c r="M32" i="5"/>
  <c r="Q32" i="5" s="1"/>
  <c r="N8" i="5"/>
  <c r="C9" i="4"/>
  <c r="D9" i="4" s="1"/>
  <c r="N32" i="5" l="1"/>
  <c r="R32" i="5"/>
  <c r="N36" i="5"/>
  <c r="R36" i="5"/>
</calcChain>
</file>

<file path=xl/sharedStrings.xml><?xml version="1.0" encoding="utf-8"?>
<sst xmlns="http://schemas.openxmlformats.org/spreadsheetml/2006/main" count="148" uniqueCount="75">
  <si>
    <t>Sample ID</t>
  </si>
  <si>
    <t>Total aliquot (g)</t>
  </si>
  <si>
    <t>Total dilution mass (g)</t>
  </si>
  <si>
    <t>DF initial</t>
  </si>
  <si>
    <t>87G Trace</t>
  </si>
  <si>
    <t>90G Trace</t>
  </si>
  <si>
    <t>93G Trace</t>
  </si>
  <si>
    <t>96G Trace</t>
  </si>
  <si>
    <t>30G Trace Waste</t>
  </si>
  <si>
    <t>30G Trace Original</t>
  </si>
  <si>
    <t>86G Trace</t>
  </si>
  <si>
    <t>24G Taper Waste</t>
  </si>
  <si>
    <t>24G Trace Original</t>
  </si>
  <si>
    <t>47G</t>
  </si>
  <si>
    <t>48G</t>
  </si>
  <si>
    <t>49G</t>
  </si>
  <si>
    <t>50G</t>
  </si>
  <si>
    <t>51G</t>
  </si>
  <si>
    <t>52G</t>
  </si>
  <si>
    <t>42G taper</t>
  </si>
  <si>
    <t>70G</t>
  </si>
  <si>
    <t>71G</t>
  </si>
  <si>
    <t>72G</t>
  </si>
  <si>
    <t>73G</t>
  </si>
  <si>
    <t xml:space="preserve">74G </t>
  </si>
  <si>
    <t xml:space="preserve">75G trace waste </t>
  </si>
  <si>
    <t>**</t>
  </si>
  <si>
    <t>81G trace</t>
  </si>
  <si>
    <t>82G trace</t>
  </si>
  <si>
    <t>83G Trace</t>
  </si>
  <si>
    <t>84G trace</t>
  </si>
  <si>
    <t>53G</t>
  </si>
  <si>
    <t>94G</t>
  </si>
  <si>
    <t>±</t>
  </si>
  <si>
    <t>Avg (ppb/cps)</t>
  </si>
  <si>
    <t>g</t>
  </si>
  <si>
    <t>%</t>
  </si>
  <si>
    <t>Assumed Mass Error =</t>
  </si>
  <si>
    <t xml:space="preserve">Assumed Count Time = </t>
  </si>
  <si>
    <t>seconds</t>
  </si>
  <si>
    <t>ppb</t>
  </si>
  <si>
    <t>You may question, as I did, why the % error decreases…I plugged in the standard error propagation formula, and these are the results</t>
  </si>
  <si>
    <t>If you see an error in my calculations please let me know.</t>
  </si>
  <si>
    <t>These results are before background is subtracted out</t>
  </si>
  <si>
    <t>Some of the % errors drastically increase because the numbers are near the LLD</t>
  </si>
  <si>
    <t>In order to go up to original solutions 93G Trace and 96G Trace had to be multiplied by constants</t>
  </si>
  <si>
    <t>Vial 30G Trace Original is the original stock solution</t>
  </si>
  <si>
    <t>% of STD</t>
  </si>
  <si>
    <t>% of Prop</t>
  </si>
  <si>
    <t>Vial 87G basically vial 30G after 4 TBP contacts</t>
  </si>
  <si>
    <t>Sr 90</t>
  </si>
  <si>
    <t>Sr not given</t>
  </si>
  <si>
    <t>±^2</t>
  </si>
  <si>
    <t>Sum Sr</t>
  </si>
  <si>
    <t>Custom mix (ppb/cps)</t>
  </si>
  <si>
    <t>± (ppb)</t>
  </si>
  <si>
    <t>Background (Zr) (ppb)</t>
  </si>
  <si>
    <t>Fissiogenic Ratio</t>
  </si>
  <si>
    <t>Background</t>
  </si>
  <si>
    <t>Over Pu tot</t>
  </si>
  <si>
    <t>Pu ppb</t>
  </si>
  <si>
    <t>U ppb</t>
  </si>
  <si>
    <t>Average</t>
  </si>
  <si>
    <t>DF M1</t>
  </si>
  <si>
    <t>DF M2</t>
  </si>
  <si>
    <t>DF M3</t>
  </si>
  <si>
    <t>DF MT</t>
  </si>
  <si>
    <t>DF S</t>
  </si>
  <si>
    <t>DF P1</t>
  </si>
  <si>
    <t>DF P2</t>
  </si>
  <si>
    <t>A decontamination factor boasts an engineering feat, we just don’t have that. We can use this data to support science though.</t>
  </si>
  <si>
    <t>Evaporation Correction</t>
  </si>
  <si>
    <t>Cs</t>
  </si>
  <si>
    <t>Cs Response</t>
  </si>
  <si>
    <t>Cs133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</si>
</sst>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3" fillId="0" borderId="2" applyNumberFormat="0" applyFont="0" applyFill="0" applyAlignment="0" applyProtection="0"/>
  </cellStyleXfs>
  <cellXfs count="60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ont="1" applyFill="1" applyBorder="1"/>
    <xf numFmtId="0" fontId="0" fillId="0" borderId="0" xfId="0" applyAlignment="1">
      <alignment horizontal="center"/>
    </xf>
    <xf numFmtId="0" fontId="0" fillId="0" borderId="1" xfId="0" applyFill="1" applyBorder="1"/>
    <xf numFmtId="0" fontId="2" fillId="0" borderId="0" xfId="0" applyFont="1" applyAlignment="1">
      <alignment horizontal="center"/>
    </xf>
    <xf numFmtId="2" fontId="0" fillId="0" borderId="0" xfId="0" applyNumberFormat="1" applyBorder="1"/>
    <xf numFmtId="10" fontId="0" fillId="0" borderId="0" xfId="0" applyNumberFormat="1" applyBorder="1"/>
    <xf numFmtId="10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2" fontId="0" fillId="4" borderId="0" xfId="0" applyNumberFormat="1" applyFill="1" applyBorder="1"/>
    <xf numFmtId="9" fontId="0" fillId="4" borderId="0" xfId="0" applyNumberFormat="1" applyFill="1" applyBorder="1"/>
    <xf numFmtId="0" fontId="0" fillId="4" borderId="0" xfId="0" applyFill="1"/>
    <xf numFmtId="10" fontId="0" fillId="4" borderId="0" xfId="0" applyNumberFormat="1" applyFill="1"/>
    <xf numFmtId="10" fontId="0" fillId="4" borderId="0" xfId="0" applyNumberFormat="1" applyFill="1" applyBorder="1"/>
    <xf numFmtId="0" fontId="0" fillId="0" borderId="0" xfId="0" applyAlignment="1">
      <alignment horizontal="left"/>
    </xf>
    <xf numFmtId="0" fontId="0" fillId="0" borderId="0" xfId="0" applyBorder="1"/>
    <xf numFmtId="0" fontId="0" fillId="0" borderId="2" xfId="1" applyFont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2" fontId="0" fillId="3" borderId="0" xfId="0" applyNumberFormat="1" applyFill="1" applyBorder="1"/>
    <xf numFmtId="9" fontId="0" fillId="3" borderId="0" xfId="0" applyNumberFormat="1" applyFill="1" applyBorder="1"/>
    <xf numFmtId="10" fontId="0" fillId="3" borderId="0" xfId="0" applyNumberFormat="1" applyFill="1"/>
    <xf numFmtId="0" fontId="0" fillId="3" borderId="0" xfId="0" applyFill="1" applyBorder="1"/>
    <xf numFmtId="0" fontId="0" fillId="3" borderId="0" xfId="0" applyFont="1" applyFill="1" applyBorder="1"/>
    <xf numFmtId="10" fontId="0" fillId="3" borderId="0" xfId="0" applyNumberFormat="1" applyFill="1" applyBorder="1"/>
    <xf numFmtId="0" fontId="0" fillId="0" borderId="0" xfId="0" applyAlignment="1">
      <alignment wrapText="1"/>
    </xf>
    <xf numFmtId="0" fontId="0" fillId="0" borderId="3" xfId="0" applyBorder="1"/>
    <xf numFmtId="0" fontId="0" fillId="3" borderId="3" xfId="0" applyFill="1" applyBorder="1"/>
    <xf numFmtId="11" fontId="0" fillId="0" borderId="3" xfId="0" applyNumberFormat="1" applyBorder="1"/>
    <xf numFmtId="0" fontId="0" fillId="4" borderId="3" xfId="0" applyFill="1" applyBorder="1"/>
    <xf numFmtId="0" fontId="0" fillId="0" borderId="4" xfId="0" applyBorder="1" applyAlignment="1">
      <alignment horizontal="center"/>
    </xf>
    <xf numFmtId="0" fontId="0" fillId="0" borderId="4" xfId="0" applyFill="1" applyBorder="1"/>
    <xf numFmtId="0" fontId="0" fillId="3" borderId="4" xfId="0" applyFill="1" applyBorder="1"/>
    <xf numFmtId="0" fontId="0" fillId="0" borderId="4" xfId="0" applyBorder="1"/>
    <xf numFmtId="0" fontId="0" fillId="4" borderId="4" xfId="0" applyFill="1" applyBorder="1"/>
    <xf numFmtId="0" fontId="0" fillId="3" borderId="0" xfId="0" applyFill="1" applyAlignment="1">
      <alignment horizontal="left" wrapText="1"/>
    </xf>
    <xf numFmtId="0" fontId="0" fillId="0" borderId="6" xfId="0" applyFill="1" applyBorder="1"/>
    <xf numFmtId="0" fontId="2" fillId="0" borderId="5" xfId="0" applyFon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7" xfId="0" applyFill="1" applyBorder="1"/>
    <xf numFmtId="0" fontId="0" fillId="0" borderId="5" xfId="0" applyBorder="1"/>
    <xf numFmtId="0" fontId="2" fillId="0" borderId="5" xfId="0" applyFont="1" applyBorder="1"/>
    <xf numFmtId="0" fontId="0" fillId="0" borderId="8" xfId="0" applyBorder="1" applyAlignment="1">
      <alignment wrapText="1"/>
    </xf>
    <xf numFmtId="0" fontId="0" fillId="0" borderId="9" xfId="0" applyBorder="1"/>
    <xf numFmtId="10" fontId="0" fillId="0" borderId="10" xfId="0" applyNumberFormat="1" applyBorder="1"/>
    <xf numFmtId="0" fontId="0" fillId="0" borderId="6" xfId="0" applyBorder="1"/>
    <xf numFmtId="0" fontId="0" fillId="0" borderId="11" xfId="0" applyBorder="1"/>
    <xf numFmtId="0" fontId="0" fillId="0" borderId="8" xfId="0" applyBorder="1"/>
    <xf numFmtId="0" fontId="0" fillId="0" borderId="13" xfId="0" applyBorder="1"/>
    <xf numFmtId="10" fontId="0" fillId="0" borderId="13" xfId="0" applyNumberFormat="1" applyBorder="1"/>
    <xf numFmtId="0" fontId="0" fillId="0" borderId="12" xfId="0" applyBorder="1"/>
    <xf numFmtId="0" fontId="0" fillId="0" borderId="14" xfId="0" applyBorder="1"/>
  </cellXfs>
  <cellStyles count="2">
    <cellStyle name="Normal" xfId="0" builtinId="0"/>
    <cellStyle name="Style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workbookViewId="0">
      <pane ySplit="1" topLeftCell="A2" activePane="bottomLeft" state="frozen"/>
      <selection activeCell="G1" sqref="G1"/>
      <selection pane="bottomLeft" activeCell="J3" sqref="J3"/>
    </sheetView>
  </sheetViews>
  <sheetFormatPr defaultRowHeight="15" x14ac:dyDescent="0.25"/>
  <cols>
    <col min="1" max="1" width="8.140625" customWidth="1"/>
    <col min="2" max="2" width="14.42578125" customWidth="1"/>
    <col min="4" max="4" width="14.28515625" customWidth="1"/>
    <col min="6" max="6" width="5.5703125" bestFit="1" customWidth="1"/>
    <col min="7" max="7" width="8.42578125" bestFit="1" customWidth="1"/>
    <col min="8" max="8" width="13.5703125" customWidth="1"/>
    <col min="9" max="9" width="13.42578125" bestFit="1" customWidth="1"/>
    <col min="10" max="10" width="12" bestFit="1" customWidth="1"/>
    <col min="11" max="11" width="13.42578125" bestFit="1" customWidth="1"/>
    <col min="12" max="12" width="11" customWidth="1"/>
    <col min="13" max="13" width="13.42578125" bestFit="1" customWidth="1"/>
    <col min="14" max="14" width="12" bestFit="1" customWidth="1"/>
    <col min="15" max="15" width="13.42578125" bestFit="1" customWidth="1"/>
    <col min="17" max="17" width="13.42578125" bestFit="1" customWidth="1"/>
    <col min="18" max="18" width="12" bestFit="1" customWidth="1"/>
    <col min="19" max="19" width="13.42578125" bestFit="1" customWidth="1"/>
    <col min="20" max="20" width="12" bestFit="1" customWidth="1"/>
    <col min="26" max="26" width="12" bestFit="1" customWidth="1"/>
  </cols>
  <sheetData>
    <row r="1" spans="1:22" x14ac:dyDescent="0.25">
      <c r="H1" s="34"/>
      <c r="J1" s="5">
        <v>133</v>
      </c>
      <c r="K1" s="5"/>
      <c r="L1" s="38"/>
      <c r="M1" s="5" t="s">
        <v>40</v>
      </c>
      <c r="N1" s="5"/>
      <c r="O1" s="5"/>
    </row>
    <row r="2" spans="1:22" x14ac:dyDescent="0.25">
      <c r="C2" t="s">
        <v>38</v>
      </c>
      <c r="E2">
        <v>40</v>
      </c>
      <c r="F2" t="s">
        <v>39</v>
      </c>
      <c r="H2" s="34" t="s">
        <v>72</v>
      </c>
      <c r="I2" s="5" t="s">
        <v>34</v>
      </c>
      <c r="J2" s="13">
        <f>J19</f>
        <v>1.2521469171582777E-5</v>
      </c>
      <c r="K2" s="5"/>
      <c r="L2" s="38"/>
    </row>
    <row r="3" spans="1:22" x14ac:dyDescent="0.25">
      <c r="C3" t="s">
        <v>37</v>
      </c>
      <c r="E3">
        <v>2.0000000000000001E-4</v>
      </c>
      <c r="F3" t="s">
        <v>35</v>
      </c>
      <c r="H3" s="34"/>
      <c r="I3" s="7" t="s">
        <v>33</v>
      </c>
      <c r="J3" s="13">
        <f>K19</f>
        <v>5.9638E-7</v>
      </c>
      <c r="K3" s="7"/>
      <c r="L3" s="38"/>
      <c r="M3" s="5"/>
      <c r="N3" s="5"/>
      <c r="O3" s="5"/>
      <c r="P3" s="5"/>
      <c r="Q3" s="5"/>
      <c r="R3" s="5"/>
      <c r="S3" s="5"/>
      <c r="T3" s="5"/>
    </row>
    <row r="4" spans="1:22" x14ac:dyDescent="0.25">
      <c r="H4" s="34"/>
      <c r="I4" s="5"/>
      <c r="J4" s="13"/>
      <c r="K4" s="5"/>
      <c r="L4" s="38"/>
      <c r="M4" s="22" t="s">
        <v>43</v>
      </c>
      <c r="N4" s="5"/>
      <c r="P4" s="5"/>
      <c r="Q4" s="5"/>
      <c r="R4" s="5"/>
      <c r="S4" s="5"/>
      <c r="T4" s="5"/>
      <c r="V4" s="5"/>
    </row>
    <row r="5" spans="1:22" ht="60.75" thickBot="1" x14ac:dyDescent="0.3">
      <c r="A5" s="33" t="s">
        <v>71</v>
      </c>
      <c r="B5" s="1" t="s">
        <v>0</v>
      </c>
      <c r="C5" s="2" t="s">
        <v>1</v>
      </c>
      <c r="D5" s="2" t="s">
        <v>2</v>
      </c>
      <c r="E5" s="2" t="s">
        <v>3</v>
      </c>
      <c r="F5" s="7" t="s">
        <v>33</v>
      </c>
      <c r="G5" s="7" t="s">
        <v>36</v>
      </c>
      <c r="H5" s="44"/>
      <c r="I5" s="45"/>
      <c r="J5" s="46"/>
      <c r="K5" s="45"/>
      <c r="L5" s="47"/>
      <c r="M5" s="48" t="s">
        <v>50</v>
      </c>
      <c r="N5" s="49" t="s">
        <v>33</v>
      </c>
      <c r="O5" s="49" t="s">
        <v>36</v>
      </c>
    </row>
    <row r="6" spans="1:22" ht="15.75" thickTop="1" x14ac:dyDescent="0.25">
      <c r="A6">
        <v>1</v>
      </c>
      <c r="B6" s="6" t="s">
        <v>4</v>
      </c>
      <c r="C6" s="3">
        <v>1.34E-2</v>
      </c>
      <c r="D6" s="3">
        <v>5.0464000000000002</v>
      </c>
      <c r="E6" s="3">
        <v>376.597014925373</v>
      </c>
      <c r="F6" s="8">
        <f>(((1/C6)^2)*($E$3^2)+((D6/(C6^2))^2)*($E$3^2))^0.5</f>
        <v>5.6208707851070203</v>
      </c>
      <c r="G6" s="9">
        <f>F6/E6</f>
        <v>1.4925425753098069E-2</v>
      </c>
      <c r="H6" s="34"/>
      <c r="I6" t="s">
        <v>4</v>
      </c>
      <c r="J6">
        <v>15221.279999999999</v>
      </c>
      <c r="K6">
        <f>(J6/$E$2)^0.5</f>
        <v>19.507229429111661</v>
      </c>
      <c r="L6" s="39"/>
      <c r="M6">
        <f t="shared" ref="M6:M11" si="0">$J$2*J6*E6</f>
        <v>71.776675129549943</v>
      </c>
      <c r="N6">
        <f t="shared" ref="N6:N11" si="1">((J6*E6*$J$3)^2+($J$2*E6*K6)^2+($J$2*J6*F6)^2)^0.5</f>
        <v>3.583729643985254</v>
      </c>
      <c r="O6" s="10">
        <f>N6/M6</f>
        <v>4.9928888981231982E-2</v>
      </c>
    </row>
    <row r="7" spans="1:22" x14ac:dyDescent="0.25">
      <c r="A7">
        <v>1</v>
      </c>
      <c r="B7" s="6" t="s">
        <v>5</v>
      </c>
      <c r="C7" s="3">
        <v>3.9E-2</v>
      </c>
      <c r="D7" s="3">
        <v>4.9492000000000003</v>
      </c>
      <c r="E7" s="3">
        <v>126.90256410256411</v>
      </c>
      <c r="F7" s="8">
        <f t="shared" ref="F7:F11" si="2">(((1/C7)^2)*($E$3^2)+((D7/(C7^2))^2)*($E$3^2))^0.5</f>
        <v>0.65080258498519816</v>
      </c>
      <c r="G7" s="9">
        <f t="shared" ref="G7:G11" si="3">F7/E7</f>
        <v>5.1283643446259448E-3</v>
      </c>
      <c r="H7" s="34"/>
      <c r="I7" t="s">
        <v>5</v>
      </c>
      <c r="J7">
        <v>216</v>
      </c>
      <c r="K7">
        <f t="shared" ref="K7:K11" si="4">(J7/$E$2)^0.5</f>
        <v>2.3237900077244502</v>
      </c>
      <c r="L7" s="41"/>
      <c r="M7">
        <f t="shared" si="0"/>
        <v>0.34322541354829378</v>
      </c>
      <c r="N7">
        <f t="shared" si="1"/>
        <v>1.6851368315589914E-2</v>
      </c>
      <c r="O7" s="10">
        <f t="shared" ref="O7:O34" si="5">N7/M7</f>
        <v>4.9097087949808327E-2</v>
      </c>
    </row>
    <row r="8" spans="1:22" x14ac:dyDescent="0.25">
      <c r="A8">
        <v>1</v>
      </c>
      <c r="B8" s="6" t="s">
        <v>6</v>
      </c>
      <c r="C8" s="3">
        <v>5.0299999999999997E-2</v>
      </c>
      <c r="D8" s="3">
        <v>4.9884000000000004</v>
      </c>
      <c r="E8" s="3">
        <v>99.172962226640166</v>
      </c>
      <c r="F8" s="8">
        <f t="shared" si="2"/>
        <v>0.39434593954365693</v>
      </c>
      <c r="G8" s="9">
        <f t="shared" si="3"/>
        <v>3.9763452728421821E-3</v>
      </c>
      <c r="H8" s="34"/>
      <c r="I8" t="s">
        <v>6</v>
      </c>
      <c r="J8">
        <v>151.20000000000002</v>
      </c>
      <c r="K8">
        <f t="shared" si="4"/>
        <v>1.944222209522358</v>
      </c>
      <c r="L8" s="41"/>
      <c r="M8">
        <f t="shared" si="0"/>
        <v>0.18775882780332323</v>
      </c>
      <c r="N8">
        <f t="shared" si="1"/>
        <v>9.2929020106942255E-3</v>
      </c>
      <c r="O8" s="10">
        <f t="shared" si="5"/>
        <v>4.9493822045099847E-2</v>
      </c>
    </row>
    <row r="9" spans="1:22" x14ac:dyDescent="0.25">
      <c r="A9">
        <v>1</v>
      </c>
      <c r="B9" s="6" t="s">
        <v>7</v>
      </c>
      <c r="C9" s="3">
        <v>3.6399999999999995E-2</v>
      </c>
      <c r="D9" s="3">
        <v>4.9635000000000007</v>
      </c>
      <c r="E9" s="3">
        <v>136.35989010989016</v>
      </c>
      <c r="F9" s="8">
        <f t="shared" si="2"/>
        <v>0.74925031224172078</v>
      </c>
      <c r="G9" s="9">
        <f t="shared" si="3"/>
        <v>5.4946532417847541E-3</v>
      </c>
      <c r="H9" s="34"/>
      <c r="I9" t="s">
        <v>7</v>
      </c>
      <c r="J9">
        <v>160</v>
      </c>
      <c r="K9">
        <f t="shared" si="4"/>
        <v>2</v>
      </c>
      <c r="L9" s="41"/>
      <c r="M9">
        <f t="shared" si="0"/>
        <v>0.27318818564022479</v>
      </c>
      <c r="N9">
        <f t="shared" si="1"/>
        <v>1.3535707934647263E-2</v>
      </c>
      <c r="O9" s="10">
        <f t="shared" si="5"/>
        <v>4.9547193642089322E-2</v>
      </c>
    </row>
    <row r="10" spans="1:22" x14ac:dyDescent="0.25">
      <c r="A10">
        <v>1</v>
      </c>
      <c r="B10" s="6" t="s">
        <v>8</v>
      </c>
      <c r="C10" s="3">
        <v>2.8899999999999999E-2</v>
      </c>
      <c r="D10" s="3">
        <v>4.9984000000000002</v>
      </c>
      <c r="E10" s="3">
        <v>172.95501730103808</v>
      </c>
      <c r="F10" s="8">
        <f t="shared" si="2"/>
        <v>1.1969405411901297</v>
      </c>
      <c r="G10" s="9">
        <f t="shared" si="3"/>
        <v>6.9205308979662979E-3</v>
      </c>
      <c r="H10" s="34"/>
      <c r="I10" t="s">
        <v>8</v>
      </c>
      <c r="J10">
        <v>32568.799999999999</v>
      </c>
      <c r="K10">
        <f t="shared" si="4"/>
        <v>28.534540472907569</v>
      </c>
      <c r="L10" s="41"/>
      <c r="M10">
        <f t="shared" si="0"/>
        <v>70.532651592282946</v>
      </c>
      <c r="N10">
        <f t="shared" si="1"/>
        <v>3.3952110316502271</v>
      </c>
      <c r="O10" s="10">
        <f t="shared" si="5"/>
        <v>4.8136727529774319E-2</v>
      </c>
    </row>
    <row r="11" spans="1:22" x14ac:dyDescent="0.25">
      <c r="A11">
        <v>1</v>
      </c>
      <c r="B11" s="6" t="s">
        <v>9</v>
      </c>
      <c r="C11" s="3">
        <v>4.4299999999999999E-2</v>
      </c>
      <c r="D11" s="3">
        <v>4.9031000000000002</v>
      </c>
      <c r="E11" s="3">
        <v>110.67945823927766</v>
      </c>
      <c r="F11" s="8">
        <f t="shared" si="2"/>
        <v>0.499701921883555</v>
      </c>
      <c r="G11" s="9">
        <f t="shared" si="3"/>
        <v>4.5148569556895607E-3</v>
      </c>
      <c r="H11" s="34"/>
      <c r="I11" t="s">
        <v>9</v>
      </c>
      <c r="J11">
        <v>34163.480000000003</v>
      </c>
      <c r="K11">
        <f t="shared" si="4"/>
        <v>29.224766893852209</v>
      </c>
      <c r="L11" s="41"/>
      <c r="M11">
        <f t="shared" si="0"/>
        <v>47.34612235868012</v>
      </c>
      <c r="N11">
        <f t="shared" si="1"/>
        <v>2.26550027535973</v>
      </c>
      <c r="O11" s="10">
        <f t="shared" si="5"/>
        <v>4.7849753316585773E-2</v>
      </c>
    </row>
    <row r="12" spans="1:22" x14ac:dyDescent="0.25">
      <c r="A12">
        <v>1</v>
      </c>
      <c r="B12" s="6" t="s">
        <v>19</v>
      </c>
      <c r="C12" s="3">
        <v>9.3700000000000006E-2</v>
      </c>
      <c r="D12" s="3">
        <v>5.0049000000000001</v>
      </c>
      <c r="E12" s="3">
        <v>53.414087513340448</v>
      </c>
      <c r="F12" s="8">
        <f t="shared" ref="F12:F17" si="6">(((1/C12)^2)*($E$3^2)+((D12/(C12^2))^2)*($E$3^2))^0.5</f>
        <v>0.11403083782205169</v>
      </c>
      <c r="G12" s="9">
        <f t="shared" ref="G12:G17" si="7">F12/E12</f>
        <v>2.1348457519483393E-3</v>
      </c>
      <c r="H12" s="36"/>
      <c r="I12" t="s">
        <v>19</v>
      </c>
      <c r="J12">
        <v>308.8</v>
      </c>
      <c r="K12">
        <f>(J12/$E$2)^0.5</f>
        <v>2.7784887978899611</v>
      </c>
      <c r="L12" s="41"/>
      <c r="M12">
        <f t="shared" ref="M12:M34" si="8">$J$2*J12*E12</f>
        <v>0.20653249611906846</v>
      </c>
      <c r="N12">
        <f t="shared" ref="N12:N34" si="9">((J12*E12*$J$3)^2+($J$2*E12*K12)^2+($J$2*J12*F12)^2)^0.5</f>
        <v>1.0020549979080584E-2</v>
      </c>
      <c r="O12" s="10">
        <f t="shared" si="5"/>
        <v>4.8518030660432324E-2</v>
      </c>
    </row>
    <row r="13" spans="1:22" x14ac:dyDescent="0.25">
      <c r="A13">
        <v>1</v>
      </c>
      <c r="B13" s="6" t="s">
        <v>20</v>
      </c>
      <c r="C13" s="3">
        <v>2.87E-2</v>
      </c>
      <c r="D13" s="3">
        <v>4.9332000000000003</v>
      </c>
      <c r="E13" s="3">
        <v>171.88850174216029</v>
      </c>
      <c r="F13" s="8">
        <f t="shared" si="6"/>
        <v>1.1978495510797849</v>
      </c>
      <c r="G13" s="9">
        <f t="shared" si="7"/>
        <v>6.968759044026154E-3</v>
      </c>
      <c r="H13" s="36"/>
      <c r="I13" t="s">
        <v>20</v>
      </c>
      <c r="J13">
        <v>197.6</v>
      </c>
      <c r="K13">
        <f t="shared" ref="K13:K34" si="10">(J13/$E$2)^0.5</f>
        <v>2.2226110770892866</v>
      </c>
      <c r="L13" s="41"/>
      <c r="M13">
        <f t="shared" si="8"/>
        <v>0.4252938033215688</v>
      </c>
      <c r="N13">
        <f t="shared" si="9"/>
        <v>2.1023305598989152E-2</v>
      </c>
      <c r="O13" s="10">
        <f t="shared" si="5"/>
        <v>4.9432428675884627E-2</v>
      </c>
    </row>
    <row r="14" spans="1:22" x14ac:dyDescent="0.25">
      <c r="A14">
        <v>1</v>
      </c>
      <c r="B14" s="6" t="s">
        <v>21</v>
      </c>
      <c r="C14" s="3">
        <v>4.0600000000000004E-2</v>
      </c>
      <c r="D14" s="3">
        <v>5.0502000000000002</v>
      </c>
      <c r="E14" s="3">
        <v>124.38916256157634</v>
      </c>
      <c r="F14" s="8">
        <f t="shared" si="6"/>
        <v>0.61277429625328761</v>
      </c>
      <c r="G14" s="9">
        <f t="shared" si="7"/>
        <v>4.9262675592815098E-3</v>
      </c>
      <c r="H14" s="34"/>
      <c r="I14" t="s">
        <v>21</v>
      </c>
      <c r="J14">
        <v>212.8</v>
      </c>
      <c r="K14">
        <f t="shared" si="10"/>
        <v>2.3065125189341593</v>
      </c>
      <c r="L14" s="41"/>
      <c r="M14">
        <f t="shared" si="8"/>
        <v>0.33144346168171573</v>
      </c>
      <c r="N14">
        <f t="shared" si="9"/>
        <v>1.6271924676142229E-2</v>
      </c>
      <c r="O14" s="10">
        <f t="shared" si="5"/>
        <v>4.9094118778448298E-2</v>
      </c>
    </row>
    <row r="15" spans="1:22" x14ac:dyDescent="0.25">
      <c r="A15">
        <v>1</v>
      </c>
      <c r="B15" s="6" t="s">
        <v>22</v>
      </c>
      <c r="C15" s="3">
        <v>3.2599999999999997E-2</v>
      </c>
      <c r="D15" s="3">
        <v>4.9707999999999997</v>
      </c>
      <c r="E15" s="3">
        <v>152.47852760736197</v>
      </c>
      <c r="F15" s="8">
        <f t="shared" si="6"/>
        <v>0.93547120688552143</v>
      </c>
      <c r="G15" s="9">
        <f t="shared" si="7"/>
        <v>6.1351012602534798E-3</v>
      </c>
      <c r="H15" s="34"/>
      <c r="I15" t="s">
        <v>22</v>
      </c>
      <c r="J15">
        <v>200.8</v>
      </c>
      <c r="K15">
        <f t="shared" si="10"/>
        <v>2.2405356502408083</v>
      </c>
      <c r="L15" s="41"/>
      <c r="M15">
        <f t="shared" si="8"/>
        <v>0.38337844069899435</v>
      </c>
      <c r="N15">
        <f t="shared" si="9"/>
        <v>1.8901080640997069E-2</v>
      </c>
      <c r="O15" s="10">
        <f t="shared" si="5"/>
        <v>4.9301365529411861E-2</v>
      </c>
    </row>
    <row r="16" spans="1:22" x14ac:dyDescent="0.25">
      <c r="A16">
        <v>1</v>
      </c>
      <c r="B16" s="6" t="s">
        <v>23</v>
      </c>
      <c r="C16" s="3">
        <v>3.2399999999999998E-2</v>
      </c>
      <c r="D16" s="3">
        <v>5.0772000000000004</v>
      </c>
      <c r="E16" s="3">
        <v>156.70370370370372</v>
      </c>
      <c r="F16" s="8">
        <f t="shared" si="6"/>
        <v>0.96732650868068526</v>
      </c>
      <c r="G16" s="9">
        <f t="shared" si="7"/>
        <v>6.1729651936607184E-3</v>
      </c>
      <c r="H16" s="34"/>
      <c r="I16" t="s">
        <v>23</v>
      </c>
      <c r="J16">
        <v>197.6</v>
      </c>
      <c r="K16">
        <f t="shared" si="10"/>
        <v>2.2226110770892866</v>
      </c>
      <c r="L16" s="41"/>
      <c r="M16">
        <f t="shared" si="8"/>
        <v>0.38772293357175652</v>
      </c>
      <c r="N16">
        <f t="shared" si="9"/>
        <v>1.9125028249293897E-2</v>
      </c>
      <c r="O16" s="10">
        <f t="shared" si="5"/>
        <v>4.9326533442609469E-2</v>
      </c>
    </row>
    <row r="17" spans="1:15" x14ac:dyDescent="0.25">
      <c r="A17">
        <v>1</v>
      </c>
      <c r="B17" s="6" t="s">
        <v>24</v>
      </c>
      <c r="C17" s="3">
        <v>6.7900000000000002E-2</v>
      </c>
      <c r="D17" s="3">
        <v>4.9969000000000001</v>
      </c>
      <c r="E17" s="3">
        <v>73.592047128129607</v>
      </c>
      <c r="F17" s="8">
        <f t="shared" si="6"/>
        <v>0.21678598240630462</v>
      </c>
      <c r="G17" s="9">
        <f t="shared" si="7"/>
        <v>2.9457800246929259E-3</v>
      </c>
      <c r="H17" s="34"/>
      <c r="I17" t="s">
        <v>24</v>
      </c>
      <c r="J17">
        <v>232.8</v>
      </c>
      <c r="K17">
        <f t="shared" si="10"/>
        <v>2.4124676163629637</v>
      </c>
      <c r="L17" s="41"/>
      <c r="M17">
        <f t="shared" si="8"/>
        <v>0.2145206718976525</v>
      </c>
      <c r="N17">
        <f t="shared" si="9"/>
        <v>1.0475440273118038E-2</v>
      </c>
      <c r="O17" s="10">
        <f t="shared" si="5"/>
        <v>4.8831845343631289E-2</v>
      </c>
    </row>
    <row r="18" spans="1:15" s="19" customFormat="1" x14ac:dyDescent="0.25">
      <c r="A18" s="19">
        <v>1</v>
      </c>
      <c r="B18" s="15" t="s">
        <v>25</v>
      </c>
      <c r="C18" s="16" t="s">
        <v>26</v>
      </c>
      <c r="D18" s="15">
        <v>5.5175000000000001</v>
      </c>
      <c r="E18" s="16" t="s">
        <v>26</v>
      </c>
      <c r="F18" s="17"/>
      <c r="G18" s="18"/>
      <c r="H18" s="37"/>
      <c r="I18" s="19" t="s">
        <v>25</v>
      </c>
      <c r="J18" s="19">
        <v>205.6</v>
      </c>
      <c r="K18" s="19">
        <f t="shared" si="10"/>
        <v>2.2671568097509267</v>
      </c>
      <c r="L18" s="42"/>
      <c r="M18" s="19" t="e">
        <f t="shared" si="8"/>
        <v>#VALUE!</v>
      </c>
      <c r="N18" s="19" t="e">
        <f t="shared" si="9"/>
        <v>#VALUE!</v>
      </c>
      <c r="O18" s="20" t="e">
        <f t="shared" si="5"/>
        <v>#VALUE!</v>
      </c>
    </row>
    <row r="19" spans="1:15" s="11" customFormat="1" ht="30" x14ac:dyDescent="0.25">
      <c r="B19" s="25"/>
      <c r="C19" s="26"/>
      <c r="D19" s="25"/>
      <c r="E19" s="26"/>
      <c r="F19" s="27"/>
      <c r="G19" s="28"/>
      <c r="H19" s="35" t="s">
        <v>73</v>
      </c>
      <c r="I19" s="43" t="s">
        <v>54</v>
      </c>
      <c r="J19" s="11">
        <v>1.2521469171582777E-5</v>
      </c>
      <c r="K19" s="11">
        <v>5.9638E-7</v>
      </c>
      <c r="L19" s="40"/>
      <c r="O19" s="29"/>
    </row>
    <row r="20" spans="1:15" x14ac:dyDescent="0.25">
      <c r="A20">
        <v>1</v>
      </c>
      <c r="B20" s="6" t="s">
        <v>27</v>
      </c>
      <c r="C20" s="3">
        <v>1.6500000000000001E-2</v>
      </c>
      <c r="D20" s="3">
        <v>4.8581000000000003</v>
      </c>
      <c r="E20" s="3">
        <v>294.43030303030304</v>
      </c>
      <c r="F20" s="8">
        <f>(((1/C20)^2)*($E$3^2)+((D20/(C20^2))^2)*($E$3^2))^0.5</f>
        <v>3.5688727420627053</v>
      </c>
      <c r="G20" s="9">
        <f>F20/E20</f>
        <v>1.2121282032900648E-2</v>
      </c>
      <c r="H20" s="34"/>
      <c r="I20" t="s">
        <v>27</v>
      </c>
      <c r="J20">
        <v>97.600000000000009</v>
      </c>
      <c r="K20">
        <f t="shared" si="10"/>
        <v>1.5620499351813311</v>
      </c>
      <c r="L20" s="41"/>
      <c r="M20">
        <f t="shared" si="8"/>
        <v>0.35982191634719457</v>
      </c>
      <c r="N20">
        <f t="shared" si="9"/>
        <v>1.8598151011312902E-2</v>
      </c>
      <c r="O20" s="10">
        <f t="shared" si="5"/>
        <v>5.1687098996403051E-2</v>
      </c>
    </row>
    <row r="21" spans="1:15" x14ac:dyDescent="0.25">
      <c r="A21">
        <v>1</v>
      </c>
      <c r="B21" s="6" t="s">
        <v>28</v>
      </c>
      <c r="C21" s="3">
        <v>4.0399999999999998E-2</v>
      </c>
      <c r="D21" s="3">
        <v>4.9471999999999996</v>
      </c>
      <c r="E21" s="3">
        <v>122.45544554455445</v>
      </c>
      <c r="F21" s="8">
        <f>(((1/C21)^2)*($E$3^2)+((D21/(C21^2))^2)*($E$3^2))^0.5</f>
        <v>0.6062352900703305</v>
      </c>
      <c r="G21" s="9">
        <f>F21/E21</f>
        <v>4.9506601145782167E-3</v>
      </c>
      <c r="H21" s="34"/>
      <c r="I21" t="s">
        <v>28</v>
      </c>
      <c r="J21">
        <v>152</v>
      </c>
      <c r="K21">
        <f t="shared" si="10"/>
        <v>1.9493588689617927</v>
      </c>
      <c r="L21" s="41"/>
      <c r="M21">
        <f t="shared" si="8"/>
        <v>0.23306495711434297</v>
      </c>
      <c r="N21">
        <f t="shared" si="9"/>
        <v>1.1553690506758765E-2</v>
      </c>
      <c r="O21" s="10">
        <f t="shared" si="5"/>
        <v>4.9572834328287546E-2</v>
      </c>
    </row>
    <row r="22" spans="1:15" s="19" customFormat="1" x14ac:dyDescent="0.25">
      <c r="A22" s="19">
        <v>1</v>
      </c>
      <c r="B22" s="15" t="s">
        <v>29</v>
      </c>
      <c r="C22" s="16" t="s">
        <v>26</v>
      </c>
      <c r="D22" s="15">
        <v>4.9318</v>
      </c>
      <c r="E22" s="16" t="s">
        <v>26</v>
      </c>
      <c r="F22" s="17"/>
      <c r="G22" s="21"/>
      <c r="H22" s="37"/>
      <c r="I22" s="19" t="s">
        <v>29</v>
      </c>
      <c r="J22" s="19">
        <v>92.000000000000014</v>
      </c>
      <c r="K22" s="19">
        <f t="shared" si="10"/>
        <v>1.5165750888103102</v>
      </c>
      <c r="L22" s="42"/>
      <c r="M22" s="19" t="e">
        <f t="shared" si="8"/>
        <v>#VALUE!</v>
      </c>
      <c r="N22" s="19" t="e">
        <f t="shared" si="9"/>
        <v>#VALUE!</v>
      </c>
      <c r="O22" s="20" t="e">
        <f t="shared" si="5"/>
        <v>#VALUE!</v>
      </c>
    </row>
    <row r="23" spans="1:15" x14ac:dyDescent="0.25">
      <c r="A23">
        <v>1</v>
      </c>
      <c r="B23" s="6" t="s">
        <v>30</v>
      </c>
      <c r="C23" s="3">
        <v>3.6400000000000002E-2</v>
      </c>
      <c r="D23" s="3">
        <v>4.9192</v>
      </c>
      <c r="E23" s="3">
        <v>135.14285714285714</v>
      </c>
      <c r="F23" s="8">
        <f t="shared" ref="F23:F34" si="11">(((1/C23)^2)*($E$3^2)+((D23/(C23^2))^2)*($E$3^2))^0.5</f>
        <v>0.7425634993450424</v>
      </c>
      <c r="G23" s="9">
        <f t="shared" ref="G23:G34" si="12">F23/E23</f>
        <v>5.4946559148153244E-3</v>
      </c>
      <c r="H23" s="34"/>
      <c r="I23" t="s">
        <v>30</v>
      </c>
      <c r="J23">
        <v>128.80000000000001</v>
      </c>
      <c r="K23">
        <f t="shared" si="10"/>
        <v>1.794435844492636</v>
      </c>
      <c r="L23" s="41"/>
      <c r="M23">
        <f t="shared" si="8"/>
        <v>0.21795370098823846</v>
      </c>
      <c r="N23">
        <f t="shared" si="9"/>
        <v>1.0881923894728515E-2</v>
      </c>
      <c r="O23" s="10">
        <f t="shared" si="5"/>
        <v>4.9927685767151717E-2</v>
      </c>
    </row>
    <row r="24" spans="1:15" x14ac:dyDescent="0.25">
      <c r="A24">
        <v>1</v>
      </c>
      <c r="B24" s="3" t="s">
        <v>10</v>
      </c>
      <c r="C24" s="3">
        <v>1.21E-2</v>
      </c>
      <c r="D24" s="3">
        <v>4.9885000000000002</v>
      </c>
      <c r="E24" s="3">
        <v>412.27272727272731</v>
      </c>
      <c r="F24" s="8">
        <f t="shared" si="11"/>
        <v>6.8144452902538699</v>
      </c>
      <c r="G24" s="9">
        <f t="shared" si="12"/>
        <v>1.6528974243173664E-2</v>
      </c>
      <c r="H24" s="34"/>
      <c r="I24" t="s">
        <v>10</v>
      </c>
      <c r="J24">
        <v>107.2</v>
      </c>
      <c r="K24">
        <f t="shared" si="10"/>
        <v>1.6370705543744901</v>
      </c>
      <c r="L24" s="41"/>
      <c r="M24">
        <f t="shared" si="8"/>
        <v>0.55339429824575559</v>
      </c>
      <c r="N24">
        <f t="shared" si="9"/>
        <v>2.9151323733560403E-2</v>
      </c>
      <c r="O24" s="10">
        <f t="shared" si="5"/>
        <v>5.2677311323895609E-2</v>
      </c>
    </row>
    <row r="25" spans="1:15" x14ac:dyDescent="0.25">
      <c r="A25">
        <v>1</v>
      </c>
      <c r="B25" s="3" t="s">
        <v>11</v>
      </c>
      <c r="C25" s="3">
        <v>4.9700000000000001E-2</v>
      </c>
      <c r="D25" s="3">
        <v>4.8765000000000001</v>
      </c>
      <c r="E25" s="3">
        <v>98.118712273641847</v>
      </c>
      <c r="F25" s="8">
        <f t="shared" si="11"/>
        <v>0.39486441854832172</v>
      </c>
      <c r="G25" s="9">
        <f t="shared" si="12"/>
        <v>4.0243538607303581E-3</v>
      </c>
      <c r="H25" s="34"/>
      <c r="I25" t="s">
        <v>11</v>
      </c>
      <c r="J25">
        <v>64868.159999999996</v>
      </c>
      <c r="K25">
        <f t="shared" si="10"/>
        <v>40.270386141679843</v>
      </c>
      <c r="L25" s="39"/>
      <c r="M25">
        <f t="shared" si="8"/>
        <v>79.696400645428938</v>
      </c>
      <c r="N25">
        <f t="shared" si="9"/>
        <v>3.8096746864825253</v>
      </c>
      <c r="O25" s="10">
        <f t="shared" si="5"/>
        <v>4.7802343087385499E-2</v>
      </c>
    </row>
    <row r="26" spans="1:15" x14ac:dyDescent="0.25">
      <c r="A26">
        <v>1</v>
      </c>
      <c r="B26" s="3" t="s">
        <v>12</v>
      </c>
      <c r="C26" s="3">
        <v>2.7699999999999999E-2</v>
      </c>
      <c r="D26" s="3">
        <v>4.9138999999999999</v>
      </c>
      <c r="E26" s="3">
        <v>177.39711191335741</v>
      </c>
      <c r="F26" s="8">
        <f t="shared" si="11"/>
        <v>1.2808659236544595</v>
      </c>
      <c r="G26" s="9">
        <f t="shared" si="12"/>
        <v>7.2203313224177392E-3</v>
      </c>
      <c r="H26" s="34"/>
      <c r="I26" t="s">
        <v>12</v>
      </c>
      <c r="J26">
        <v>26340.639999999996</v>
      </c>
      <c r="K26">
        <f t="shared" si="10"/>
        <v>25.661566592864119</v>
      </c>
      <c r="L26" s="41"/>
      <c r="M26">
        <f t="shared" si="8"/>
        <v>58.50973842020683</v>
      </c>
      <c r="N26">
        <f t="shared" si="9"/>
        <v>2.8191528578974405</v>
      </c>
      <c r="O26" s="10">
        <f t="shared" si="5"/>
        <v>4.8182626243357507E-2</v>
      </c>
    </row>
    <row r="27" spans="1:15" x14ac:dyDescent="0.25">
      <c r="A27">
        <v>1</v>
      </c>
      <c r="B27" s="3" t="s">
        <v>31</v>
      </c>
      <c r="C27" s="3">
        <v>1.01E-2</v>
      </c>
      <c r="D27" s="3">
        <v>5.0003000000000002</v>
      </c>
      <c r="E27" s="3">
        <v>495.0792079207921</v>
      </c>
      <c r="F27" s="8">
        <f t="shared" si="11"/>
        <v>9.8035686704785281</v>
      </c>
      <c r="G27" s="9">
        <f t="shared" si="12"/>
        <v>1.9802020593131037E-2</v>
      </c>
      <c r="H27" s="34"/>
      <c r="I27" t="s">
        <v>31</v>
      </c>
      <c r="J27">
        <v>63.2</v>
      </c>
      <c r="K27">
        <f t="shared" si="10"/>
        <v>1.2569805089976536</v>
      </c>
      <c r="L27" s="41"/>
      <c r="M27">
        <f t="shared" si="8"/>
        <v>0.39178432329461893</v>
      </c>
      <c r="N27">
        <f t="shared" si="9"/>
        <v>2.1658880695703334E-2</v>
      </c>
      <c r="O27" s="10">
        <f t="shared" si="5"/>
        <v>5.5282662954882995E-2</v>
      </c>
    </row>
    <row r="28" spans="1:15" x14ac:dyDescent="0.25">
      <c r="A28">
        <v>1</v>
      </c>
      <c r="B28" s="3" t="s">
        <v>32</v>
      </c>
      <c r="C28" s="3">
        <v>5.7000000000000002E-3</v>
      </c>
      <c r="D28" s="3">
        <v>4.8712999999999997</v>
      </c>
      <c r="E28" s="3">
        <v>854.61403508771923</v>
      </c>
      <c r="F28" s="8">
        <f t="shared" si="11"/>
        <v>29.986477899892936</v>
      </c>
      <c r="G28" s="9">
        <f t="shared" si="12"/>
        <v>3.5087743318906607E-2</v>
      </c>
      <c r="H28" s="34"/>
      <c r="I28" t="s">
        <v>32</v>
      </c>
      <c r="J28">
        <v>250.40000000000003</v>
      </c>
      <c r="K28">
        <f t="shared" si="10"/>
        <v>2.5019992006393608</v>
      </c>
      <c r="L28" s="41"/>
      <c r="M28">
        <f t="shared" si="8"/>
        <v>2.6795362328057908</v>
      </c>
      <c r="N28">
        <f t="shared" si="9"/>
        <v>0.16076040971210856</v>
      </c>
      <c r="O28" s="10">
        <f t="shared" si="5"/>
        <v>5.9995609592400787E-2</v>
      </c>
    </row>
    <row r="29" spans="1:15" x14ac:dyDescent="0.25">
      <c r="A29">
        <v>1</v>
      </c>
      <c r="B29" s="3" t="s">
        <v>13</v>
      </c>
      <c r="C29" s="4">
        <v>2.5381</v>
      </c>
      <c r="D29" s="3">
        <v>5.0625</v>
      </c>
      <c r="E29" s="3">
        <v>1.9946022615342185</v>
      </c>
      <c r="F29" s="8">
        <f t="shared" si="11"/>
        <v>1.7581981791480486E-4</v>
      </c>
      <c r="G29" s="9">
        <f t="shared" si="12"/>
        <v>8.8147808365346417E-5</v>
      </c>
      <c r="H29" s="34"/>
      <c r="I29" t="s">
        <v>13</v>
      </c>
      <c r="J29">
        <v>223.2</v>
      </c>
      <c r="K29">
        <f t="shared" si="10"/>
        <v>2.3622023622035435</v>
      </c>
      <c r="L29" s="41"/>
      <c r="M29">
        <f t="shared" si="8"/>
        <v>5.5744982823489851E-3</v>
      </c>
      <c r="N29">
        <f t="shared" si="9"/>
        <v>2.7198171478265605E-4</v>
      </c>
      <c r="O29" s="10">
        <f t="shared" si="5"/>
        <v>4.8790348656820866E-2</v>
      </c>
    </row>
    <row r="30" spans="1:15" x14ac:dyDescent="0.25">
      <c r="A30">
        <v>1</v>
      </c>
      <c r="B30" s="3" t="s">
        <v>14</v>
      </c>
      <c r="C30" s="4">
        <v>2.7002000000000002</v>
      </c>
      <c r="D30" s="3">
        <v>5.3585000000000003</v>
      </c>
      <c r="E30" s="3">
        <v>1.9844826309162285</v>
      </c>
      <c r="F30" s="8">
        <f t="shared" si="11"/>
        <v>1.6459518971101252E-4</v>
      </c>
      <c r="G30" s="9">
        <f t="shared" si="12"/>
        <v>8.2941108753881867E-5</v>
      </c>
      <c r="H30" s="34"/>
      <c r="I30" t="s">
        <v>14</v>
      </c>
      <c r="J30">
        <v>204</v>
      </c>
      <c r="K30">
        <f t="shared" si="10"/>
        <v>2.2583179581272428</v>
      </c>
      <c r="L30" s="41"/>
      <c r="M30">
        <f t="shared" si="8"/>
        <v>5.0691221692500434E-3</v>
      </c>
      <c r="N30">
        <f t="shared" si="9"/>
        <v>2.4787121499958659E-4</v>
      </c>
      <c r="O30" s="10">
        <f t="shared" si="5"/>
        <v>4.8898252344992933E-2</v>
      </c>
    </row>
    <row r="31" spans="1:15" x14ac:dyDescent="0.25">
      <c r="A31">
        <v>1</v>
      </c>
      <c r="B31" s="3" t="s">
        <v>15</v>
      </c>
      <c r="C31" s="4">
        <v>2.6623999999999999</v>
      </c>
      <c r="D31" s="3">
        <v>5.5254000000000003</v>
      </c>
      <c r="E31" s="3">
        <v>2.0753455528846154</v>
      </c>
      <c r="F31" s="8">
        <f t="shared" si="11"/>
        <v>1.7305480235115642E-4</v>
      </c>
      <c r="G31" s="9">
        <f t="shared" si="12"/>
        <v>8.3386018347942026E-5</v>
      </c>
      <c r="H31" s="34"/>
      <c r="I31" t="s">
        <v>15</v>
      </c>
      <c r="J31">
        <v>166.39999999999998</v>
      </c>
      <c r="K31">
        <f t="shared" si="10"/>
        <v>2.0396078054371136</v>
      </c>
      <c r="L31" s="41"/>
      <c r="M31">
        <f t="shared" si="8"/>
        <v>4.3241328600414665E-3</v>
      </c>
      <c r="N31">
        <f t="shared" si="9"/>
        <v>2.1266340919264025E-4</v>
      </c>
      <c r="O31" s="10">
        <f t="shared" si="5"/>
        <v>4.9180590901316781E-2</v>
      </c>
    </row>
    <row r="32" spans="1:15" x14ac:dyDescent="0.25">
      <c r="A32">
        <v>1</v>
      </c>
      <c r="B32" s="3" t="s">
        <v>16</v>
      </c>
      <c r="C32" s="4">
        <v>2.5741999999999998</v>
      </c>
      <c r="D32" s="3">
        <v>5.1252000000000004</v>
      </c>
      <c r="E32" s="3">
        <v>1.9909874912594208</v>
      </c>
      <c r="F32" s="8">
        <f t="shared" si="11"/>
        <v>1.7310314585262601E-4</v>
      </c>
      <c r="G32" s="9">
        <f t="shared" si="12"/>
        <v>8.6943361830529498E-5</v>
      </c>
      <c r="H32" s="34"/>
      <c r="I32" t="s">
        <v>16</v>
      </c>
      <c r="J32">
        <v>292</v>
      </c>
      <c r="K32">
        <f t="shared" si="10"/>
        <v>2.7018512172212592</v>
      </c>
      <c r="L32" s="41"/>
      <c r="M32">
        <f t="shared" si="8"/>
        <v>7.2795858399010366E-3</v>
      </c>
      <c r="N32">
        <f t="shared" si="9"/>
        <v>3.5319926211662149E-4</v>
      </c>
      <c r="O32" s="10">
        <f t="shared" si="5"/>
        <v>4.8519142418880126E-2</v>
      </c>
    </row>
    <row r="33" spans="1:15" x14ac:dyDescent="0.25">
      <c r="A33">
        <v>1</v>
      </c>
      <c r="B33" s="3" t="s">
        <v>17</v>
      </c>
      <c r="C33" s="4">
        <v>2.5093000000000001</v>
      </c>
      <c r="D33" s="3">
        <v>5.0574000000000003</v>
      </c>
      <c r="E33" s="3">
        <v>2.0154624795759775</v>
      </c>
      <c r="F33" s="8">
        <f t="shared" si="11"/>
        <v>1.7932560206231394E-4</v>
      </c>
      <c r="G33" s="9">
        <f t="shared" si="12"/>
        <v>8.8974914631028662E-5</v>
      </c>
      <c r="H33" s="34"/>
      <c r="I33" t="s">
        <v>17</v>
      </c>
      <c r="J33">
        <v>219.2</v>
      </c>
      <c r="K33">
        <f t="shared" si="10"/>
        <v>2.340939982143925</v>
      </c>
      <c r="L33" s="41"/>
      <c r="M33">
        <f t="shared" si="8"/>
        <v>5.5318520459447301E-3</v>
      </c>
      <c r="N33">
        <f t="shared" si="9"/>
        <v>2.7001684371773856E-4</v>
      </c>
      <c r="O33" s="10">
        <f t="shared" si="5"/>
        <v>4.8811291675033411E-2</v>
      </c>
    </row>
    <row r="34" spans="1:15" x14ac:dyDescent="0.25">
      <c r="A34">
        <v>1</v>
      </c>
      <c r="B34" s="3" t="s">
        <v>18</v>
      </c>
      <c r="C34" s="4">
        <v>2.4788999999999999</v>
      </c>
      <c r="D34" s="3">
        <v>5.0540000000000003</v>
      </c>
      <c r="E34" s="3">
        <v>2.0388075356004682</v>
      </c>
      <c r="F34" s="8">
        <f t="shared" si="11"/>
        <v>1.8321391048842223E-4</v>
      </c>
      <c r="G34" s="9">
        <f t="shared" si="12"/>
        <v>8.9863269234220384E-5</v>
      </c>
      <c r="H34" s="34"/>
      <c r="I34" t="s">
        <v>18</v>
      </c>
      <c r="J34">
        <v>348.8</v>
      </c>
      <c r="K34">
        <f t="shared" si="10"/>
        <v>2.9529646120466801</v>
      </c>
      <c r="L34" s="39"/>
      <c r="M34">
        <f t="shared" si="8"/>
        <v>8.9044683574895974E-3</v>
      </c>
      <c r="N34">
        <f t="shared" si="9"/>
        <v>4.3075595270387391E-4</v>
      </c>
      <c r="O34" s="10">
        <f t="shared" si="5"/>
        <v>4.8375257838000257E-2</v>
      </c>
    </row>
    <row r="35" spans="1:15" s="11" customFormat="1" ht="30" x14ac:dyDescent="0.25">
      <c r="B35" s="30"/>
      <c r="C35" s="31"/>
      <c r="D35" s="30"/>
      <c r="E35" s="30"/>
      <c r="F35" s="27"/>
      <c r="G35" s="32"/>
      <c r="H35" s="35" t="s">
        <v>73</v>
      </c>
      <c r="I35" s="12" t="s">
        <v>54</v>
      </c>
      <c r="J35" s="11">
        <v>1.1103831536683074E-5</v>
      </c>
      <c r="K35" s="11">
        <v>5.2870000000000002E-7</v>
      </c>
      <c r="L35" s="40"/>
      <c r="O35" s="29"/>
    </row>
    <row r="36" spans="1:15" ht="30" x14ac:dyDescent="0.25">
      <c r="A36" s="33" t="s">
        <v>47</v>
      </c>
      <c r="B36">
        <f>1/8</f>
        <v>0.125</v>
      </c>
    </row>
    <row r="37" spans="1:15" ht="30" x14ac:dyDescent="0.25">
      <c r="A37" s="33" t="s">
        <v>48</v>
      </c>
      <c r="B37">
        <v>0.5</v>
      </c>
    </row>
    <row r="40" spans="1:15" x14ac:dyDescent="0.25">
      <c r="C40" s="5"/>
    </row>
    <row r="41" spans="1:15" x14ac:dyDescent="0.25">
      <c r="C41" s="7"/>
      <c r="D41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7" bestFit="1" customWidth="1"/>
  </cols>
  <sheetData>
    <row r="1" spans="1:10" x14ac:dyDescent="0.25">
      <c r="A1" t="str">
        <f>Cs_Calculations!B5</f>
        <v>Sample ID</v>
      </c>
      <c r="B1" t="s">
        <v>74</v>
      </c>
      <c r="C1" t="str">
        <f>Cs_Calculations!N5</f>
        <v>±</v>
      </c>
      <c r="D1" s="56" t="str">
        <f>Cs_Calculations!O5</f>
        <v>%</v>
      </c>
      <c r="F1" t="s">
        <v>52</v>
      </c>
      <c r="H1" t="s">
        <v>53</v>
      </c>
      <c r="I1" t="s">
        <v>33</v>
      </c>
      <c r="J1" t="s">
        <v>36</v>
      </c>
    </row>
    <row r="2" spans="1:10" x14ac:dyDescent="0.25">
      <c r="A2" t="str">
        <f>Cs_Calculations!B6</f>
        <v>87G Trace</v>
      </c>
      <c r="B2">
        <f>IF(Cs_Calculations!M6&gt;SUM($B$30:$D$30),((Cs_Calculations!M6-SUM($B$30:$D$30))*$B$32)*Cs_Calculations!A6,"LLD")</f>
        <v>71.776675129549943</v>
      </c>
      <c r="C2">
        <f>IF(Cs_Calculations!M6&gt;SUM($B$30:$D$30),((Cs_Calculations!N6^2+$B$31^2+$C$31^2+$D$31^2)^0.5)*Cs_Calculations!A6,"LLD")</f>
        <v>3.583729643985254</v>
      </c>
      <c r="D2" s="57">
        <f>IF(Cs_Calculations!M6&gt;SUM($B$30:$D$30),C2/B2,"LLD")</f>
        <v>4.9928888981231982E-2</v>
      </c>
      <c r="F2">
        <f t="shared" ref="F2:F29" si="0">IF(C2="LLD","LLD",C2^2)</f>
        <v>12.843118161178674</v>
      </c>
      <c r="H2">
        <f t="shared" ref="H2:H29" si="1">IF(SUM(B2)=0,"LLD",SUM(B2))</f>
        <v>71.776675129549943</v>
      </c>
      <c r="I2">
        <f t="shared" ref="I2:I29" si="2">IF(H2="LLD","LLD",SUM(F2)^0.5)</f>
        <v>3.583729643985254</v>
      </c>
      <c r="J2" s="10">
        <f>IF(H2="LLD","LLD",I2/H2)</f>
        <v>4.9928888981231982E-2</v>
      </c>
    </row>
    <row r="3" spans="1:10" x14ac:dyDescent="0.25">
      <c r="A3" t="str">
        <f>Cs_Calculations!B7</f>
        <v>90G Trace</v>
      </c>
      <c r="B3">
        <f>IF(Cs_Calculations!M7&gt;SUM($B$30:$D$30),((Cs_Calculations!M7-SUM($B$30:$D$30))*$B$32)*Cs_Calculations!A7,"LLD")</f>
        <v>0.34322541354829378</v>
      </c>
      <c r="C3">
        <f>IF(Cs_Calculations!M7&gt;SUM($B$30:$D$30),((Cs_Calculations!N7^2+$B$31^2+$C$31^2+$D$31^2)^0.5)*Cs_Calculations!A7,"LLD")</f>
        <v>1.6851368315589914E-2</v>
      </c>
      <c r="D3" s="57">
        <f>IF(Cs_Calculations!M7&gt;SUM($B$30:$D$30),C3/B3,"LLD")</f>
        <v>4.9097087949808327E-2</v>
      </c>
      <c r="F3">
        <f t="shared" si="0"/>
        <v>2.8396861410766766E-4</v>
      </c>
      <c r="H3">
        <f t="shared" si="1"/>
        <v>0.34322541354829378</v>
      </c>
      <c r="I3">
        <f t="shared" si="2"/>
        <v>1.6851368315589914E-2</v>
      </c>
      <c r="J3" s="10">
        <f t="shared" ref="J3:J29" si="3">IF(H3="LLD","LLD",I3/H3)</f>
        <v>4.9097087949808327E-2</v>
      </c>
    </row>
    <row r="4" spans="1:10" x14ac:dyDescent="0.25">
      <c r="A4" t="str">
        <f>Cs_Calculations!B8</f>
        <v>93G Trace</v>
      </c>
      <c r="B4">
        <f>IF(Cs_Calculations!M8&gt;SUM($B$30:$D$30),((Cs_Calculations!M8-SUM($B$30:$D$30))*$B$32)*Cs_Calculations!A8,"LLD")</f>
        <v>0.18775882780332323</v>
      </c>
      <c r="C4">
        <f>IF(Cs_Calculations!M8&gt;SUM($B$30:$D$30),((Cs_Calculations!N8^2+$B$31^2+$C$31^2+$D$31^2)^0.5)*Cs_Calculations!A8,"LLD")</f>
        <v>9.2929020106942255E-3</v>
      </c>
      <c r="D4" s="57">
        <f>IF(Cs_Calculations!M8&gt;SUM($B$30:$D$30),C4/B4,"LLD")</f>
        <v>4.9493822045099847E-2</v>
      </c>
      <c r="F4">
        <f t="shared" si="0"/>
        <v>8.6358027780364776E-5</v>
      </c>
      <c r="H4">
        <f t="shared" si="1"/>
        <v>0.18775882780332323</v>
      </c>
      <c r="I4">
        <f t="shared" si="2"/>
        <v>9.2929020106942255E-3</v>
      </c>
      <c r="J4" s="10">
        <f t="shared" si="3"/>
        <v>4.9493822045099847E-2</v>
      </c>
    </row>
    <row r="5" spans="1:10" x14ac:dyDescent="0.25">
      <c r="A5" t="str">
        <f>Cs_Calculations!B9</f>
        <v>96G Trace</v>
      </c>
      <c r="B5">
        <f>IF(Cs_Calculations!M9&gt;SUM($B$30:$D$30),((Cs_Calculations!M9-SUM($B$30:$D$30))*$B$32)*Cs_Calculations!A9,"LLD")</f>
        <v>0.27318818564022479</v>
      </c>
      <c r="C5">
        <f>IF(Cs_Calculations!M9&gt;SUM($B$30:$D$30),((Cs_Calculations!N9^2+$B$31^2+$C$31^2+$D$31^2)^0.5)*Cs_Calculations!A9,"LLD")</f>
        <v>1.3535707934647263E-2</v>
      </c>
      <c r="D5" s="57">
        <f>IF(Cs_Calculations!M9&gt;SUM($B$30:$D$30),C5/B5,"LLD")</f>
        <v>4.9547193642089322E-2</v>
      </c>
      <c r="F5">
        <f t="shared" si="0"/>
        <v>1.8321538929207289E-4</v>
      </c>
      <c r="H5">
        <f t="shared" si="1"/>
        <v>0.27318818564022479</v>
      </c>
      <c r="I5">
        <f t="shared" si="2"/>
        <v>1.3535707934647263E-2</v>
      </c>
      <c r="J5" s="10">
        <f t="shared" si="3"/>
        <v>4.9547193642089322E-2</v>
      </c>
    </row>
    <row r="6" spans="1:10" x14ac:dyDescent="0.25">
      <c r="A6" t="str">
        <f>Cs_Calculations!B10</f>
        <v>30G Trace Waste</v>
      </c>
      <c r="B6">
        <f>IF(Cs_Calculations!M10&gt;SUM($B$30:$D$30),((Cs_Calculations!M10-SUM($B$30:$D$30))*$B$32)*Cs_Calculations!A10,"LLD")</f>
        <v>70.532651592282946</v>
      </c>
      <c r="C6">
        <f>IF(Cs_Calculations!M10&gt;SUM($B$30:$D$30),((Cs_Calculations!N10^2+$B$31^2+$C$31^2+$D$31^2)^0.5)*Cs_Calculations!A10,"LLD")</f>
        <v>3.3952110316502271</v>
      </c>
      <c r="D6" s="57">
        <f>IF(Cs_Calculations!M10&gt;SUM($B$30:$D$30),C6/B6,"LLD")</f>
        <v>4.8136727529774319E-2</v>
      </c>
      <c r="F6">
        <f t="shared" si="0"/>
        <v>11.5274579494394</v>
      </c>
      <c r="H6">
        <f t="shared" si="1"/>
        <v>70.532651592282946</v>
      </c>
      <c r="I6">
        <f t="shared" si="2"/>
        <v>3.3952110316502271</v>
      </c>
      <c r="J6" s="10">
        <f t="shared" si="3"/>
        <v>4.8136727529774319E-2</v>
      </c>
    </row>
    <row r="7" spans="1:10" x14ac:dyDescent="0.25">
      <c r="A7" t="str">
        <f>Cs_Calculations!B11</f>
        <v>30G Trace Original</v>
      </c>
      <c r="B7">
        <f>IF(Cs_Calculations!M11&gt;SUM($B$30:$D$30),((Cs_Calculations!M11-SUM($B$30:$D$30))*$B$32)*Cs_Calculations!A11,"LLD")</f>
        <v>47.34612235868012</v>
      </c>
      <c r="C7">
        <f>IF(Cs_Calculations!M11&gt;SUM($B$30:$D$30),((Cs_Calculations!N11^2+$B$31^2+$C$31^2+$D$31^2)^0.5)*Cs_Calculations!A11,"LLD")</f>
        <v>2.26550027535973</v>
      </c>
      <c r="D7" s="57">
        <f>IF(Cs_Calculations!M11&gt;SUM($B$30:$D$30),C7/B7,"LLD")</f>
        <v>4.7849753316585773E-2</v>
      </c>
      <c r="F7">
        <f t="shared" si="0"/>
        <v>5.1324914976550122</v>
      </c>
      <c r="H7">
        <f t="shared" si="1"/>
        <v>47.34612235868012</v>
      </c>
      <c r="I7">
        <f t="shared" si="2"/>
        <v>2.26550027535973</v>
      </c>
      <c r="J7" s="10">
        <f t="shared" si="3"/>
        <v>4.7849753316585773E-2</v>
      </c>
    </row>
    <row r="8" spans="1:10" x14ac:dyDescent="0.25">
      <c r="A8" t="str">
        <f>Cs_Calculations!B12</f>
        <v>42G taper</v>
      </c>
      <c r="B8">
        <f>IF(Cs_Calculations!M12&gt;SUM($B$30:$D$30),((Cs_Calculations!M12-SUM($B$30:$D$30))*$B$32)*Cs_Calculations!A12,"LLD")</f>
        <v>0.20653249611906846</v>
      </c>
      <c r="C8">
        <f>IF(Cs_Calculations!M12&gt;SUM($B$30:$D$30),((Cs_Calculations!N12^2+$B$31^2+$C$31^2+$D$31^2)^0.5)*Cs_Calculations!A12,"LLD")</f>
        <v>1.0020549979080584E-2</v>
      </c>
      <c r="D8" s="57">
        <f>IF(Cs_Calculations!M12&gt;SUM($B$30:$D$30),C8/B8,"LLD")</f>
        <v>4.8518030660432324E-2</v>
      </c>
      <c r="F8">
        <f t="shared" si="0"/>
        <v>1.004114218832519E-4</v>
      </c>
      <c r="H8">
        <f t="shared" si="1"/>
        <v>0.20653249611906846</v>
      </c>
      <c r="I8">
        <f t="shared" si="2"/>
        <v>1.0020549979080584E-2</v>
      </c>
      <c r="J8" s="10">
        <f t="shared" si="3"/>
        <v>4.8518030660432324E-2</v>
      </c>
    </row>
    <row r="9" spans="1:10" x14ac:dyDescent="0.25">
      <c r="A9" t="str">
        <f>Cs_Calculations!B13</f>
        <v>70G</v>
      </c>
      <c r="B9">
        <f>IF(Cs_Calculations!M13&gt;SUM($B$30:$D$30),((Cs_Calculations!M13-SUM($B$30:$D$30))*$B$32)*Cs_Calculations!A13,"LLD")</f>
        <v>0.4252938033215688</v>
      </c>
      <c r="C9">
        <f>IF(Cs_Calculations!M13&gt;SUM($B$30:$D$30),((Cs_Calculations!N13^2+$B$31^2+$C$31^2+$D$31^2)^0.5)*Cs_Calculations!A13,"LLD")</f>
        <v>2.1023305598989152E-2</v>
      </c>
      <c r="D9" s="57">
        <f>IF(Cs_Calculations!M13&gt;SUM($B$30:$D$30),C9/B9,"LLD")</f>
        <v>4.9432428675884627E-2</v>
      </c>
      <c r="F9">
        <f t="shared" si="0"/>
        <v>4.4197937830848865E-4</v>
      </c>
      <c r="H9">
        <f t="shared" si="1"/>
        <v>0.4252938033215688</v>
      </c>
      <c r="I9">
        <f t="shared" si="2"/>
        <v>2.1023305598989152E-2</v>
      </c>
      <c r="J9" s="10">
        <f t="shared" si="3"/>
        <v>4.9432428675884627E-2</v>
      </c>
    </row>
    <row r="10" spans="1:10" x14ac:dyDescent="0.25">
      <c r="A10" t="str">
        <f>Cs_Calculations!B14</f>
        <v>71G</v>
      </c>
      <c r="B10">
        <f>IF(Cs_Calculations!M14&gt;SUM($B$30:$D$30),((Cs_Calculations!M14-SUM($B$30:$D$30))*$B$32)*Cs_Calculations!A14,"LLD")</f>
        <v>0.33144346168171573</v>
      </c>
      <c r="C10">
        <f>IF(Cs_Calculations!M14&gt;SUM($B$30:$D$30),((Cs_Calculations!N14^2+$B$31^2+$C$31^2+$D$31^2)^0.5)*Cs_Calculations!A14,"LLD")</f>
        <v>1.6271924676142229E-2</v>
      </c>
      <c r="D10" s="57">
        <f>IF(Cs_Calculations!M14&gt;SUM($B$30:$D$30),C10/B10,"LLD")</f>
        <v>4.9094118778448298E-2</v>
      </c>
      <c r="F10">
        <f t="shared" si="0"/>
        <v>2.6477553266604639E-4</v>
      </c>
      <c r="H10">
        <f t="shared" si="1"/>
        <v>0.33144346168171573</v>
      </c>
      <c r="I10">
        <f t="shared" si="2"/>
        <v>1.6271924676142229E-2</v>
      </c>
      <c r="J10" s="10">
        <f t="shared" si="3"/>
        <v>4.9094118778448298E-2</v>
      </c>
    </row>
    <row r="11" spans="1:10" x14ac:dyDescent="0.25">
      <c r="A11" t="str">
        <f>Cs_Calculations!B15</f>
        <v>72G</v>
      </c>
      <c r="B11">
        <f>IF(Cs_Calculations!M15&gt;SUM($B$30:$D$30),((Cs_Calculations!M15-SUM($B$30:$D$30))*$B$32)*Cs_Calculations!A15,"LLD")</f>
        <v>0.38337844069899435</v>
      </c>
      <c r="C11">
        <f>IF(Cs_Calculations!M15&gt;SUM($B$30:$D$30),((Cs_Calculations!N15^2+$B$31^2+$C$31^2+$D$31^2)^0.5)*Cs_Calculations!A15,"LLD")</f>
        <v>1.8901080640997069E-2</v>
      </c>
      <c r="D11" s="57">
        <f>IF(Cs_Calculations!M15&gt;SUM($B$30:$D$30),C11/B11,"LLD")</f>
        <v>4.9301365529411861E-2</v>
      </c>
      <c r="F11">
        <f t="shared" si="0"/>
        <v>3.5725084939747416E-4</v>
      </c>
      <c r="H11">
        <f t="shared" si="1"/>
        <v>0.38337844069899435</v>
      </c>
      <c r="I11">
        <f t="shared" si="2"/>
        <v>1.8901080640997069E-2</v>
      </c>
      <c r="J11" s="10">
        <f t="shared" si="3"/>
        <v>4.9301365529411861E-2</v>
      </c>
    </row>
    <row r="12" spans="1:10" x14ac:dyDescent="0.25">
      <c r="A12" t="str">
        <f>Cs_Calculations!B16</f>
        <v>73G</v>
      </c>
      <c r="B12">
        <f>IF(Cs_Calculations!M16&gt;SUM($B$30:$D$30),((Cs_Calculations!M16-SUM($B$30:$D$30))*$B$32)*Cs_Calculations!A16,"LLD")</f>
        <v>0.38772293357175652</v>
      </c>
      <c r="C12">
        <f>IF(Cs_Calculations!M16&gt;SUM($B$30:$D$30),((Cs_Calculations!N16^2+$B$31^2+$C$31^2+$D$31^2)^0.5)*Cs_Calculations!A16,"LLD")</f>
        <v>1.9125028249293897E-2</v>
      </c>
      <c r="D12" s="57">
        <f>IF(Cs_Calculations!M16&gt;SUM($B$30:$D$30),C12/B12,"LLD")</f>
        <v>4.9326533442609469E-2</v>
      </c>
      <c r="F12">
        <f t="shared" si="0"/>
        <v>3.6576670553628956E-4</v>
      </c>
      <c r="H12">
        <f t="shared" si="1"/>
        <v>0.38772293357175652</v>
      </c>
      <c r="I12">
        <f t="shared" si="2"/>
        <v>1.9125028249293897E-2</v>
      </c>
      <c r="J12" s="10">
        <f t="shared" si="3"/>
        <v>4.9326533442609469E-2</v>
      </c>
    </row>
    <row r="13" spans="1:10" x14ac:dyDescent="0.25">
      <c r="A13" t="str">
        <f>Cs_Calculations!B17</f>
        <v xml:space="preserve">74G </v>
      </c>
      <c r="B13">
        <f>IF(Cs_Calculations!M17&gt;SUM($B$30:$D$30),((Cs_Calculations!M17-SUM($B$30:$D$30))*$B$32)*Cs_Calculations!A17,"LLD")</f>
        <v>0.2145206718976525</v>
      </c>
      <c r="C13">
        <f>IF(Cs_Calculations!M17&gt;SUM($B$30:$D$30),((Cs_Calculations!N17^2+$B$31^2+$C$31^2+$D$31^2)^0.5)*Cs_Calculations!A17,"LLD")</f>
        <v>1.0475440273118038E-2</v>
      </c>
      <c r="D13" s="57">
        <f>IF(Cs_Calculations!M17&gt;SUM($B$30:$D$30),C13/B13,"LLD")</f>
        <v>4.8831845343631289E-2</v>
      </c>
      <c r="F13">
        <f t="shared" si="0"/>
        <v>1.0973484891566331E-4</v>
      </c>
      <c r="H13">
        <f t="shared" si="1"/>
        <v>0.2145206718976525</v>
      </c>
      <c r="I13">
        <f t="shared" si="2"/>
        <v>1.0475440273118038E-2</v>
      </c>
      <c r="J13" s="10">
        <f t="shared" si="3"/>
        <v>4.8831845343631289E-2</v>
      </c>
    </row>
    <row r="14" spans="1:10" x14ac:dyDescent="0.25">
      <c r="A14" t="str">
        <f>Cs_Calculations!B18</f>
        <v xml:space="preserve">75G trace waste </v>
      </c>
      <c r="B14" t="e">
        <f>IF(Cs_Calculations!M18&gt;SUM($B$30:$D$30),((Cs_Calculations!M18-SUM($B$30:$D$30))*$B$32)*Cs_Calculations!A18,"LLD")</f>
        <v>#VALUE!</v>
      </c>
      <c r="C14" t="e">
        <f>IF(Cs_Calculations!M18&gt;SUM($B$30:$D$30),((Cs_Calculations!N18^2+$B$31^2+$C$31^2+$D$31^2)^0.5)*Cs_Calculations!A18,"LLD")</f>
        <v>#VALUE!</v>
      </c>
      <c r="D14" s="57" t="e">
        <f>IF(Cs_Calculations!M18&gt;SUM($B$30:$D$30),C14/B14,"LLD")</f>
        <v>#VALUE!</v>
      </c>
      <c r="F14" t="e">
        <f t="shared" si="0"/>
        <v>#VALUE!</v>
      </c>
      <c r="H14" t="e">
        <f t="shared" si="1"/>
        <v>#VALUE!</v>
      </c>
      <c r="I14" t="e">
        <f t="shared" si="2"/>
        <v>#VALUE!</v>
      </c>
      <c r="J14" s="10" t="e">
        <f t="shared" si="3"/>
        <v>#VALUE!</v>
      </c>
    </row>
    <row r="15" spans="1:10" x14ac:dyDescent="0.25">
      <c r="A15" t="str">
        <f>Cs_Calculations!B20</f>
        <v>81G trace</v>
      </c>
      <c r="B15">
        <f>IF(Cs_Calculations!M20&gt;SUM($B$30:$D$30),((Cs_Calculations!M20-SUM($B$30:$D$30))*$B$32)*Cs_Calculations!A20,"LLD")</f>
        <v>0.35982191634719457</v>
      </c>
      <c r="C15">
        <f>IF(Cs_Calculations!M20&gt;SUM($B$30:$D$30),((Cs_Calculations!N20^2+$B$31^2+$C$31^2+$D$31^2)^0.5)*Cs_Calculations!A20,"LLD")</f>
        <v>1.8598151011312902E-2</v>
      </c>
      <c r="D15" s="57">
        <f>IF(Cs_Calculations!M20&gt;SUM($B$30:$D$30),C15/B15,"LLD")</f>
        <v>5.1687098996403051E-2</v>
      </c>
      <c r="F15">
        <f t="shared" si="0"/>
        <v>3.4589122103959914E-4</v>
      </c>
      <c r="H15">
        <f t="shared" si="1"/>
        <v>0.35982191634719457</v>
      </c>
      <c r="I15">
        <f t="shared" si="2"/>
        <v>1.8598151011312902E-2</v>
      </c>
      <c r="J15" s="10">
        <f t="shared" si="3"/>
        <v>5.1687098996403051E-2</v>
      </c>
    </row>
    <row r="16" spans="1:10" x14ac:dyDescent="0.25">
      <c r="A16" t="str">
        <f>Cs_Calculations!B21</f>
        <v>82G trace</v>
      </c>
      <c r="B16">
        <f>IF(Cs_Calculations!M21&gt;SUM($B$30:$D$30),((Cs_Calculations!M21-SUM($B$30:$D$30))*$B$32)*Cs_Calculations!A21,"LLD")</f>
        <v>0.23306495711434297</v>
      </c>
      <c r="C16">
        <f>IF(Cs_Calculations!M21&gt;SUM($B$30:$D$30),((Cs_Calculations!N21^2+$B$31^2+$C$31^2+$D$31^2)^0.5)*Cs_Calculations!A21,"LLD")</f>
        <v>1.1553690506758765E-2</v>
      </c>
      <c r="D16" s="57">
        <f>IF(Cs_Calculations!M21&gt;SUM($B$30:$D$30),C16/B16,"LLD")</f>
        <v>4.9572834328287546E-2</v>
      </c>
      <c r="F16">
        <f t="shared" si="0"/>
        <v>1.3348776432596762E-4</v>
      </c>
      <c r="H16">
        <f t="shared" si="1"/>
        <v>0.23306495711434297</v>
      </c>
      <c r="I16">
        <f t="shared" si="2"/>
        <v>1.1553690506758765E-2</v>
      </c>
      <c r="J16" s="10">
        <f t="shared" si="3"/>
        <v>4.9572834328287546E-2</v>
      </c>
    </row>
    <row r="17" spans="1:10" x14ac:dyDescent="0.25">
      <c r="A17" t="str">
        <f>Cs_Calculations!B22</f>
        <v>83G Trace</v>
      </c>
      <c r="B17" t="e">
        <f>IF(Cs_Calculations!M22&gt;SUM($B$30:$D$30),((Cs_Calculations!M22-SUM($B$30:$D$30))*$B$32)*Cs_Calculations!A22,"LLD")</f>
        <v>#VALUE!</v>
      </c>
      <c r="C17" t="e">
        <f>IF(Cs_Calculations!M22&gt;SUM($B$30:$D$30),((Cs_Calculations!N22^2+$B$31^2+$C$31^2+$D$31^2)^0.5)*Cs_Calculations!A22,"LLD")</f>
        <v>#VALUE!</v>
      </c>
      <c r="D17" s="57" t="e">
        <f>IF(Cs_Calculations!M22&gt;SUM($B$30:$D$30),C17/B17,"LLD")</f>
        <v>#VALUE!</v>
      </c>
      <c r="F17" t="e">
        <f t="shared" si="0"/>
        <v>#VALUE!</v>
      </c>
      <c r="H17" t="e">
        <f t="shared" si="1"/>
        <v>#VALUE!</v>
      </c>
      <c r="I17" t="e">
        <f t="shared" si="2"/>
        <v>#VALUE!</v>
      </c>
      <c r="J17" s="10" t="e">
        <f t="shared" si="3"/>
        <v>#VALUE!</v>
      </c>
    </row>
    <row r="18" spans="1:10" x14ac:dyDescent="0.25">
      <c r="A18" t="str">
        <f>Cs_Calculations!B23</f>
        <v>84G trace</v>
      </c>
      <c r="B18">
        <f>IF(Cs_Calculations!M23&gt;SUM($B$30:$D$30),((Cs_Calculations!M23-SUM($B$30:$D$30))*$B$32)*Cs_Calculations!A23,"LLD")</f>
        <v>0.21795370098823846</v>
      </c>
      <c r="C18">
        <f>IF(Cs_Calculations!M23&gt;SUM($B$30:$D$30),((Cs_Calculations!N23^2+$B$31^2+$C$31^2+$D$31^2)^0.5)*Cs_Calculations!A23,"LLD")</f>
        <v>1.0881923894728515E-2</v>
      </c>
      <c r="D18" s="57">
        <f>IF(Cs_Calculations!M23&gt;SUM($B$30:$D$30),C18/B18,"LLD")</f>
        <v>4.9927685767151717E-2</v>
      </c>
      <c r="F18">
        <f t="shared" si="0"/>
        <v>1.1841626765066342E-4</v>
      </c>
      <c r="H18">
        <f t="shared" si="1"/>
        <v>0.21795370098823846</v>
      </c>
      <c r="I18">
        <f t="shared" si="2"/>
        <v>1.0881923894728515E-2</v>
      </c>
      <c r="J18" s="10">
        <f t="shared" si="3"/>
        <v>4.9927685767151717E-2</v>
      </c>
    </row>
    <row r="19" spans="1:10" x14ac:dyDescent="0.25">
      <c r="A19" t="str">
        <f>Cs_Calculations!B24</f>
        <v>86G Trace</v>
      </c>
      <c r="B19">
        <f>IF(Cs_Calculations!M24&gt;SUM($B$30:$D$30),((Cs_Calculations!M24-SUM($B$30:$D$30))*$B$32)*Cs_Calculations!A24,"LLD")</f>
        <v>0.55339429824575559</v>
      </c>
      <c r="C19">
        <f>IF(Cs_Calculations!M24&gt;SUM($B$30:$D$30),((Cs_Calculations!N24^2+$B$31^2+$C$31^2+$D$31^2)^0.5)*Cs_Calculations!A24,"LLD")</f>
        <v>2.9151323733560403E-2</v>
      </c>
      <c r="D19" s="57">
        <f>IF(Cs_Calculations!M24&gt;SUM($B$30:$D$30),C19/B19,"LLD")</f>
        <v>5.2677311323895609E-2</v>
      </c>
      <c r="F19">
        <f t="shared" si="0"/>
        <v>8.497996754188421E-4</v>
      </c>
      <c r="H19">
        <f t="shared" si="1"/>
        <v>0.55339429824575559</v>
      </c>
      <c r="I19">
        <f t="shared" si="2"/>
        <v>2.9151323733560403E-2</v>
      </c>
      <c r="J19" s="10">
        <f t="shared" si="3"/>
        <v>5.2677311323895609E-2</v>
      </c>
    </row>
    <row r="20" spans="1:10" x14ac:dyDescent="0.25">
      <c r="A20" t="str">
        <f>Cs_Calculations!B25</f>
        <v>24G Taper Waste</v>
      </c>
      <c r="B20">
        <f>IF(Cs_Calculations!M25&gt;SUM($B$30:$D$30),((Cs_Calculations!M25-SUM($B$30:$D$30))*$B$32)*Cs_Calculations!A25,"LLD")</f>
        <v>79.696400645428938</v>
      </c>
      <c r="C20">
        <f>IF(Cs_Calculations!M25&gt;SUM($B$30:$D$30),((Cs_Calculations!N25^2+$B$31^2+$C$31^2+$D$31^2)^0.5)*Cs_Calculations!A25,"LLD")</f>
        <v>3.8096746864825253</v>
      </c>
      <c r="D20" s="57">
        <f>IF(Cs_Calculations!M25&gt;SUM($B$30:$D$30),C20/B20,"LLD")</f>
        <v>4.7802343087385499E-2</v>
      </c>
      <c r="F20">
        <f t="shared" si="0"/>
        <v>14.513621216825728</v>
      </c>
      <c r="H20">
        <f t="shared" si="1"/>
        <v>79.696400645428938</v>
      </c>
      <c r="I20">
        <f t="shared" si="2"/>
        <v>3.8096746864825253</v>
      </c>
      <c r="J20" s="10">
        <f t="shared" si="3"/>
        <v>4.7802343087385499E-2</v>
      </c>
    </row>
    <row r="21" spans="1:10" x14ac:dyDescent="0.25">
      <c r="A21" t="str">
        <f>Cs_Calculations!B26</f>
        <v>24G Trace Original</v>
      </c>
      <c r="B21">
        <f>IF(Cs_Calculations!M26&gt;SUM($B$30:$D$30),((Cs_Calculations!M26-SUM($B$30:$D$30))*$B$32)*Cs_Calculations!A26,"LLD")</f>
        <v>58.50973842020683</v>
      </c>
      <c r="C21">
        <f>IF(Cs_Calculations!M26&gt;SUM($B$30:$D$30),((Cs_Calculations!N26^2+$B$31^2+$C$31^2+$D$31^2)^0.5)*Cs_Calculations!A26,"LLD")</f>
        <v>2.8191528578974405</v>
      </c>
      <c r="D21" s="57">
        <f>IF(Cs_Calculations!M26&gt;SUM($B$30:$D$30),C21/B21,"LLD")</f>
        <v>4.8182626243357507E-2</v>
      </c>
      <c r="F21">
        <f t="shared" si="0"/>
        <v>7.9476228361913064</v>
      </c>
      <c r="H21">
        <f t="shared" si="1"/>
        <v>58.50973842020683</v>
      </c>
      <c r="I21">
        <f t="shared" si="2"/>
        <v>2.8191528578974405</v>
      </c>
      <c r="J21" s="10">
        <f t="shared" si="3"/>
        <v>4.8182626243357507E-2</v>
      </c>
    </row>
    <row r="22" spans="1:10" x14ac:dyDescent="0.25">
      <c r="A22" t="str">
        <f>Cs_Calculations!B27</f>
        <v>53G</v>
      </c>
      <c r="B22">
        <f>IF(Cs_Calculations!M27&gt;SUM($B$30:$D$30),((Cs_Calculations!M27-SUM($B$30:$D$30))*$B$32)*Cs_Calculations!A27,"LLD")</f>
        <v>0.39178432329461893</v>
      </c>
      <c r="C22">
        <f>IF(Cs_Calculations!M27&gt;SUM($B$30:$D$30),((Cs_Calculations!N27^2+$B$31^2+$C$31^2+$D$31^2)^0.5)*Cs_Calculations!A27,"LLD")</f>
        <v>2.1658880695703334E-2</v>
      </c>
      <c r="D22" s="57">
        <f>IF(Cs_Calculations!M27&gt;SUM($B$30:$D$30),C22/B22,"LLD")</f>
        <v>5.5282662954882995E-2</v>
      </c>
      <c r="F22">
        <f t="shared" si="0"/>
        <v>4.691071129907105E-4</v>
      </c>
      <c r="H22">
        <f t="shared" si="1"/>
        <v>0.39178432329461893</v>
      </c>
      <c r="I22">
        <f t="shared" si="2"/>
        <v>2.1658880695703334E-2</v>
      </c>
      <c r="J22" s="10">
        <f t="shared" si="3"/>
        <v>5.5282662954882995E-2</v>
      </c>
    </row>
    <row r="23" spans="1:10" x14ac:dyDescent="0.25">
      <c r="A23" t="str">
        <f>Cs_Calculations!B28</f>
        <v>94G</v>
      </c>
      <c r="B23">
        <f>IF(Cs_Calculations!M28&gt;SUM($B$30:$D$30),((Cs_Calculations!M28-SUM($B$30:$D$30))*$B$32)*Cs_Calculations!A28,"LLD")</f>
        <v>2.6795362328057908</v>
      </c>
      <c r="C23">
        <f>IF(Cs_Calculations!M28&gt;SUM($B$30:$D$30),((Cs_Calculations!N28^2+$B$31^2+$C$31^2+$D$31^2)^0.5)*Cs_Calculations!A28,"LLD")</f>
        <v>0.16076040971210856</v>
      </c>
      <c r="D23" s="57">
        <f>IF(Cs_Calculations!M28&gt;SUM($B$30:$D$30),C23/B23,"LLD")</f>
        <v>5.9995609592400787E-2</v>
      </c>
      <c r="F23">
        <f t="shared" si="0"/>
        <v>2.5843909330805007E-2</v>
      </c>
      <c r="H23">
        <f t="shared" si="1"/>
        <v>2.6795362328057908</v>
      </c>
      <c r="I23">
        <f t="shared" si="2"/>
        <v>0.16076040971210856</v>
      </c>
      <c r="J23" s="10">
        <f t="shared" si="3"/>
        <v>5.9995609592400787E-2</v>
      </c>
    </row>
    <row r="24" spans="1:10" x14ac:dyDescent="0.25">
      <c r="A24" t="str">
        <f>Cs_Calculations!B29</f>
        <v>47G</v>
      </c>
      <c r="B24">
        <f>IF(Cs_Calculations!M29&gt;SUM($B$30:$D$30),((Cs_Calculations!M29-SUM($B$30:$D$30))*$B$32)*Cs_Calculations!A29,"LLD")</f>
        <v>5.5744982823489851E-3</v>
      </c>
      <c r="C24">
        <f>IF(Cs_Calculations!M29&gt;SUM($B$30:$D$30),((Cs_Calculations!N29^2+$B$31^2+$C$31^2+$D$31^2)^0.5)*Cs_Calculations!A29,"LLD")</f>
        <v>2.7198171478265605E-4</v>
      </c>
      <c r="D24" s="57">
        <f>IF(Cs_Calculations!M29&gt;SUM($B$30:$D$30),C24/B24,"LLD")</f>
        <v>4.8790348656820866E-2</v>
      </c>
      <c r="F24">
        <f t="shared" si="0"/>
        <v>7.3974053176114063E-8</v>
      </c>
      <c r="H24">
        <f t="shared" si="1"/>
        <v>5.5744982823489851E-3</v>
      </c>
      <c r="I24">
        <f t="shared" si="2"/>
        <v>2.7198171478265605E-4</v>
      </c>
      <c r="J24" s="10">
        <f t="shared" si="3"/>
        <v>4.8790348656820866E-2</v>
      </c>
    </row>
    <row r="25" spans="1:10" x14ac:dyDescent="0.25">
      <c r="A25" t="str">
        <f>Cs_Calculations!B30</f>
        <v>48G</v>
      </c>
      <c r="B25">
        <f>IF(Cs_Calculations!M30&gt;SUM($B$30:$D$30),((Cs_Calculations!M30-SUM($B$30:$D$30))*$B$32)*Cs_Calculations!A30,"LLD")</f>
        <v>5.0691221692500434E-3</v>
      </c>
      <c r="C25">
        <f>IF(Cs_Calculations!M30&gt;SUM($B$30:$D$30),((Cs_Calculations!N30^2+$B$31^2+$C$31^2+$D$31^2)^0.5)*Cs_Calculations!A30,"LLD")</f>
        <v>2.4787121499958659E-4</v>
      </c>
      <c r="D25" s="57">
        <f>IF(Cs_Calculations!M30&gt;SUM($B$30:$D$30),C25/B25,"LLD")</f>
        <v>4.8898252344992933E-2</v>
      </c>
      <c r="F25">
        <f t="shared" si="0"/>
        <v>6.1440139225371275E-8</v>
      </c>
      <c r="H25">
        <f t="shared" si="1"/>
        <v>5.0691221692500434E-3</v>
      </c>
      <c r="I25">
        <f t="shared" si="2"/>
        <v>2.4787121499958659E-4</v>
      </c>
      <c r="J25" s="10">
        <f t="shared" si="3"/>
        <v>4.8898252344992933E-2</v>
      </c>
    </row>
    <row r="26" spans="1:10" x14ac:dyDescent="0.25">
      <c r="A26" t="str">
        <f>Cs_Calculations!B31</f>
        <v>49G</v>
      </c>
      <c r="B26">
        <f>IF(Cs_Calculations!M31&gt;SUM($B$30:$D$30),((Cs_Calculations!M31-SUM($B$30:$D$30))*$B$32)*Cs_Calculations!A31,"LLD")</f>
        <v>4.3241328600414665E-3</v>
      </c>
      <c r="C26">
        <f>IF(Cs_Calculations!M31&gt;SUM($B$30:$D$30),((Cs_Calculations!N31^2+$B$31^2+$C$31^2+$D$31^2)^0.5)*Cs_Calculations!A31,"LLD")</f>
        <v>2.1266340919264025E-4</v>
      </c>
      <c r="D26" s="57">
        <f>IF(Cs_Calculations!M31&gt;SUM($B$30:$D$30),C26/B26,"LLD")</f>
        <v>4.9180590901316781E-2</v>
      </c>
      <c r="F26">
        <f t="shared" si="0"/>
        <v>4.5225725609436347E-8</v>
      </c>
      <c r="H26">
        <f t="shared" si="1"/>
        <v>4.3241328600414665E-3</v>
      </c>
      <c r="I26">
        <f t="shared" si="2"/>
        <v>2.1266340919264025E-4</v>
      </c>
      <c r="J26" s="10">
        <f t="shared" si="3"/>
        <v>4.9180590901316781E-2</v>
      </c>
    </row>
    <row r="27" spans="1:10" x14ac:dyDescent="0.25">
      <c r="A27" t="str">
        <f>Cs_Calculations!B32</f>
        <v>50G</v>
      </c>
      <c r="B27">
        <f>IF(Cs_Calculations!M32&gt;SUM($B$30:$D$30),((Cs_Calculations!M32-SUM($B$30:$D$30))*$B$32)*Cs_Calculations!A32,"LLD")</f>
        <v>7.2795858399010366E-3</v>
      </c>
      <c r="C27">
        <f>IF(Cs_Calculations!M32&gt;SUM($B$30:$D$30),((Cs_Calculations!N32^2+$B$31^2+$C$31^2+$D$31^2)^0.5)*Cs_Calculations!A32,"LLD")</f>
        <v>3.5319926211662149E-4</v>
      </c>
      <c r="D27" s="57">
        <f>IF(Cs_Calculations!M32&gt;SUM($B$30:$D$30),C27/B27,"LLD")</f>
        <v>4.8519142418880126E-2</v>
      </c>
      <c r="F27">
        <f t="shared" si="0"/>
        <v>1.2474971875972588E-7</v>
      </c>
      <c r="H27">
        <f t="shared" si="1"/>
        <v>7.2795858399010366E-3</v>
      </c>
      <c r="I27">
        <f t="shared" si="2"/>
        <v>3.5319926211662149E-4</v>
      </c>
      <c r="J27" s="10">
        <f t="shared" si="3"/>
        <v>4.8519142418880126E-2</v>
      </c>
    </row>
    <row r="28" spans="1:10" x14ac:dyDescent="0.25">
      <c r="A28" t="str">
        <f>Cs_Calculations!B33</f>
        <v>51G</v>
      </c>
      <c r="B28">
        <f>IF(Cs_Calculations!M33&gt;SUM($B$30:$D$30),((Cs_Calculations!M33-SUM($B$30:$D$30))*$B$32)*Cs_Calculations!A33,"LLD")</f>
        <v>5.5318520459447301E-3</v>
      </c>
      <c r="C28">
        <f>IF(Cs_Calculations!M33&gt;SUM($B$30:$D$30),((Cs_Calculations!N33^2+$B$31^2+$C$31^2+$D$31^2)^0.5)*Cs_Calculations!A33,"LLD")</f>
        <v>2.7001684371773856E-4</v>
      </c>
      <c r="D28" s="57">
        <f>IF(Cs_Calculations!M33&gt;SUM($B$30:$D$30),C28/B28,"LLD")</f>
        <v>4.8811291675033411E-2</v>
      </c>
      <c r="F28">
        <f t="shared" si="0"/>
        <v>7.2909095891289646E-8</v>
      </c>
      <c r="H28">
        <f t="shared" si="1"/>
        <v>5.5318520459447301E-3</v>
      </c>
      <c r="I28">
        <f t="shared" si="2"/>
        <v>2.7001684371773856E-4</v>
      </c>
      <c r="J28" s="10">
        <f t="shared" si="3"/>
        <v>4.8811291675033411E-2</v>
      </c>
    </row>
    <row r="29" spans="1:10" ht="15.75" thickBot="1" x14ac:dyDescent="0.3">
      <c r="A29" t="str">
        <f>Cs_Calculations!B34</f>
        <v>52G</v>
      </c>
      <c r="B29">
        <f>IF(Cs_Calculations!M34&gt;SUM($B$30:$D$30),((Cs_Calculations!M34-SUM($B$30:$D$30))*$B$32)*Cs_Calculations!A34,"LLD")</f>
        <v>8.9044683574895974E-3</v>
      </c>
      <c r="C29">
        <f>IF(Cs_Calculations!M34&gt;SUM($B$30:$D$30),((Cs_Calculations!N34^2+$B$31^2+$C$31^2+$D$31^2)^0.5)*Cs_Calculations!A34,"LLD")</f>
        <v>4.3075595270387391E-4</v>
      </c>
      <c r="D29" s="57">
        <f>IF(Cs_Calculations!M34&gt;SUM($B$30:$D$30),C29/B29,"LLD")</f>
        <v>4.8375257838000257E-2</v>
      </c>
      <c r="F29">
        <f t="shared" si="0"/>
        <v>1.8555069078982207E-7</v>
      </c>
      <c r="H29">
        <f t="shared" si="1"/>
        <v>8.9044683574895974E-3</v>
      </c>
      <c r="I29">
        <f t="shared" si="2"/>
        <v>4.3075595270387391E-4</v>
      </c>
      <c r="J29" s="10">
        <f t="shared" si="3"/>
        <v>4.8375257838000257E-2</v>
      </c>
    </row>
    <row r="30" spans="1:10" ht="31.5" thickTop="1" thickBot="1" x14ac:dyDescent="0.3">
      <c r="A30" s="50" t="s">
        <v>56</v>
      </c>
      <c r="B30" s="55">
        <v>0</v>
      </c>
      <c r="C30" s="55">
        <f>C37/PPB_Sr_to_Stock!$B$15</f>
        <v>0</v>
      </c>
      <c r="D30" s="55">
        <f>D37/PPB_Sr_to_Stock!$B$15</f>
        <v>0</v>
      </c>
      <c r="J30" s="10"/>
    </row>
    <row r="31" spans="1:10" ht="16.5" thickTop="1" thickBot="1" x14ac:dyDescent="0.3">
      <c r="A31" s="53" t="s">
        <v>55</v>
      </c>
      <c r="B31" s="55">
        <v>0</v>
      </c>
      <c r="C31" s="55">
        <f>C38/PPB_Sr_to_Stock!$B$15</f>
        <v>0</v>
      </c>
      <c r="D31" s="55">
        <f>D38/PPB_Sr_to_Stock!$B$15</f>
        <v>0</v>
      </c>
    </row>
    <row r="32" spans="1:10" ht="16.5" thickTop="1" thickBot="1" x14ac:dyDescent="0.3">
      <c r="A32" s="58" t="s">
        <v>57</v>
      </c>
      <c r="B32" s="59">
        <v>1</v>
      </c>
      <c r="C32" s="23"/>
      <c r="D32" s="23"/>
    </row>
    <row r="33" spans="2:14" ht="15.75" thickTop="1" x14ac:dyDescent="0.25">
      <c r="N33" s="23"/>
    </row>
    <row r="34" spans="2:14" x14ac:dyDescent="0.25">
      <c r="N34" s="23"/>
    </row>
    <row r="36" spans="2:14" ht="15.75" thickBot="1" x14ac:dyDescent="0.3">
      <c r="K36" t="s">
        <v>41</v>
      </c>
    </row>
    <row r="37" spans="2:14" ht="15.75" thickTop="1" x14ac:dyDescent="0.25">
      <c r="B37" s="55">
        <v>0.28599999999999998</v>
      </c>
      <c r="C37" s="51"/>
      <c r="D37" s="52"/>
      <c r="K37" t="s">
        <v>42</v>
      </c>
    </row>
    <row r="38" spans="2:14" ht="15.75" thickBot="1" x14ac:dyDescent="0.3">
      <c r="B38" s="53">
        <v>0.215</v>
      </c>
      <c r="C38" s="48"/>
      <c r="D38" s="54"/>
      <c r="K38" t="s">
        <v>44</v>
      </c>
    </row>
    <row r="39" spans="2:14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selection activeCell="E36" sqref="E36"/>
    </sheetView>
  </sheetViews>
  <sheetFormatPr defaultRowHeight="15" x14ac:dyDescent="0.25"/>
  <sheetData>
    <row r="1" spans="1:18" x14ac:dyDescent="0.25">
      <c r="I1" t="s">
        <v>59</v>
      </c>
    </row>
    <row r="2" spans="1:18" x14ac:dyDescent="0.25">
      <c r="A2" t="s">
        <v>0</v>
      </c>
      <c r="B2" t="s">
        <v>60</v>
      </c>
      <c r="C2" t="s">
        <v>33</v>
      </c>
      <c r="D2" t="s">
        <v>36</v>
      </c>
      <c r="E2" t="s">
        <v>61</v>
      </c>
      <c r="F2" t="s">
        <v>33</v>
      </c>
      <c r="G2" t="s">
        <v>36</v>
      </c>
      <c r="I2" t="str">
        <f>PPB_Sr_Aliquot_Sent!B1</f>
        <v>Cs133</v>
      </c>
      <c r="J2" t="str">
        <f>PPB_Sr_Aliquot_Sent!C1</f>
        <v>±</v>
      </c>
      <c r="K2" t="str">
        <f>PPB_Sr_Aliquot_Sent!D1</f>
        <v>%</v>
      </c>
      <c r="L2" t="str">
        <f>PPB_Sr_Aliquot_Sent!H1</f>
        <v>Sum Sr</v>
      </c>
      <c r="M2" t="str">
        <f>PPB_Sr_Aliquot_Sent!I1</f>
        <v>±</v>
      </c>
      <c r="N2" t="str">
        <f>PPB_Sr_Aliquot_Sent!J1</f>
        <v>%</v>
      </c>
    </row>
    <row r="3" spans="1:18" x14ac:dyDescent="0.25">
      <c r="A3" t="s">
        <v>4</v>
      </c>
      <c r="B3">
        <v>16.222168082066549</v>
      </c>
      <c r="C3">
        <v>0.18048887306052336</v>
      </c>
      <c r="D3">
        <v>1.1126063553739901E-2</v>
      </c>
      <c r="E3">
        <v>147.14483425909813</v>
      </c>
      <c r="F3">
        <v>3.3284350764654405</v>
      </c>
      <c r="G3">
        <v>2.2620128618342165E-2</v>
      </c>
      <c r="I3">
        <f>IF(PPB_Sr_Aliquot_Sent!B2="LLD","LLD",PPB_Sr_Aliquot_Sent!B2/B3)</f>
        <v>4.4246043294853026</v>
      </c>
      <c r="J3">
        <f>IF(I3="LLD","LLD",((PPB_Sr_Aliquot_Sent!C2/B3)^2+((PPB_Sr_Aliquot_Sent!B2*C3)^2)/(B3^4))^0.5)</f>
        <v>0.22633411359710007</v>
      </c>
      <c r="K3" s="10">
        <f>IF(I3="LLD","LLD",J3/I3)</f>
        <v>5.1153526223536618E-2</v>
      </c>
      <c r="L3">
        <f>IF(PPB_Sr_Aliquot_Sent!H2="LLD","LLD",PPB_Sr_Aliquot_Sent!H2/B3)</f>
        <v>4.4246043294853026</v>
      </c>
      <c r="M3">
        <f>IF(L3="LLD","LLD",((PPB_Sr_Aliquot_Sent!I2/B3)^2+((L3*C3)^2)/(B3^2))^0.5)</f>
        <v>0.22633411359710007</v>
      </c>
      <c r="N3" s="10">
        <f>IF(L3="LLD","LLD",M3/L3)</f>
        <v>5.1153526223536618E-2</v>
      </c>
    </row>
    <row r="4" spans="1:18" x14ac:dyDescent="0.25">
      <c r="A4" t="s">
        <v>5</v>
      </c>
      <c r="B4">
        <v>317.03283010032436</v>
      </c>
      <c r="C4">
        <v>1.7785995702331086</v>
      </c>
      <c r="D4">
        <v>5.6101431819230666E-3</v>
      </c>
      <c r="E4">
        <v>1209.5541597455838</v>
      </c>
      <c r="F4">
        <v>21.497816728767241</v>
      </c>
      <c r="G4">
        <v>1.7773339503283647E-2</v>
      </c>
      <c r="I4">
        <f>IF(PPB_Sr_Aliquot_Sent!B3="LLD","LLD",PPB_Sr_Aliquot_Sent!B3/B4)</f>
        <v>1.0826178898875579E-3</v>
      </c>
      <c r="J4">
        <f>IF(I4="LLD","LLD",((PPB_Sr_Aliquot_Sent!C3/B4)^2+((PPB_Sr_Aliquot_Sent!B3*C4)^2)/(B4^4))^0.5)</f>
        <v>5.3499266694456392E-5</v>
      </c>
      <c r="K4" s="10">
        <f t="shared" ref="K4:K30" si="0">IF(I4="LLD","LLD",J4/I4)</f>
        <v>4.9416573653713498E-2</v>
      </c>
      <c r="L4">
        <f>IF(PPB_Sr_Aliquot_Sent!H3="LLD","LLD",PPB_Sr_Aliquot_Sent!H3/B4)</f>
        <v>1.0826178898875579E-3</v>
      </c>
      <c r="M4">
        <f>IF(L4="LLD","LLD",((PPB_Sr_Aliquot_Sent!I3/B4)^2+((L4*C4)^2)/(B4^2))^0.5)</f>
        <v>5.3499266694456392E-5</v>
      </c>
      <c r="N4" s="10">
        <f t="shared" ref="N4:N30" si="1">IF(L4="LLD","LLD",M4/L4)</f>
        <v>4.9416573653713498E-2</v>
      </c>
    </row>
    <row r="5" spans="1:18" x14ac:dyDescent="0.25">
      <c r="A5" t="s">
        <v>6</v>
      </c>
      <c r="B5">
        <v>23.657804657347775</v>
      </c>
      <c r="C5">
        <v>0.11346477136017526</v>
      </c>
      <c r="D5">
        <v>4.7960820119856183E-3</v>
      </c>
      <c r="E5">
        <v>5.997005804364143</v>
      </c>
      <c r="F5">
        <v>0.10559180913132844</v>
      </c>
      <c r="G5">
        <v>1.7607421532673379E-2</v>
      </c>
      <c r="I5">
        <f>IF(PPB_Sr_Aliquot_Sent!B4="LLD","LLD",PPB_Sr_Aliquot_Sent!B4/B5)</f>
        <v>7.9364434072714367E-3</v>
      </c>
      <c r="J5">
        <f>IF(I5="LLD","LLD",((PPB_Sr_Aliquot_Sent!C4/B5)^2+((PPB_Sr_Aliquot_Sent!B4*C5)^2)/(B5^4))^0.5)</f>
        <v>3.946448514350082E-4</v>
      </c>
      <c r="K5" s="10">
        <f t="shared" si="0"/>
        <v>4.9725655584393284E-2</v>
      </c>
      <c r="L5">
        <f>IF(PPB_Sr_Aliquot_Sent!H4="LLD","LLD",PPB_Sr_Aliquot_Sent!H4/B5)</f>
        <v>7.9364434072714367E-3</v>
      </c>
      <c r="M5">
        <f>IF(L5="LLD","LLD",((PPB_Sr_Aliquot_Sent!I4/B5)^2+((L5*C5)^2)/(B5^2))^0.5)</f>
        <v>3.946448514350082E-4</v>
      </c>
      <c r="N5" s="10">
        <f t="shared" si="1"/>
        <v>4.9725655584393284E-2</v>
      </c>
    </row>
    <row r="6" spans="1:18" x14ac:dyDescent="0.25">
      <c r="A6" t="s">
        <v>7</v>
      </c>
      <c r="B6">
        <v>1.8878511569293668</v>
      </c>
      <c r="C6">
        <v>1.1342253582892873E-2</v>
      </c>
      <c r="D6">
        <v>6.0080232179645504E-3</v>
      </c>
      <c r="E6">
        <v>4.8567704262399571</v>
      </c>
      <c r="F6">
        <v>8.7239407241545303E-2</v>
      </c>
      <c r="G6">
        <v>1.7962431736573723E-2</v>
      </c>
      <c r="I6">
        <f>IF(PPB_Sr_Aliquot_Sent!B5="LLD","LLD",PPB_Sr_Aliquot_Sent!B5/B6)</f>
        <v>0.1447085405210502</v>
      </c>
      <c r="J6">
        <f>IF(I6="LLD","LLD",((PPB_Sr_Aliquot_Sent!C5/B6)^2+((PPB_Sr_Aliquot_Sent!B5*C6)^2)/(B6^4))^0.5)</f>
        <v>7.222421582676837E-3</v>
      </c>
      <c r="K6" s="10">
        <f t="shared" si="0"/>
        <v>4.9910126635726929E-2</v>
      </c>
      <c r="L6">
        <f>IF(PPB_Sr_Aliquot_Sent!H5="LLD","LLD",PPB_Sr_Aliquot_Sent!H5/B6)</f>
        <v>0.1447085405210502</v>
      </c>
      <c r="M6">
        <f>IF(L6="LLD","LLD",((PPB_Sr_Aliquot_Sent!I5/B6)^2+((L6*C6)^2)/(B6^2))^0.5)</f>
        <v>7.222421582676837E-3</v>
      </c>
      <c r="N6" s="10">
        <f t="shared" si="1"/>
        <v>4.9910126635726929E-2</v>
      </c>
    </row>
    <row r="7" spans="1:18" x14ac:dyDescent="0.25">
      <c r="A7" t="s">
        <v>8</v>
      </c>
      <c r="B7">
        <v>171.80960542702243</v>
      </c>
      <c r="C7">
        <v>1.1436143422057752</v>
      </c>
      <c r="D7">
        <v>6.6562887410362799E-3</v>
      </c>
      <c r="E7">
        <v>4408.1109922014384</v>
      </c>
      <c r="F7">
        <v>80.968583733039324</v>
      </c>
      <c r="G7">
        <v>1.8368090975087518E-2</v>
      </c>
      <c r="I7">
        <f>IF(PPB_Sr_Aliquot_Sent!B6="LLD","LLD",PPB_Sr_Aliquot_Sent!B6/B7)</f>
        <v>0.4105279877511987</v>
      </c>
      <c r="J7">
        <f>IF(I7="LLD","LLD",((PPB_Sr_Aliquot_Sent!C6/B7)^2+((PPB_Sr_Aliquot_Sent!B6*C7)^2)/(B7^4))^0.5)</f>
        <v>1.9949509112488429E-2</v>
      </c>
      <c r="K7" s="10">
        <f t="shared" si="0"/>
        <v>4.8594760181317698E-2</v>
      </c>
      <c r="L7">
        <f>IF(PPB_Sr_Aliquot_Sent!H6="LLD","LLD",PPB_Sr_Aliquot_Sent!H6/B7)</f>
        <v>0.4105279877511987</v>
      </c>
      <c r="M7">
        <f>IF(L7="LLD","LLD",((PPB_Sr_Aliquot_Sent!I6/B7)^2+((L7*C7)^2)/(B7^2))^0.5)</f>
        <v>1.9949509112488429E-2</v>
      </c>
      <c r="N7" s="10">
        <f t="shared" si="1"/>
        <v>4.8594760181317698E-2</v>
      </c>
    </row>
    <row r="8" spans="1:18" x14ac:dyDescent="0.25">
      <c r="A8" s="11" t="s">
        <v>9</v>
      </c>
      <c r="B8" s="11">
        <v>4063.112460710674</v>
      </c>
      <c r="C8" s="11">
        <v>20.955813963647469</v>
      </c>
      <c r="D8" s="11">
        <v>5.1575766524518283E-3</v>
      </c>
      <c r="E8" s="11">
        <v>233709.3215890218</v>
      </c>
      <c r="F8" s="11">
        <v>4114.906078601146</v>
      </c>
      <c r="G8" s="11">
        <v>1.7606940324944396E-2</v>
      </c>
      <c r="H8" s="11"/>
      <c r="I8">
        <f>IF(PPB_Sr_Aliquot_Sent!B7="LLD","LLD",PPB_Sr_Aliquot_Sent!B7/B8)</f>
        <v>1.1652673367155303E-2</v>
      </c>
      <c r="J8">
        <f>IF(I8="LLD","LLD",((PPB_Sr_Aliquot_Sent!C7/B8)^2+((PPB_Sr_Aliquot_Sent!B7*C8)^2)/(B8^4))^0.5)</f>
        <v>5.6080716521346647E-4</v>
      </c>
      <c r="K8" s="29">
        <f t="shared" si="0"/>
        <v>4.812691024140265E-2</v>
      </c>
      <c r="L8">
        <f>IF(PPB_Sr_Aliquot_Sent!H7="LLD","LLD",PPB_Sr_Aliquot_Sent!H7/B8)</f>
        <v>1.1652673367155303E-2</v>
      </c>
      <c r="M8">
        <f>IF(L8="LLD","LLD",((PPB_Sr_Aliquot_Sent!I7/B8)^2+((L8*C8)^2)/(B8^2))^0.5)</f>
        <v>5.6080716521346647E-4</v>
      </c>
      <c r="N8" s="29">
        <f t="shared" si="1"/>
        <v>4.812691024140265E-2</v>
      </c>
      <c r="O8" s="11"/>
      <c r="P8" s="11"/>
      <c r="Q8" s="11"/>
      <c r="R8" s="11"/>
    </row>
    <row r="9" spans="1:18" x14ac:dyDescent="0.25">
      <c r="A9" t="s">
        <v>19</v>
      </c>
      <c r="B9">
        <v>251.28666680903572</v>
      </c>
      <c r="C9">
        <v>0.9380661224376633</v>
      </c>
      <c r="D9">
        <v>3.7330517147992686E-3</v>
      </c>
      <c r="E9">
        <v>5668.3036690166873</v>
      </c>
      <c r="F9">
        <v>97.239223219752219</v>
      </c>
      <c r="G9">
        <v>1.7154907164072395E-2</v>
      </c>
      <c r="I9">
        <f>IF(PPB_Sr_Aliquot_Sent!B8="LLD","LLD",PPB_Sr_Aliquot_Sent!B8/B9)</f>
        <v>8.2189993898889192E-4</v>
      </c>
      <c r="J9">
        <f>IF(I9="LLD","LLD",((PPB_Sr_Aliquot_Sent!C8/B9)^2+((PPB_Sr_Aliquot_Sent!B8*C9)^2)/(B9^4))^0.5)</f>
        <v>3.9994828076205828E-5</v>
      </c>
      <c r="K9" s="10">
        <f t="shared" si="0"/>
        <v>4.8661432102559583E-2</v>
      </c>
      <c r="L9">
        <f>IF(PPB_Sr_Aliquot_Sent!H8="LLD","LLD",PPB_Sr_Aliquot_Sent!H8/B9)</f>
        <v>8.2189993898889192E-4</v>
      </c>
      <c r="M9">
        <f>IF(L9="LLD","LLD",((PPB_Sr_Aliquot_Sent!I8/B9)^2+((L9*C9)^2)/(B9^2))^0.5)</f>
        <v>3.9994828076205828E-5</v>
      </c>
      <c r="N9" s="10">
        <f t="shared" si="1"/>
        <v>4.8661432102559583E-2</v>
      </c>
    </row>
    <row r="10" spans="1:18" x14ac:dyDescent="0.25">
      <c r="A10" t="s">
        <v>20</v>
      </c>
      <c r="B10">
        <v>35.959884095712276</v>
      </c>
      <c r="C10">
        <v>0.25252405264652589</v>
      </c>
      <c r="D10">
        <v>7.022382273936081E-3</v>
      </c>
      <c r="E10">
        <v>102.32821557923549</v>
      </c>
      <c r="F10">
        <v>1.882433071843796</v>
      </c>
      <c r="G10">
        <v>1.8396031448297635E-2</v>
      </c>
      <c r="I10">
        <f>IF(PPB_Sr_Aliquot_Sent!B9="LLD","LLD",PPB_Sr_Aliquot_Sent!B9/B10)</f>
        <v>1.1826895831743775E-2</v>
      </c>
      <c r="J10">
        <f>IF(I10="LLD","LLD",((PPB_Sr_Aliquot_Sent!C9/B10)^2+((PPB_Sr_Aliquot_Sent!B9*C10)^2)/(B10^4))^0.5)</f>
        <v>5.9050198088773443E-4</v>
      </c>
      <c r="K10" s="10">
        <f t="shared" si="0"/>
        <v>4.9928737792955598E-2</v>
      </c>
      <c r="L10">
        <f>IF(PPB_Sr_Aliquot_Sent!H9="LLD","LLD",PPB_Sr_Aliquot_Sent!H9/B10)</f>
        <v>1.1826895831743775E-2</v>
      </c>
      <c r="M10">
        <f>IF(L10="LLD","LLD",((PPB_Sr_Aliquot_Sent!I9/B10)^2+((L10*C10)^2)/(B10^2))^0.5)</f>
        <v>5.9050198088773443E-4</v>
      </c>
      <c r="N10" s="10">
        <f t="shared" si="1"/>
        <v>4.9928737792955598E-2</v>
      </c>
    </row>
    <row r="11" spans="1:18" x14ac:dyDescent="0.25">
      <c r="A11" t="s">
        <v>21</v>
      </c>
      <c r="B11">
        <v>183.40042322239918</v>
      </c>
      <c r="C11">
        <v>0.99992008657755271</v>
      </c>
      <c r="D11">
        <v>5.4521143899706652E-3</v>
      </c>
      <c r="E11">
        <v>522.85463717311825</v>
      </c>
      <c r="F11">
        <v>9.2633466998310787</v>
      </c>
      <c r="G11">
        <v>1.7716868210090993E-2</v>
      </c>
      <c r="I11">
        <f>IF(PPB_Sr_Aliquot_Sent!B10="LLD","LLD",PPB_Sr_Aliquot_Sent!B10/B11)</f>
        <v>1.8072120873995653E-3</v>
      </c>
      <c r="J11">
        <f>IF(I11="LLD","LLD",((PPB_Sr_Aliquot_Sent!C10/B11)^2+((PPB_Sr_Aliquot_Sent!B10*C11)^2)/(B11^4))^0.5)</f>
        <v>8.9268924497131396E-5</v>
      </c>
      <c r="K11" s="10">
        <f t="shared" si="0"/>
        <v>4.9395931512157099E-2</v>
      </c>
      <c r="L11">
        <f>IF(PPB_Sr_Aliquot_Sent!H10="LLD","LLD",PPB_Sr_Aliquot_Sent!H10/B11)</f>
        <v>1.8072120873995653E-3</v>
      </c>
      <c r="M11">
        <f>IF(L11="LLD","LLD",((PPB_Sr_Aliquot_Sent!I10/B11)^2+((L11*C11)^2)/(B11^2))^0.5)</f>
        <v>8.9268924497131396E-5</v>
      </c>
      <c r="N11" s="10">
        <f t="shared" si="1"/>
        <v>4.9395931512157099E-2</v>
      </c>
    </row>
    <row r="12" spans="1:18" x14ac:dyDescent="0.25">
      <c r="A12" t="s">
        <v>22</v>
      </c>
      <c r="B12">
        <v>10.023590741023934</v>
      </c>
      <c r="C12">
        <v>6.4224821054148507E-2</v>
      </c>
      <c r="D12">
        <v>6.4073666526799737E-3</v>
      </c>
      <c r="E12">
        <v>31.436836099355151</v>
      </c>
      <c r="F12">
        <v>0.56958926599643611</v>
      </c>
      <c r="G12">
        <v>1.8118530255279722E-2</v>
      </c>
      <c r="I12">
        <f>IF(PPB_Sr_Aliquot_Sent!B11="LLD","LLD",PPB_Sr_Aliquot_Sent!B11/B12)</f>
        <v>3.8247615111611323E-2</v>
      </c>
      <c r="J12">
        <f>IF(I12="LLD","LLD",((PPB_Sr_Aliquot_Sent!C11/B12)^2+((PPB_Sr_Aliquot_Sent!B11*C12)^2)/(B12^4))^0.5)</f>
        <v>1.9015177922306504E-3</v>
      </c>
      <c r="K12" s="10">
        <f t="shared" si="0"/>
        <v>4.9715983249721159E-2</v>
      </c>
      <c r="L12">
        <f>IF(PPB_Sr_Aliquot_Sent!H11="LLD","LLD",PPB_Sr_Aliquot_Sent!H11/B12)</f>
        <v>3.8247615111611323E-2</v>
      </c>
      <c r="M12">
        <f>IF(L12="LLD","LLD",((PPB_Sr_Aliquot_Sent!I11/B12)^2+((L12*C12)^2)/(B12^2))^0.5)</f>
        <v>1.9015177922306504E-3</v>
      </c>
      <c r="N12" s="10">
        <f t="shared" si="1"/>
        <v>4.9715983249721159E-2</v>
      </c>
    </row>
    <row r="13" spans="1:18" x14ac:dyDescent="0.25">
      <c r="A13" t="s">
        <v>23</v>
      </c>
      <c r="B13">
        <v>3.8710145055081004</v>
      </c>
      <c r="C13">
        <v>2.4758152127887532E-2</v>
      </c>
      <c r="D13">
        <v>6.3957787015933264E-3</v>
      </c>
      <c r="E13">
        <v>12.165403327394344</v>
      </c>
      <c r="F13">
        <v>0.22105887514097666</v>
      </c>
      <c r="G13">
        <v>1.8171109431546015E-2</v>
      </c>
      <c r="I13">
        <f>IF(PPB_Sr_Aliquot_Sent!B12="LLD","LLD",PPB_Sr_Aliquot_Sent!B12/B13)</f>
        <v>0.1001605478408986</v>
      </c>
      <c r="J13">
        <f>IF(I13="LLD","LLD",((PPB_Sr_Aliquot_Sent!C12/B13)^2+((PPB_Sr_Aliquot_Sent!B12*C13)^2)/(B13^4))^0.5)</f>
        <v>4.98193056166959E-3</v>
      </c>
      <c r="K13" s="10">
        <f t="shared" si="0"/>
        <v>4.9739450003640218E-2</v>
      </c>
      <c r="L13">
        <f>IF(PPB_Sr_Aliquot_Sent!H12="LLD","LLD",PPB_Sr_Aliquot_Sent!H12/B13)</f>
        <v>0.1001605478408986</v>
      </c>
      <c r="M13">
        <f>IF(L13="LLD","LLD",((PPB_Sr_Aliquot_Sent!I12/B13)^2+((L13*C13)^2)/(B13^2))^0.5)</f>
        <v>4.98193056166959E-3</v>
      </c>
      <c r="N13" s="10">
        <f t="shared" si="1"/>
        <v>4.9739450003640218E-2</v>
      </c>
    </row>
    <row r="14" spans="1:18" x14ac:dyDescent="0.25">
      <c r="A14" t="s">
        <v>24</v>
      </c>
      <c r="B14">
        <v>29.396766085112688</v>
      </c>
      <c r="C14">
        <v>0.12222887139311493</v>
      </c>
      <c r="D14">
        <v>4.1579019623867713E-3</v>
      </c>
      <c r="E14">
        <v>83.35764650467523</v>
      </c>
      <c r="F14">
        <v>1.4403676725814387</v>
      </c>
      <c r="G14">
        <v>1.7279370675378339E-2</v>
      </c>
      <c r="I14">
        <f>IF(PPB_Sr_Aliquot_Sent!B13="LLD","LLD",PPB_Sr_Aliquot_Sent!B13/B14)</f>
        <v>7.2974241886522183E-3</v>
      </c>
      <c r="J14">
        <f>IF(I14="LLD","LLD",((PPB_Sr_Aliquot_Sent!C13/B14)^2+((PPB_Sr_Aliquot_Sent!B13*C14)^2)/(B14^4))^0.5)</f>
        <v>3.57636125754789E-4</v>
      </c>
      <c r="K14" s="10">
        <f t="shared" si="0"/>
        <v>4.9008542810342212E-2</v>
      </c>
      <c r="L14">
        <f>IF(PPB_Sr_Aliquot_Sent!H13="LLD","LLD",PPB_Sr_Aliquot_Sent!H13/B14)</f>
        <v>7.2974241886522183E-3</v>
      </c>
      <c r="M14">
        <f>IF(L14="LLD","LLD",((PPB_Sr_Aliquot_Sent!I13/B14)^2+((L14*C14)^2)/(B14^2))^0.5)</f>
        <v>3.57636125754789E-4</v>
      </c>
      <c r="N14" s="10">
        <f t="shared" si="1"/>
        <v>4.9008542810342212E-2</v>
      </c>
    </row>
    <row r="15" spans="1:18" x14ac:dyDescent="0.25">
      <c r="A15" t="s">
        <v>25</v>
      </c>
      <c r="B15" t="e">
        <v>#VALUE!</v>
      </c>
      <c r="C15" t="e">
        <v>#VALUE!</v>
      </c>
      <c r="D15" t="e">
        <v>#VALUE!</v>
      </c>
      <c r="E15" t="e">
        <v>#VALUE!</v>
      </c>
      <c r="F15" t="e">
        <v>#VALUE!</v>
      </c>
      <c r="G15" t="e">
        <v>#VALUE!</v>
      </c>
      <c r="I15" t="e">
        <f>IF(PPB_Sr_Aliquot_Sent!B14="LLD","LLD",PPB_Sr_Aliquot_Sent!B14/B15)</f>
        <v>#VALUE!</v>
      </c>
      <c r="J15" t="e">
        <f>IF(I15="LLD","LLD",((PPB_Sr_Aliquot_Sent!C14/B15)^2+((PPB_Sr_Aliquot_Sent!B14*C15)^2)/(B15^4))^0.5)</f>
        <v>#VALUE!</v>
      </c>
      <c r="K15" s="10" t="e">
        <f t="shared" si="0"/>
        <v>#VALUE!</v>
      </c>
      <c r="L15" t="e">
        <f>IF(PPB_Sr_Aliquot_Sent!H14="LLD","LLD",PPB_Sr_Aliquot_Sent!H14/B15)</f>
        <v>#VALUE!</v>
      </c>
      <c r="M15" t="e">
        <f>IF(L15="LLD","LLD",((PPB_Sr_Aliquot_Sent!I14/B15)^2+((L15*C15)^2)/(B15^2))^0.5)</f>
        <v>#VALUE!</v>
      </c>
      <c r="N15" s="10" t="e">
        <f t="shared" si="1"/>
        <v>#VALUE!</v>
      </c>
    </row>
    <row r="16" spans="1:18" x14ac:dyDescent="0.25">
      <c r="A16" t="s">
        <v>27</v>
      </c>
      <c r="B16">
        <v>25.024731219806906</v>
      </c>
      <c r="C16">
        <v>0.28447079217182136</v>
      </c>
      <c r="D16">
        <v>1.1367586315838816E-2</v>
      </c>
      <c r="E16">
        <v>10.397808635121049</v>
      </c>
      <c r="F16">
        <v>0.21792992917207379</v>
      </c>
      <c r="G16">
        <v>2.0959217160043137E-2</v>
      </c>
      <c r="I16">
        <f>IF(PPB_Sr_Aliquot_Sent!B15="LLD","LLD",PPB_Sr_Aliquot_Sent!B15/B16)</f>
        <v>1.4378652589179378E-2</v>
      </c>
      <c r="J16">
        <f>IF(I16="LLD","LLD",((PPB_Sr_Aliquot_Sent!C15/B16)^2+((PPB_Sr_Aliquot_Sent!B15*C16)^2)/(B16^4))^0.5)</f>
        <v>7.6095250486222599E-4</v>
      </c>
      <c r="K16" s="10">
        <f t="shared" si="0"/>
        <v>5.2922379210613872E-2</v>
      </c>
      <c r="L16">
        <f>IF(PPB_Sr_Aliquot_Sent!H15="LLD","LLD",PPB_Sr_Aliquot_Sent!H15/B16)</f>
        <v>1.4378652589179378E-2</v>
      </c>
      <c r="M16">
        <f>IF(L16="LLD","LLD",((PPB_Sr_Aliquot_Sent!I15/B16)^2+((L16*C16)^2)/(B16^2))^0.5)</f>
        <v>7.6095250486222599E-4</v>
      </c>
      <c r="N16" s="10">
        <f t="shared" si="1"/>
        <v>5.2922379210613872E-2</v>
      </c>
    </row>
    <row r="17" spans="1:18" x14ac:dyDescent="0.25">
      <c r="A17" t="s">
        <v>28</v>
      </c>
      <c r="B17">
        <v>6.2902910951364328</v>
      </c>
      <c r="C17">
        <v>3.4534602482299268E-2</v>
      </c>
      <c r="D17">
        <v>5.4901437723607017E-3</v>
      </c>
      <c r="E17">
        <v>2.6873581103720672</v>
      </c>
      <c r="F17">
        <v>4.8428642031228944E-2</v>
      </c>
      <c r="G17">
        <v>1.8020911260138661E-2</v>
      </c>
      <c r="I17">
        <f>IF(PPB_Sr_Aliquot_Sent!B16="LLD","LLD",PPB_Sr_Aliquot_Sent!B16/B17)</f>
        <v>3.7051537613981902E-2</v>
      </c>
      <c r="J17">
        <f>IF(I17="LLD","LLD",((PPB_Sr_Aliquot_Sent!C16/B17)^2+((PPB_Sr_Aliquot_Sent!B16*C17)^2)/(B17^4))^0.5)</f>
        <v>1.8479795950492664E-3</v>
      </c>
      <c r="K17" s="10">
        <f t="shared" si="0"/>
        <v>4.9875921865976926E-2</v>
      </c>
      <c r="L17">
        <f>IF(PPB_Sr_Aliquot_Sent!H16="LLD","LLD",PPB_Sr_Aliquot_Sent!H16/B17)</f>
        <v>3.7051537613981902E-2</v>
      </c>
      <c r="M17">
        <f>IF(L17="LLD","LLD",((PPB_Sr_Aliquot_Sent!I16/B17)^2+((L17*C17)^2)/(B17^2))^0.5)</f>
        <v>1.8479795950492664E-3</v>
      </c>
      <c r="N17" s="10">
        <f t="shared" si="1"/>
        <v>4.9875921865976926E-2</v>
      </c>
    </row>
    <row r="18" spans="1:18" x14ac:dyDescent="0.25">
      <c r="A18" t="s">
        <v>29</v>
      </c>
      <c r="B18" t="e">
        <v>#VALUE!</v>
      </c>
      <c r="C18" t="e">
        <v>#VALUE!</v>
      </c>
      <c r="D18" t="e">
        <v>#VALUE!</v>
      </c>
      <c r="E18" t="e">
        <v>#VALUE!</v>
      </c>
      <c r="F18" t="e">
        <v>#VALUE!</v>
      </c>
      <c r="G18" t="e">
        <v>#VALUE!</v>
      </c>
      <c r="I18" t="e">
        <f>IF(PPB_Sr_Aliquot_Sent!B17="LLD","LLD",PPB_Sr_Aliquot_Sent!B17/B18)</f>
        <v>#VALUE!</v>
      </c>
      <c r="J18" t="e">
        <f>IF(I18="LLD","LLD",((PPB_Sr_Aliquot_Sent!C17/B18)^2+((PPB_Sr_Aliquot_Sent!B17*C18)^2)/(B18^4))^0.5)</f>
        <v>#VALUE!</v>
      </c>
      <c r="K18" s="10" t="e">
        <f t="shared" si="0"/>
        <v>#VALUE!</v>
      </c>
      <c r="L18" t="e">
        <f>IF(PPB_Sr_Aliquot_Sent!H17="LLD","LLD",PPB_Sr_Aliquot_Sent!H17/B18)</f>
        <v>#VALUE!</v>
      </c>
      <c r="M18" t="e">
        <f>IF(L18="LLD","LLD",((PPB_Sr_Aliquot_Sent!I17/B18)^2+((L18*C18)^2)/(B18^2))^0.5)</f>
        <v>#VALUE!</v>
      </c>
      <c r="N18" s="10" t="e">
        <f t="shared" si="1"/>
        <v>#VALUE!</v>
      </c>
    </row>
    <row r="19" spans="1:18" x14ac:dyDescent="0.25">
      <c r="A19" t="s">
        <v>30</v>
      </c>
      <c r="B19">
        <v>0.72444462751365024</v>
      </c>
      <c r="C19">
        <v>4.4739299442153792E-3</v>
      </c>
      <c r="D19">
        <v>6.1756686077861483E-3</v>
      </c>
      <c r="E19">
        <v>0.31504785512795341</v>
      </c>
      <c r="F19">
        <v>6.4554446381029518E-3</v>
      </c>
      <c r="G19">
        <v>2.0490362124449761E-2</v>
      </c>
      <c r="I19">
        <f>IF(PPB_Sr_Aliquot_Sent!B18="LLD","LLD",PPB_Sr_Aliquot_Sent!B18/B19)</f>
        <v>0.30085625969271435</v>
      </c>
      <c r="J19">
        <f>IF(I19="LLD","LLD",((PPB_Sr_Aliquot_Sent!C18/B19)^2+((PPB_Sr_Aliquot_Sent!B18*C19)^2)/(B19^4))^0.5)</f>
        <v>1.5135530011283529E-2</v>
      </c>
      <c r="K19" s="10">
        <f t="shared" si="0"/>
        <v>5.0308177156568094E-2</v>
      </c>
      <c r="L19">
        <f>IF(PPB_Sr_Aliquot_Sent!H18="LLD","LLD",PPB_Sr_Aliquot_Sent!H18/B19)</f>
        <v>0.30085625969271435</v>
      </c>
      <c r="M19">
        <f>IF(L19="LLD","LLD",((PPB_Sr_Aliquot_Sent!I18/B19)^2+((L19*C19)^2)/(B19^2))^0.5)</f>
        <v>1.5135530011283529E-2</v>
      </c>
      <c r="N19" s="10">
        <f t="shared" si="1"/>
        <v>5.0308177156568094E-2</v>
      </c>
    </row>
    <row r="20" spans="1:18" x14ac:dyDescent="0.25">
      <c r="A20" s="11" t="s">
        <v>10</v>
      </c>
      <c r="B20" s="11">
        <v>3086.6870657605782</v>
      </c>
      <c r="C20" s="11">
        <v>46.860723262192394</v>
      </c>
      <c r="D20" s="11">
        <v>1.5181559472613928E-2</v>
      </c>
      <c r="E20" s="11">
        <v>25933.364145695159</v>
      </c>
      <c r="F20" s="11">
        <v>614.43376301976468</v>
      </c>
      <c r="G20" s="11">
        <v>2.3692790475151614E-2</v>
      </c>
      <c r="H20" s="11"/>
      <c r="I20">
        <f>IF(PPB_Sr_Aliquot_Sent!B19="LLD","LLD",PPB_Sr_Aliquot_Sent!B19/B20)</f>
        <v>1.7928422494924859E-4</v>
      </c>
      <c r="J20">
        <f>IF(I20="LLD","LLD",((PPB_Sr_Aliquot_Sent!C19/B20)^2+((PPB_Sr_Aliquot_Sent!B19*C20)^2)/(B20^4))^0.5)</f>
        <v>9.8286007281008235E-6</v>
      </c>
      <c r="K20" s="29">
        <f t="shared" si="0"/>
        <v>5.4821335959050962E-2</v>
      </c>
      <c r="L20">
        <f>IF(PPB_Sr_Aliquot_Sent!H19="LLD","LLD",PPB_Sr_Aliquot_Sent!H19/B20)</f>
        <v>1.7928422494924859E-4</v>
      </c>
      <c r="M20">
        <f>IF(L20="LLD","LLD",((PPB_Sr_Aliquot_Sent!I19/B20)^2+((L20*C20)^2)/(B20^2))^0.5)</f>
        <v>9.8286007281008235E-6</v>
      </c>
      <c r="N20" s="29">
        <f t="shared" si="1"/>
        <v>5.4821335959050962E-2</v>
      </c>
      <c r="O20" s="11"/>
      <c r="P20" s="11"/>
      <c r="Q20" s="11"/>
      <c r="R20" s="11"/>
    </row>
    <row r="21" spans="1:18" x14ac:dyDescent="0.25">
      <c r="A21" t="s">
        <v>11</v>
      </c>
      <c r="B21">
        <v>103.91409023105972</v>
      </c>
      <c r="C21">
        <v>0.47975282980128503</v>
      </c>
      <c r="D21">
        <v>4.616821729705024E-3</v>
      </c>
      <c r="E21">
        <v>3022.0120722988809</v>
      </c>
      <c r="F21">
        <v>52.852057850790239</v>
      </c>
      <c r="G21">
        <v>1.7489029357379452E-2</v>
      </c>
      <c r="I21">
        <f>IF(PPB_Sr_Aliquot_Sent!B20="LLD","LLD",PPB_Sr_Aliquot_Sent!B20/B21)</f>
        <v>0.76694508384973414</v>
      </c>
      <c r="J21">
        <f>IF(I21="LLD","LLD",((PPB_Sr_Aliquot_Sent!C20/B21)^2+((PPB_Sr_Aliquot_Sent!B20*C21)^2)/(B21^4))^0.5)</f>
        <v>3.6832365358548898E-2</v>
      </c>
      <c r="K21" s="10">
        <f t="shared" si="0"/>
        <v>4.8024775351145459E-2</v>
      </c>
      <c r="L21">
        <f>IF(PPB_Sr_Aliquot_Sent!H20="LLD","LLD",PPB_Sr_Aliquot_Sent!H20/B21)</f>
        <v>0.76694508384973414</v>
      </c>
      <c r="M21">
        <f>IF(L21="LLD","LLD",((PPB_Sr_Aliquot_Sent!I20/B21)^2+((L21*C21)^2)/(B21^2))^0.5)</f>
        <v>3.6832365358548898E-2</v>
      </c>
      <c r="N21" s="10">
        <f t="shared" si="1"/>
        <v>4.8024775351145459E-2</v>
      </c>
    </row>
    <row r="22" spans="1:18" x14ac:dyDescent="0.25">
      <c r="A22" t="s">
        <v>12</v>
      </c>
      <c r="B22">
        <v>1256.8637463018074</v>
      </c>
      <c r="C22">
        <v>9.0424889215792632</v>
      </c>
      <c r="D22">
        <v>7.1944862346343102E-3</v>
      </c>
      <c r="E22">
        <v>25730.349676063488</v>
      </c>
      <c r="F22">
        <v>475.51948721702013</v>
      </c>
      <c r="G22">
        <v>1.8480879319700341E-2</v>
      </c>
      <c r="I22">
        <f>IF(PPB_Sr_Aliquot_Sent!B21="LLD","LLD",PPB_Sr_Aliquot_Sent!B21/B22)</f>
        <v>4.6552172892539649E-2</v>
      </c>
      <c r="J22">
        <f>IF(I22="LLD","LLD",((PPB_Sr_Aliquot_Sent!C21/B22)^2+((PPB_Sr_Aliquot_Sent!B21*C22)^2)/(B22^4))^0.5)</f>
        <v>2.2678726582665933E-3</v>
      </c>
      <c r="K22" s="10">
        <f t="shared" si="0"/>
        <v>4.8716794885207984E-2</v>
      </c>
      <c r="L22">
        <f>IF(PPB_Sr_Aliquot_Sent!H21="LLD","LLD",PPB_Sr_Aliquot_Sent!H21/B22)</f>
        <v>4.6552172892539649E-2</v>
      </c>
      <c r="M22">
        <f>IF(L22="LLD","LLD",((PPB_Sr_Aliquot_Sent!I21/B22)^2+((L22*C22)^2)/(B22^2))^0.5)</f>
        <v>2.2678726582665933E-3</v>
      </c>
      <c r="N22" s="10">
        <f t="shared" si="1"/>
        <v>4.8716794885207984E-2</v>
      </c>
    </row>
    <row r="23" spans="1:18" x14ac:dyDescent="0.25">
      <c r="A23" t="s">
        <v>31</v>
      </c>
      <c r="B23">
        <v>0.75471987885446978</v>
      </c>
      <c r="C23">
        <v>1.22268542416416E-2</v>
      </c>
      <c r="D23">
        <v>1.6200519668568666E-2</v>
      </c>
      <c r="E23">
        <v>4.0019033608301093</v>
      </c>
      <c r="F23">
        <v>0.1043340411667537</v>
      </c>
      <c r="G23">
        <v>2.607110461185945E-2</v>
      </c>
      <c r="I23">
        <f>IF(PPB_Sr_Aliquot_Sent!B22="LLD","LLD",PPB_Sr_Aliquot_Sent!B22/B23)</f>
        <v>0.51911223524319738</v>
      </c>
      <c r="J23">
        <f>IF(I23="LLD","LLD",((PPB_Sr_Aliquot_Sent!C22/B23)^2+((PPB_Sr_Aliquot_Sent!B22*C23)^2)/(B23^4))^0.5)</f>
        <v>2.9904783344117079E-2</v>
      </c>
      <c r="K23" s="10">
        <f t="shared" si="0"/>
        <v>5.7607548645250237E-2</v>
      </c>
      <c r="L23">
        <f>IF(PPB_Sr_Aliquot_Sent!H22="LLD","LLD",PPB_Sr_Aliquot_Sent!H22/B23)</f>
        <v>0.51911223524319738</v>
      </c>
      <c r="M23">
        <f>IF(L23="LLD","LLD",((PPB_Sr_Aliquot_Sent!I22/B23)^2+((L23*C23)^2)/(B23^2))^0.5)</f>
        <v>2.9904783344117079E-2</v>
      </c>
      <c r="N23" s="10">
        <f t="shared" si="1"/>
        <v>5.7607548645250237E-2</v>
      </c>
    </row>
    <row r="24" spans="1:18" x14ac:dyDescent="0.25">
      <c r="A24" t="s">
        <v>32</v>
      </c>
      <c r="B24">
        <v>4.8283712092505128E-2</v>
      </c>
      <c r="C24">
        <v>1.4047953297641707E-3</v>
      </c>
      <c r="D24">
        <v>2.9094600826729541E-2</v>
      </c>
      <c r="E24">
        <v>0</v>
      </c>
      <c r="F24">
        <v>0</v>
      </c>
      <c r="G24" t="e">
        <v>#DIV/0!</v>
      </c>
      <c r="I24">
        <f>IF(PPB_Sr_Aliquot_Sent!B23="LLD","LLD",PPB_Sr_Aliquot_Sent!B23/B24)</f>
        <v>55.49565509114457</v>
      </c>
      <c r="J24">
        <f>IF(I24="LLD","LLD",((PPB_Sr_Aliquot_Sent!C23/B24)^2+((PPB_Sr_Aliquot_Sent!B23*C24)^2)/(B24^4))^0.5)</f>
        <v>3.7003448181017853</v>
      </c>
      <c r="K24" s="10">
        <f t="shared" si="0"/>
        <v>6.6678099610220629E-2</v>
      </c>
      <c r="L24">
        <f>IF(PPB_Sr_Aliquot_Sent!H23="LLD","LLD",PPB_Sr_Aliquot_Sent!H23/B24)</f>
        <v>55.49565509114457</v>
      </c>
      <c r="M24">
        <f>IF(L24="LLD","LLD",((PPB_Sr_Aliquot_Sent!I23/B24)^2+((L24*C24)^2)/(B24^2))^0.5)</f>
        <v>3.7003448181017853</v>
      </c>
      <c r="N24" s="10">
        <f t="shared" si="1"/>
        <v>6.6678099610220629E-2</v>
      </c>
    </row>
    <row r="25" spans="1:18" x14ac:dyDescent="0.25">
      <c r="A25" t="s">
        <v>13</v>
      </c>
      <c r="B25">
        <v>75.817432579421535</v>
      </c>
      <c r="C25">
        <v>0.24281903359839671</v>
      </c>
      <c r="D25">
        <v>3.2026807732381981E-3</v>
      </c>
      <c r="E25">
        <v>923.52767495044168</v>
      </c>
      <c r="F25">
        <v>15.719511435930013</v>
      </c>
      <c r="G25">
        <v>1.7021159042985422E-2</v>
      </c>
      <c r="I25">
        <f>IF(PPB_Sr_Aliquot_Sent!B24="LLD","LLD",PPB_Sr_Aliquot_Sent!B24/B25)</f>
        <v>7.3525284261103071E-5</v>
      </c>
      <c r="J25">
        <f>IF(I25="LLD","LLD",((PPB_Sr_Aliquot_Sent!C24/B25)^2+((PPB_Sr_Aliquot_Sent!B24*C25)^2)/(B25^4))^0.5)</f>
        <v>3.5950445337857344E-6</v>
      </c>
      <c r="K25" s="10">
        <f t="shared" si="0"/>
        <v>4.8895350353478514E-2</v>
      </c>
      <c r="L25">
        <f>IF(PPB_Sr_Aliquot_Sent!H24="LLD","LLD",PPB_Sr_Aliquot_Sent!H24/B25)</f>
        <v>7.3525284261103071E-5</v>
      </c>
      <c r="M25">
        <f>IF(L25="LLD","LLD",((PPB_Sr_Aliquot_Sent!I24/B25)^2+((L25*C25)^2)/(B25^2))^0.5)</f>
        <v>3.5950445337857344E-6</v>
      </c>
      <c r="N25" s="10">
        <f t="shared" si="1"/>
        <v>4.8895350353478514E-2</v>
      </c>
    </row>
    <row r="26" spans="1:18" x14ac:dyDescent="0.25">
      <c r="A26" t="s">
        <v>14</v>
      </c>
      <c r="B26">
        <v>14.39220773882896</v>
      </c>
      <c r="C26">
        <v>4.608868424402162E-2</v>
      </c>
      <c r="D26">
        <v>3.2023359501460119E-3</v>
      </c>
      <c r="E26">
        <v>940.58147763512409</v>
      </c>
      <c r="F26">
        <v>16.010499051571564</v>
      </c>
      <c r="G26">
        <v>1.7021916157467065E-2</v>
      </c>
      <c r="I26">
        <f>IF(PPB_Sr_Aliquot_Sent!B25="LLD","LLD",PPB_Sr_Aliquot_Sent!B25/B26)</f>
        <v>3.522129656017944E-4</v>
      </c>
      <c r="J26">
        <f>IF(I26="LLD","LLD",((PPB_Sr_Aliquot_Sent!C25/B26)^2+((PPB_Sr_Aliquot_Sent!B25*C26)^2)/(B26^4))^0.5)</f>
        <v>1.7259492057360994E-5</v>
      </c>
      <c r="K26" s="10">
        <f t="shared" si="0"/>
        <v>4.9003000295208508E-2</v>
      </c>
      <c r="L26">
        <f>IF(PPB_Sr_Aliquot_Sent!H25="LLD","LLD",PPB_Sr_Aliquot_Sent!H25/B26)</f>
        <v>3.522129656017944E-4</v>
      </c>
      <c r="M26">
        <f>IF(L26="LLD","LLD",((PPB_Sr_Aliquot_Sent!I25/B26)^2+((L26*C26)^2)/(B26^2))^0.5)</f>
        <v>1.7259492057360994E-5</v>
      </c>
      <c r="N26" s="10">
        <f t="shared" si="1"/>
        <v>4.9003000295208508E-2</v>
      </c>
    </row>
    <row r="27" spans="1:18" x14ac:dyDescent="0.25">
      <c r="A27" t="s">
        <v>15</v>
      </c>
      <c r="B27">
        <v>3.174427454378518</v>
      </c>
      <c r="C27">
        <v>1.0157668795235126E-2</v>
      </c>
      <c r="D27">
        <v>3.1998427877835281E-3</v>
      </c>
      <c r="E27">
        <v>797.09799106696073</v>
      </c>
      <c r="F27">
        <v>13.568077754957459</v>
      </c>
      <c r="G27">
        <v>1.7021844123325188E-2</v>
      </c>
      <c r="I27">
        <f>IF(PPB_Sr_Aliquot_Sent!B26="LLD","LLD",PPB_Sr_Aliquot_Sent!B26/B27)</f>
        <v>1.3621772499721639E-3</v>
      </c>
      <c r="J27">
        <f>IF(I27="LLD","LLD",((PPB_Sr_Aliquot_Sent!C26/B27)^2+((PPB_Sr_Aliquot_Sent!B26*C27)^2)/(B27^4))^0.5)</f>
        <v>6.7134329359376562E-5</v>
      </c>
      <c r="K27" s="10">
        <f t="shared" si="0"/>
        <v>4.9284576849854489E-2</v>
      </c>
      <c r="L27">
        <f>IF(PPB_Sr_Aliquot_Sent!H26="LLD","LLD",PPB_Sr_Aliquot_Sent!H26/B27)</f>
        <v>1.3621772499721639E-3</v>
      </c>
      <c r="M27">
        <f>IF(L27="LLD","LLD",((PPB_Sr_Aliquot_Sent!I26/B27)^2+((L27*C27)^2)/(B27^2))^0.5)</f>
        <v>6.7134329359376562E-5</v>
      </c>
      <c r="N27" s="10">
        <f t="shared" si="1"/>
        <v>4.9284576849854489E-2</v>
      </c>
    </row>
    <row r="28" spans="1:18" x14ac:dyDescent="0.25">
      <c r="A28" t="s">
        <v>16</v>
      </c>
      <c r="B28">
        <v>34.639361570936096</v>
      </c>
      <c r="C28">
        <v>0.11094976596509183</v>
      </c>
      <c r="D28">
        <v>3.2029968490580791E-3</v>
      </c>
      <c r="E28">
        <v>304.33186019584014</v>
      </c>
      <c r="F28">
        <v>5.1802011518064868</v>
      </c>
      <c r="G28">
        <v>1.7021553867127101E-2</v>
      </c>
      <c r="I28">
        <f>IF(PPB_Sr_Aliquot_Sent!B27="LLD","LLD",PPB_Sr_Aliquot_Sent!B27/B28)</f>
        <v>2.1015357990918979E-4</v>
      </c>
      <c r="J28">
        <f>IF(I28="LLD","LLD",((PPB_Sr_Aliquot_Sent!C27/B28)^2+((PPB_Sr_Aliquot_Sent!B27*C28)^2)/(B28^4))^0.5)</f>
        <v>1.0218665408548046E-5</v>
      </c>
      <c r="K28" s="10">
        <f t="shared" si="0"/>
        <v>4.8624750589372163E-2</v>
      </c>
      <c r="L28">
        <f>IF(PPB_Sr_Aliquot_Sent!H27="LLD","LLD",PPB_Sr_Aliquot_Sent!H27/B28)</f>
        <v>2.1015357990918979E-4</v>
      </c>
      <c r="M28">
        <f>IF(L28="LLD","LLD",((PPB_Sr_Aliquot_Sent!I27/B28)^2+((L28*C28)^2)/(B28^2))^0.5)</f>
        <v>1.0218665408548046E-5</v>
      </c>
      <c r="N28" s="10">
        <f t="shared" si="1"/>
        <v>4.8624750589372163E-2</v>
      </c>
    </row>
    <row r="29" spans="1:18" x14ac:dyDescent="0.25">
      <c r="A29" t="s">
        <v>17</v>
      </c>
      <c r="B29">
        <v>9.6309025495974812</v>
      </c>
      <c r="C29">
        <v>3.0777362136527073E-2</v>
      </c>
      <c r="D29">
        <v>3.1956882522722026E-3</v>
      </c>
      <c r="E29">
        <v>88.691330075357783</v>
      </c>
      <c r="F29">
        <v>1.5097444019041772</v>
      </c>
      <c r="G29">
        <v>1.7022457557253935E-2</v>
      </c>
      <c r="I29">
        <f>IF(PPB_Sr_Aliquot_Sent!B28="LLD","LLD",PPB_Sr_Aliquot_Sent!B28/B29)</f>
        <v>5.7438563181972302E-4</v>
      </c>
      <c r="J29">
        <f>IF(I29="LLD","LLD",((PPB_Sr_Aliquot_Sent!C28/B29)^2+((PPB_Sr_Aliquot_Sent!B28*C29)^2)/(B29^4))^0.5)</f>
        <v>2.8096527573718019E-5</v>
      </c>
      <c r="K29" s="10">
        <f t="shared" si="0"/>
        <v>4.8915791094399121E-2</v>
      </c>
      <c r="L29">
        <f>IF(PPB_Sr_Aliquot_Sent!H28="LLD","LLD",PPB_Sr_Aliquot_Sent!H28/B29)</f>
        <v>5.7438563181972302E-4</v>
      </c>
      <c r="M29">
        <f>IF(L29="LLD","LLD",((PPB_Sr_Aliquot_Sent!I28/B29)^2+((L29*C29)^2)/(B29^2))^0.5)</f>
        <v>2.8096527573718019E-5</v>
      </c>
      <c r="N29" s="10">
        <f t="shared" si="1"/>
        <v>4.8915791094399121E-2</v>
      </c>
    </row>
    <row r="30" spans="1:18" x14ac:dyDescent="0.25">
      <c r="A30" t="s">
        <v>18</v>
      </c>
      <c r="B30">
        <v>12.884693996362936</v>
      </c>
      <c r="C30">
        <v>4.121254196213224E-2</v>
      </c>
      <c r="D30">
        <v>3.1985658311920817E-3</v>
      </c>
      <c r="E30">
        <v>124.35968653875581</v>
      </c>
      <c r="F30">
        <v>2.1168136701904681</v>
      </c>
      <c r="G30">
        <v>1.7021703166892256E-2</v>
      </c>
      <c r="I30">
        <f>IF(PPB_Sr_Aliquot_Sent!B29="LLD","LLD",PPB_Sr_Aliquot_Sent!B29/B30)</f>
        <v>6.9108885007305044E-4</v>
      </c>
      <c r="J30">
        <f>IF(I30="LLD","LLD",((PPB_Sr_Aliquot_Sent!C29/B30)^2+((PPB_Sr_Aliquot_Sent!B29*C30)^2)/(B30^4))^0.5)</f>
        <v>3.3504600375811318E-5</v>
      </c>
      <c r="K30" s="10">
        <f t="shared" si="0"/>
        <v>4.8480886896481931E-2</v>
      </c>
      <c r="L30">
        <f>IF(PPB_Sr_Aliquot_Sent!H29="LLD","LLD",PPB_Sr_Aliquot_Sent!H29/B30)</f>
        <v>6.9108885007305044E-4</v>
      </c>
      <c r="M30">
        <f>IF(L30="LLD","LLD",((PPB_Sr_Aliquot_Sent!I29/B30)^2+((L30*C30)^2)/(B30^2))^0.5)</f>
        <v>3.3504600375811318E-5</v>
      </c>
      <c r="N30" s="10">
        <f t="shared" si="1"/>
        <v>4.8480886896481931E-2</v>
      </c>
    </row>
    <row r="31" spans="1:18" x14ac:dyDescent="0.25">
      <c r="P31" t="s">
        <v>62</v>
      </c>
      <c r="Q31" t="s">
        <v>33</v>
      </c>
      <c r="R31" t="s">
        <v>36</v>
      </c>
    </row>
    <row r="32" spans="1:18" x14ac:dyDescent="0.25">
      <c r="H32" t="s">
        <v>63</v>
      </c>
      <c r="I32">
        <f>I8/I4</f>
        <v>10.763422141828421</v>
      </c>
      <c r="J32">
        <f>((J8/I4)^2+((I8*J4)/(I4^2))^2)^0.5</f>
        <v>0.74245749214285361</v>
      </c>
      <c r="K32" s="10">
        <f>J32/I32</f>
        <v>6.8979687162648962E-2</v>
      </c>
      <c r="L32">
        <f>L8/L4</f>
        <v>10.763422141828421</v>
      </c>
      <c r="M32">
        <f>((M8/L4)^2+((L8*M4)/(L4^2))^2)^0.5</f>
        <v>0.74245749214285361</v>
      </c>
      <c r="N32" s="10">
        <f>M32/L32</f>
        <v>6.8979687162648962E-2</v>
      </c>
      <c r="P32">
        <f>AVERAGE(I32,L32)</f>
        <v>10.763422141828421</v>
      </c>
      <c r="Q32">
        <f>(1/2)*(J32^2+M32^2)^0.5</f>
        <v>0.52499672743696968</v>
      </c>
      <c r="R32" s="10">
        <f>Q32/P32</f>
        <v>4.8776004556835728E-2</v>
      </c>
    </row>
    <row r="33" spans="1:18" x14ac:dyDescent="0.25">
      <c r="H33" t="s">
        <v>64</v>
      </c>
      <c r="I33">
        <f>I4/I5</f>
        <v>0.1364109632402411</v>
      </c>
      <c r="K33" s="10"/>
      <c r="L33">
        <f>L4/L5</f>
        <v>0.1364109632402411</v>
      </c>
      <c r="R33" s="10"/>
    </row>
    <row r="34" spans="1:18" x14ac:dyDescent="0.25">
      <c r="H34" t="s">
        <v>65</v>
      </c>
      <c r="I34">
        <f>I5/I6</f>
        <v>5.4844333158877739E-2</v>
      </c>
      <c r="K34" s="10"/>
      <c r="L34">
        <f>L5/L6</f>
        <v>5.4844333158877739E-2</v>
      </c>
      <c r="R34" s="10"/>
    </row>
    <row r="35" spans="1:18" x14ac:dyDescent="0.25">
      <c r="H35" t="s">
        <v>66</v>
      </c>
      <c r="I35">
        <f>I8/I6</f>
        <v>8.0525125367152978E-2</v>
      </c>
      <c r="K35" s="10"/>
      <c r="L35">
        <f>L8/L6</f>
        <v>8.0525125367152978E-2</v>
      </c>
      <c r="R35" s="10"/>
    </row>
    <row r="36" spans="1:18" x14ac:dyDescent="0.25">
      <c r="H36" t="s">
        <v>67</v>
      </c>
      <c r="I36">
        <f>I8/I20</f>
        <v>64.995530814012881</v>
      </c>
      <c r="J36">
        <f>((J8/I20)^2+((I8*J20)/(I20^2))^2)^0.5</f>
        <v>4.7413686732213378</v>
      </c>
      <c r="K36" s="10">
        <f t="shared" ref="K36" si="2">J36/I36</f>
        <v>7.2949149177486378E-2</v>
      </c>
      <c r="L36">
        <f>L8/L20</f>
        <v>64.995530814012881</v>
      </c>
      <c r="M36">
        <f>((M8/L20)^2+((L8*M20)/(L20^2))^2)^0.5</f>
        <v>4.7413686732213378</v>
      </c>
      <c r="N36" s="10">
        <f>M36/L36</f>
        <v>7.2949149177486378E-2</v>
      </c>
      <c r="P36">
        <f>AVERAGE(I36,L36)</f>
        <v>64.995530814012881</v>
      </c>
      <c r="Q36">
        <f>(1/2)*(J36^2+M36^2)^0.5</f>
        <v>3.3526539409402716</v>
      </c>
      <c r="R36" s="10">
        <f t="shared" ref="R36" si="3">Q36/P36</f>
        <v>5.1582838065189665E-2</v>
      </c>
    </row>
    <row r="37" spans="1:18" x14ac:dyDescent="0.25">
      <c r="H37" t="s">
        <v>68</v>
      </c>
      <c r="I37">
        <f>I22/I9</f>
        <v>56.639708417314786</v>
      </c>
      <c r="L37">
        <f>L22/L9</f>
        <v>56.639708417314786</v>
      </c>
    </row>
    <row r="38" spans="1:18" x14ac:dyDescent="0.25">
      <c r="H38" t="s">
        <v>69</v>
      </c>
      <c r="I38">
        <f>I14/I23</f>
        <v>1.4057507593196045E-2</v>
      </c>
      <c r="L38">
        <f>L14/L23</f>
        <v>1.4057507593196045E-2</v>
      </c>
    </row>
    <row r="43" spans="1:18" x14ac:dyDescent="0.25">
      <c r="A43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6" sqref="B16"/>
    </sheetView>
  </sheetViews>
  <sheetFormatPr defaultRowHeight="15" x14ac:dyDescent="0.25"/>
  <cols>
    <col min="1" max="1" width="17" bestFit="1" customWidth="1"/>
  </cols>
  <sheetData>
    <row r="1" spans="1:6" x14ac:dyDescent="0.25">
      <c r="A1" t="str">
        <f>PPB_Sr_Aliquot_Sent!A1</f>
        <v>Sample ID</v>
      </c>
      <c r="B1" s="24" t="str">
        <f>PPB_Sr_Aliquot_Sent!B1</f>
        <v>Cs133</v>
      </c>
      <c r="C1" t="str">
        <f>PPB_Sr_Aliquot_Sent!C1</f>
        <v>±</v>
      </c>
      <c r="D1" t="str">
        <f>PPB_Sr_Aliquot_Sent!D1</f>
        <v>%</v>
      </c>
    </row>
    <row r="2" spans="1:6" x14ac:dyDescent="0.25">
      <c r="A2" t="str">
        <f>PPB_Sr_Aliquot_Sent!A2</f>
        <v>87G Trace</v>
      </c>
      <c r="B2" s="24">
        <f>PPB_Sr_Aliquot_Sent!B2</f>
        <v>71.776675129549943</v>
      </c>
      <c r="C2">
        <f>PPB_Sr_Aliquot_Sent!C2</f>
        <v>3.583729643985254</v>
      </c>
      <c r="D2" s="10">
        <f>PPB_Sr_Aliquot_Sent!D2</f>
        <v>4.9928888981231982E-2</v>
      </c>
    </row>
    <row r="3" spans="1:6" x14ac:dyDescent="0.25">
      <c r="A3" t="str">
        <f>PPB_Sr_Aliquot_Sent!A3</f>
        <v>90G Trace</v>
      </c>
      <c r="B3" s="24">
        <f>PPB_Sr_Aliquot_Sent!B3</f>
        <v>0.34322541354829378</v>
      </c>
      <c r="C3">
        <f>PPB_Sr_Aliquot_Sent!C3</f>
        <v>1.6851368315589914E-2</v>
      </c>
      <c r="D3" s="10">
        <f>PPB_Sr_Aliquot_Sent!D3</f>
        <v>4.9097087949808327E-2</v>
      </c>
    </row>
    <row r="4" spans="1:6" x14ac:dyDescent="0.25">
      <c r="A4" t="str">
        <f>PPB_Sr_Aliquot_Sent!A4</f>
        <v>93G Trace</v>
      </c>
      <c r="B4" s="24">
        <f>IF(PPB_Sr_Aliquot_Sent!B4="LLD","LLD",PPB_Sr_Aliquot_Sent!B4*12)</f>
        <v>2.2531059336398789</v>
      </c>
      <c r="C4">
        <f>IF(PPB_Sr_Aliquot_Sent!C4="LLD","LLD",PPB_Sr_Aliquot_Sent!C4*12)</f>
        <v>0.11151482412833071</v>
      </c>
      <c r="D4" s="10">
        <f>IF(PPB_Sr_Aliquot_Sent!D4="LLD","LLD",PPB_Sr_Aliquot_Sent!D4*12)</f>
        <v>0.59392586454119822</v>
      </c>
    </row>
    <row r="5" spans="1:6" x14ac:dyDescent="0.25">
      <c r="A5" t="str">
        <f>PPB_Sr_Aliquot_Sent!A5</f>
        <v>96G Trace</v>
      </c>
      <c r="B5" s="24">
        <f>IF(PPB_Sr_Aliquot_Sent!B5="LLD","LLD",PPB_Sr_Aliquot_Sent!B5*144)</f>
        <v>39.339098732192369</v>
      </c>
      <c r="C5">
        <f>IF(PPB_Sr_Aliquot_Sent!C5="LLD","LLD",PPB_Sr_Aliquot_Sent!C5*144)</f>
        <v>1.9491419425892058</v>
      </c>
      <c r="D5" s="10">
        <f>IF(PPB_Sr_Aliquot_Sent!D5="LLD","LLD",PPB_Sr_Aliquot_Sent!D5*144)</f>
        <v>7.1347958844608623</v>
      </c>
    </row>
    <row r="6" spans="1:6" x14ac:dyDescent="0.25">
      <c r="A6" t="str">
        <f>PPB_Sr_Aliquot_Sent!A6</f>
        <v>30G Trace Waste</v>
      </c>
      <c r="B6" s="24">
        <f>PPB_Sr_Aliquot_Sent!B6</f>
        <v>70.532651592282946</v>
      </c>
      <c r="C6">
        <f>PPB_Sr_Aliquot_Sent!C6</f>
        <v>3.3952110316502271</v>
      </c>
      <c r="D6" s="10">
        <f>PPB_Sr_Aliquot_Sent!D6</f>
        <v>4.8136727529774319E-2</v>
      </c>
    </row>
    <row r="7" spans="1:6" x14ac:dyDescent="0.25">
      <c r="A7" t="str">
        <f>PPB_Sr_Aliquot_Sent!A7</f>
        <v>30G Trace Original</v>
      </c>
      <c r="B7" s="24">
        <f>PPB_Sr_Aliquot_Sent!B7</f>
        <v>47.34612235868012</v>
      </c>
      <c r="C7">
        <f>PPB_Sr_Aliquot_Sent!C7</f>
        <v>2.26550027535973</v>
      </c>
      <c r="D7" s="10">
        <f>PPB_Sr_Aliquot_Sent!D7</f>
        <v>4.7849753316585773E-2</v>
      </c>
    </row>
    <row r="9" spans="1:6" x14ac:dyDescent="0.25">
      <c r="B9">
        <f>B7/B3</f>
        <v>137.9446873388886</v>
      </c>
      <c r="C9">
        <f>(((D7/B3)^2)+((B7/(B3^2))^2)*D3^2)^0.5</f>
        <v>19.732954521834781</v>
      </c>
      <c r="D9" s="10">
        <f>C9/B9</f>
        <v>0.14304976075922987</v>
      </c>
      <c r="F9" t="s">
        <v>51</v>
      </c>
    </row>
    <row r="12" spans="1:6" x14ac:dyDescent="0.25">
      <c r="B12" t="s">
        <v>45</v>
      </c>
    </row>
    <row r="15" spans="1:6" x14ac:dyDescent="0.25">
      <c r="A15" t="s">
        <v>58</v>
      </c>
      <c r="B15">
        <v>100</v>
      </c>
    </row>
    <row r="17" spans="2:2" x14ac:dyDescent="0.25">
      <c r="B17" t="s">
        <v>46</v>
      </c>
    </row>
    <row r="18" spans="2:2" x14ac:dyDescent="0.25">
      <c r="B18" t="s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Cs_Calculations</vt:lpstr>
      <vt:lpstr>PPB_Sr_Aliquot_Sent</vt:lpstr>
      <vt:lpstr>DF</vt:lpstr>
      <vt:lpstr>PPB_Sr_to_Stock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Mendoza, Paul Michael</dc:creator>
  <cp:lastModifiedBy>Paul M. Mendoza</cp:lastModifiedBy>
  <dcterms:created xsi:type="dcterms:W3CDTF">2015-10-01T14:52:56Z</dcterms:created>
  <dcterms:modified xsi:type="dcterms:W3CDTF">2016-04-22T03:42:28Z</dcterms:modified>
</cp:coreProperties>
</file>