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70" windowHeight="7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AA40" i="1" l="1"/>
  <c r="Z40" i="1"/>
  <c r="Z25" i="1"/>
  <c r="AA19" i="1"/>
  <c r="Z19" i="1"/>
  <c r="AA10" i="1"/>
  <c r="Z10" i="1"/>
  <c r="AA6" i="1"/>
  <c r="Z6" i="1"/>
  <c r="Z22" i="1"/>
  <c r="H5" i="1"/>
  <c r="H9" i="1"/>
  <c r="H14" i="1"/>
  <c r="H18" i="1"/>
  <c r="H25" i="1"/>
  <c r="H30" i="1"/>
  <c r="H35" i="1"/>
  <c r="V9" i="1" l="1"/>
  <c r="V13" i="1" l="1"/>
  <c r="X45" i="1" l="1"/>
  <c r="X37" i="1" l="1"/>
  <c r="X32" i="1" l="1"/>
  <c r="X27" i="1" l="1"/>
  <c r="X22" i="1" l="1"/>
  <c r="X11" i="1" l="1"/>
  <c r="X8" i="1" l="1"/>
  <c r="X16" i="1" l="1"/>
  <c r="V4" i="1" l="1"/>
  <c r="V5" i="1"/>
  <c r="V6" i="1"/>
  <c r="V7" i="1"/>
  <c r="V8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3" i="1"/>
  <c r="Z45" i="1" l="1"/>
  <c r="S47" i="1" l="1"/>
  <c r="B47" i="1"/>
  <c r="C47" i="1"/>
  <c r="K47" i="1"/>
  <c r="B46" i="1" l="1"/>
  <c r="S49" i="1"/>
  <c r="K49" i="1"/>
  <c r="C49" i="1"/>
  <c r="B49" i="1"/>
  <c r="S48" i="1"/>
  <c r="K48" i="1"/>
  <c r="C48" i="1"/>
  <c r="B48" i="1"/>
  <c r="F49" i="1" l="1"/>
  <c r="AB10" i="1"/>
  <c r="Q9" i="1"/>
  <c r="T49" i="1"/>
  <c r="U42" i="1"/>
  <c r="U43" i="1"/>
  <c r="U41" i="1"/>
  <c r="U10" i="1"/>
  <c r="U38" i="1"/>
  <c r="U39" i="1"/>
  <c r="U9" i="1"/>
  <c r="U49" i="1"/>
  <c r="U44" i="1"/>
  <c r="U40" i="1"/>
  <c r="T40" i="1"/>
  <c r="T41" i="1"/>
  <c r="T39" i="1"/>
  <c r="T9" i="1"/>
  <c r="T42" i="1"/>
  <c r="T10" i="1"/>
  <c r="T43" i="1"/>
  <c r="T38" i="1"/>
  <c r="T44" i="1"/>
  <c r="T48" i="1"/>
  <c r="U48" i="1"/>
  <c r="U46" i="1"/>
  <c r="Z46" i="1" s="1"/>
  <c r="U47" i="1"/>
  <c r="Z47" i="1" s="1"/>
  <c r="T47" i="1"/>
  <c r="AA47" i="1" s="1"/>
  <c r="S45" i="1"/>
  <c r="S46" i="1"/>
  <c r="T46" i="1" s="1"/>
  <c r="AA46" i="1" s="1"/>
  <c r="K46" i="1"/>
  <c r="C46" i="1"/>
  <c r="B45" i="1" l="1"/>
  <c r="C45" i="1"/>
  <c r="K45" i="1"/>
  <c r="F41" i="1"/>
  <c r="I41" i="1" s="1"/>
  <c r="F42" i="1"/>
  <c r="I42" i="1" s="1"/>
  <c r="F43" i="1"/>
  <c r="I43" i="1" s="1"/>
  <c r="Q42" i="1"/>
  <c r="L43" i="1"/>
  <c r="M43" i="1" s="1"/>
  <c r="P39" i="1"/>
  <c r="P38" i="1"/>
  <c r="P40" i="1"/>
  <c r="P41" i="1"/>
  <c r="L41" i="1"/>
  <c r="M41" i="1" s="1"/>
  <c r="P42" i="1"/>
  <c r="P43" i="1"/>
  <c r="P44" i="1"/>
  <c r="T45" i="1" l="1"/>
  <c r="AA44" i="1" s="1"/>
  <c r="U45" i="1"/>
  <c r="R42" i="1"/>
  <c r="F44" i="1"/>
  <c r="I44" i="1" s="1"/>
  <c r="L44" i="1"/>
  <c r="M44" i="1" s="1"/>
  <c r="Q40" i="1"/>
  <c r="R40" i="1" s="1"/>
  <c r="F38" i="1"/>
  <c r="I38" i="1" s="1"/>
  <c r="F39" i="1"/>
  <c r="I39" i="1" s="1"/>
  <c r="Q38" i="1"/>
  <c r="R38" i="1" s="1"/>
  <c r="L38" i="1"/>
  <c r="M38" i="1" s="1"/>
  <c r="Q43" i="1"/>
  <c r="R43" i="1" s="1"/>
  <c r="Q41" i="1"/>
  <c r="R41" i="1" s="1"/>
  <c r="F40" i="1"/>
  <c r="I40" i="1" s="1"/>
  <c r="L39" i="1"/>
  <c r="M39" i="1" s="1"/>
  <c r="L40" i="1"/>
  <c r="M40" i="1" s="1"/>
  <c r="Q44" i="1"/>
  <c r="R44" i="1" s="1"/>
  <c r="Q39" i="1"/>
  <c r="R39" i="1" s="1"/>
  <c r="L42" i="1"/>
  <c r="M42" i="1" s="1"/>
  <c r="S36" i="1" l="1"/>
  <c r="S35" i="1"/>
  <c r="S34" i="1"/>
  <c r="S33" i="1"/>
  <c r="K36" i="1"/>
  <c r="K37" i="1" s="1"/>
  <c r="K35" i="1"/>
  <c r="L35" i="1" s="1"/>
  <c r="M35" i="1" s="1"/>
  <c r="K34" i="1"/>
  <c r="K33" i="1"/>
  <c r="C36" i="1"/>
  <c r="C35" i="1"/>
  <c r="C34" i="1"/>
  <c r="C33" i="1"/>
  <c r="B36" i="1"/>
  <c r="B35" i="1"/>
  <c r="B34" i="1"/>
  <c r="B33" i="1"/>
  <c r="P33" i="1"/>
  <c r="P34" i="1"/>
  <c r="P35" i="1"/>
  <c r="P36" i="1"/>
  <c r="L36" i="1" l="1"/>
  <c r="M36" i="1" s="1"/>
  <c r="T36" i="1"/>
  <c r="U36" i="1"/>
  <c r="L34" i="1"/>
  <c r="M34" i="1" s="1"/>
  <c r="T34" i="1"/>
  <c r="U34" i="1"/>
  <c r="Q34" i="1"/>
  <c r="R34" i="1" s="1"/>
  <c r="T35" i="1"/>
  <c r="U35" i="1"/>
  <c r="F35" i="1"/>
  <c r="I35" i="1" s="1"/>
  <c r="F34" i="1"/>
  <c r="I34" i="1" s="1"/>
  <c r="F36" i="1"/>
  <c r="I36" i="1" s="1"/>
  <c r="T33" i="1"/>
  <c r="U33" i="1"/>
  <c r="S37" i="1"/>
  <c r="C37" i="1"/>
  <c r="Q36" i="1"/>
  <c r="R36" i="1" s="1"/>
  <c r="Q35" i="1"/>
  <c r="R35" i="1" s="1"/>
  <c r="Q33" i="1"/>
  <c r="R33" i="1" s="1"/>
  <c r="B37" i="1"/>
  <c r="F33" i="1"/>
  <c r="I33" i="1" s="1"/>
  <c r="L33" i="1"/>
  <c r="M33" i="1" s="1"/>
  <c r="T37" i="1" l="1"/>
  <c r="AA37" i="1" s="1"/>
  <c r="U37" i="1"/>
  <c r="Z37" i="1"/>
  <c r="S31" i="1"/>
  <c r="S30" i="1"/>
  <c r="S29" i="1"/>
  <c r="K31" i="1"/>
  <c r="K32" i="1" s="1"/>
  <c r="K30" i="1"/>
  <c r="K29" i="1"/>
  <c r="C31" i="1"/>
  <c r="C30" i="1"/>
  <c r="C32" i="1" s="1"/>
  <c r="C29" i="1"/>
  <c r="B31" i="1"/>
  <c r="B30" i="1"/>
  <c r="B29" i="1"/>
  <c r="T29" i="1" l="1"/>
  <c r="U29" i="1"/>
  <c r="T30" i="1"/>
  <c r="U30" i="1"/>
  <c r="T31" i="1"/>
  <c r="U31" i="1"/>
  <c r="S32" i="1"/>
  <c r="B32" i="1"/>
  <c r="Q29" i="1"/>
  <c r="P29" i="1"/>
  <c r="L29" i="1"/>
  <c r="M29" i="1" s="1"/>
  <c r="F29" i="1"/>
  <c r="I29" i="1" s="1"/>
  <c r="Q30" i="1"/>
  <c r="P30" i="1"/>
  <c r="L30" i="1"/>
  <c r="M30" i="1" s="1"/>
  <c r="F30" i="1"/>
  <c r="I30" i="1" s="1"/>
  <c r="Q31" i="1"/>
  <c r="P31" i="1"/>
  <c r="L31" i="1"/>
  <c r="M31" i="1" s="1"/>
  <c r="F31" i="1"/>
  <c r="I31" i="1" s="1"/>
  <c r="T32" i="1" l="1"/>
  <c r="U32" i="1"/>
  <c r="AA32" i="1"/>
  <c r="R29" i="1"/>
  <c r="R31" i="1"/>
  <c r="R30" i="1"/>
  <c r="Z32" i="1" l="1"/>
  <c r="S28" i="1"/>
  <c r="K28" i="1"/>
  <c r="C28" i="1"/>
  <c r="B28" i="1"/>
  <c r="T28" i="1" l="1"/>
  <c r="AA28" i="1" s="1"/>
  <c r="U28" i="1"/>
  <c r="Z28" i="1" s="1"/>
  <c r="S23" i="1"/>
  <c r="S27" i="1" s="1"/>
  <c r="K26" i="1"/>
  <c r="K25" i="1"/>
  <c r="K24" i="1"/>
  <c r="L24" i="1" s="1"/>
  <c r="M24" i="1" s="1"/>
  <c r="K23" i="1"/>
  <c r="L23" i="1" s="1"/>
  <c r="M23" i="1" s="1"/>
  <c r="C26" i="1"/>
  <c r="C25" i="1"/>
  <c r="C24" i="1"/>
  <c r="C23" i="1"/>
  <c r="B26" i="1"/>
  <c r="B25" i="1"/>
  <c r="B24" i="1"/>
  <c r="B23" i="1"/>
  <c r="K27" i="1"/>
  <c r="P23" i="1"/>
  <c r="P25" i="1"/>
  <c r="L25" i="1"/>
  <c r="M25" i="1" s="1"/>
  <c r="F25" i="1"/>
  <c r="I25" i="1" s="1"/>
  <c r="P26" i="1"/>
  <c r="Q24" i="1"/>
  <c r="P24" i="1"/>
  <c r="T23" i="1" l="1"/>
  <c r="U23" i="1"/>
  <c r="T24" i="1"/>
  <c r="U24" i="1"/>
  <c r="T25" i="1"/>
  <c r="U25" i="1"/>
  <c r="Q25" i="1"/>
  <c r="R25" i="1" s="1"/>
  <c r="L26" i="1"/>
  <c r="M26" i="1" s="1"/>
  <c r="T26" i="1"/>
  <c r="U26" i="1"/>
  <c r="F24" i="1"/>
  <c r="I24" i="1" s="1"/>
  <c r="R24" i="1"/>
  <c r="C27" i="1"/>
  <c r="F23" i="1"/>
  <c r="I23" i="1" s="1"/>
  <c r="Q26" i="1"/>
  <c r="R26" i="1" s="1"/>
  <c r="F26" i="1"/>
  <c r="I26" i="1" s="1"/>
  <c r="Q23" i="1"/>
  <c r="R23" i="1" s="1"/>
  <c r="B27" i="1"/>
  <c r="T27" i="1" l="1"/>
  <c r="U27" i="1"/>
  <c r="S17" i="1"/>
  <c r="S18" i="1"/>
  <c r="S19" i="1"/>
  <c r="S20" i="1"/>
  <c r="S21" i="1"/>
  <c r="K18" i="1"/>
  <c r="K21" i="1"/>
  <c r="Q21" i="1" s="1"/>
  <c r="K20" i="1"/>
  <c r="K19" i="1"/>
  <c r="K17" i="1"/>
  <c r="C21" i="1"/>
  <c r="C20" i="1"/>
  <c r="C19" i="1"/>
  <c r="C18" i="1"/>
  <c r="C17" i="1"/>
  <c r="B21" i="1"/>
  <c r="B20" i="1"/>
  <c r="B19" i="1"/>
  <c r="B18" i="1"/>
  <c r="B17" i="1"/>
  <c r="P19" i="1"/>
  <c r="P17" i="1"/>
  <c r="P18" i="1"/>
  <c r="P20" i="1"/>
  <c r="F20" i="1"/>
  <c r="I20" i="1" s="1"/>
  <c r="P21" i="1"/>
  <c r="L21" i="1"/>
  <c r="M21" i="1" s="1"/>
  <c r="P22" i="1"/>
  <c r="F27" i="1"/>
  <c r="I27" i="1" s="1"/>
  <c r="L27" i="1"/>
  <c r="M27" i="1" s="1"/>
  <c r="P27" i="1"/>
  <c r="Q27" i="1"/>
  <c r="T18" i="1" l="1"/>
  <c r="U18" i="1"/>
  <c r="T19" i="1"/>
  <c r="U19" i="1"/>
  <c r="T20" i="1"/>
  <c r="U20" i="1"/>
  <c r="L19" i="1"/>
  <c r="M19" i="1" s="1"/>
  <c r="T21" i="1"/>
  <c r="U21" i="1"/>
  <c r="Q20" i="1"/>
  <c r="Z27" i="1"/>
  <c r="F21" i="1"/>
  <c r="I21" i="1" s="1"/>
  <c r="T17" i="1"/>
  <c r="U17" i="1"/>
  <c r="R27" i="1"/>
  <c r="S22" i="1"/>
  <c r="L20" i="1"/>
  <c r="M20" i="1" s="1"/>
  <c r="K22" i="1"/>
  <c r="F19" i="1"/>
  <c r="I19" i="1" s="1"/>
  <c r="C22" i="1"/>
  <c r="Q19" i="1"/>
  <c r="R19" i="1" s="1"/>
  <c r="F18" i="1"/>
  <c r="I18" i="1" s="1"/>
  <c r="L18" i="1"/>
  <c r="M18" i="1" s="1"/>
  <c r="Q18" i="1"/>
  <c r="R18" i="1" s="1"/>
  <c r="F17" i="1"/>
  <c r="I17" i="1" s="1"/>
  <c r="L17" i="1"/>
  <c r="M17" i="1" s="1"/>
  <c r="B22" i="1"/>
  <c r="Q17" i="1"/>
  <c r="R17" i="1" s="1"/>
  <c r="R20" i="1"/>
  <c r="R21" i="1"/>
  <c r="T22" i="1" l="1"/>
  <c r="AA22" i="1" s="1"/>
  <c r="U22" i="1"/>
  <c r="Q22" i="1"/>
  <c r="R22" i="1" s="1"/>
  <c r="F22" i="1"/>
  <c r="I22" i="1" s="1"/>
  <c r="L22" i="1"/>
  <c r="M22" i="1" s="1"/>
  <c r="S15" i="1" l="1"/>
  <c r="K15" i="1"/>
  <c r="C15" i="1"/>
  <c r="B15" i="1"/>
  <c r="S14" i="1"/>
  <c r="K14" i="1"/>
  <c r="C14" i="1"/>
  <c r="B14" i="1"/>
  <c r="S13" i="1"/>
  <c r="K13" i="1"/>
  <c r="C13" i="1"/>
  <c r="B13" i="1"/>
  <c r="P15" i="1"/>
  <c r="P14" i="1"/>
  <c r="T13" i="1" l="1"/>
  <c r="U13" i="1"/>
  <c r="T15" i="1"/>
  <c r="U15" i="1"/>
  <c r="K16" i="1"/>
  <c r="C16" i="1"/>
  <c r="B16" i="1"/>
  <c r="T14" i="1"/>
  <c r="U14" i="1"/>
  <c r="S16" i="1"/>
  <c r="Q14" i="1"/>
  <c r="R14" i="1" s="1"/>
  <c r="Q15" i="1"/>
  <c r="R15" i="1" s="1"/>
  <c r="F15" i="1"/>
  <c r="I15" i="1" s="1"/>
  <c r="L15" i="1"/>
  <c r="M15" i="1" s="1"/>
  <c r="L14" i="1"/>
  <c r="M14" i="1" s="1"/>
  <c r="F14" i="1"/>
  <c r="I14" i="1" s="1"/>
  <c r="T16" i="1" l="1"/>
  <c r="U16" i="1"/>
  <c r="Z16" i="1"/>
  <c r="AA16" i="1"/>
  <c r="S12" i="1"/>
  <c r="K12" i="1"/>
  <c r="C12" i="1"/>
  <c r="B12" i="1"/>
  <c r="T12" i="1" l="1"/>
  <c r="AA12" i="1" s="1"/>
  <c r="U12" i="1"/>
  <c r="Z12" i="1" s="1"/>
  <c r="S11" i="1"/>
  <c r="K11" i="1"/>
  <c r="S5" i="1"/>
  <c r="K7" i="1"/>
  <c r="K6" i="1"/>
  <c r="K5" i="1"/>
  <c r="K4" i="1"/>
  <c r="K3" i="1"/>
  <c r="C7" i="1"/>
  <c r="C6" i="1"/>
  <c r="C5" i="1"/>
  <c r="C4" i="1"/>
  <c r="C3" i="1"/>
  <c r="C8" i="1" s="1"/>
  <c r="B7" i="1"/>
  <c r="B6" i="1"/>
  <c r="B5" i="1"/>
  <c r="B4" i="1"/>
  <c r="B3" i="1"/>
  <c r="C11" i="1"/>
  <c r="B11" i="1"/>
  <c r="T6" i="1" l="1"/>
  <c r="U6" i="1"/>
  <c r="T3" i="1"/>
  <c r="U3" i="1"/>
  <c r="T4" i="1"/>
  <c r="U4" i="1"/>
  <c r="T5" i="1"/>
  <c r="AA8" i="1" s="1"/>
  <c r="U5" i="1"/>
  <c r="T7" i="1"/>
  <c r="U7" i="1"/>
  <c r="K8" i="1"/>
  <c r="B8" i="1"/>
  <c r="U11" i="1"/>
  <c r="T11" i="1"/>
  <c r="AA11" i="1" s="1"/>
  <c r="Q10" i="1"/>
  <c r="P10" i="1"/>
  <c r="L10" i="1"/>
  <c r="M10" i="1" s="1"/>
  <c r="F10" i="1"/>
  <c r="I10" i="1" s="1"/>
  <c r="Q11" i="1"/>
  <c r="P11" i="1"/>
  <c r="L11" i="1"/>
  <c r="M11" i="1" s="1"/>
  <c r="F11" i="1"/>
  <c r="I11" i="1" s="1"/>
  <c r="T8" i="1" l="1"/>
  <c r="U8" i="1"/>
  <c r="Z11" i="1"/>
  <c r="R10" i="1"/>
  <c r="R11" i="1"/>
  <c r="Z8" i="1" l="1"/>
  <c r="L3" i="1"/>
  <c r="F8" i="1" l="1"/>
  <c r="I8" i="1" s="1"/>
  <c r="Q4" i="1"/>
  <c r="Q5" i="1"/>
  <c r="Q6" i="1"/>
  <c r="Q7" i="1"/>
  <c r="P4" i="1"/>
  <c r="P5" i="1"/>
  <c r="P6" i="1"/>
  <c r="P7" i="1"/>
  <c r="P8" i="1"/>
  <c r="L4" i="1"/>
  <c r="M4" i="1" s="1"/>
  <c r="L5" i="1"/>
  <c r="M5" i="1" s="1"/>
  <c r="L6" i="1"/>
  <c r="M6" i="1" s="1"/>
  <c r="L7" i="1"/>
  <c r="M7" i="1" s="1"/>
  <c r="I4" i="1"/>
  <c r="I5" i="1"/>
  <c r="I6" i="1"/>
  <c r="I7" i="1"/>
  <c r="Q12" i="1"/>
  <c r="Q13" i="1"/>
  <c r="Q16" i="1"/>
  <c r="Q28" i="1"/>
  <c r="Q32" i="1"/>
  <c r="Q37" i="1"/>
  <c r="Q45" i="1"/>
  <c r="Q46" i="1"/>
  <c r="Q47" i="1"/>
  <c r="Q48" i="1"/>
  <c r="Q49" i="1"/>
  <c r="Q3" i="1"/>
  <c r="L9" i="1"/>
  <c r="M9" i="1" s="1"/>
  <c r="L12" i="1"/>
  <c r="M12" i="1" s="1"/>
  <c r="L13" i="1"/>
  <c r="M13" i="1" s="1"/>
  <c r="L16" i="1"/>
  <c r="M16" i="1" s="1"/>
  <c r="L28" i="1"/>
  <c r="M28" i="1" s="1"/>
  <c r="L32" i="1"/>
  <c r="M32" i="1" s="1"/>
  <c r="L37" i="1"/>
  <c r="M37" i="1" s="1"/>
  <c r="L45" i="1"/>
  <c r="M45" i="1" s="1"/>
  <c r="L46" i="1"/>
  <c r="M46" i="1" s="1"/>
  <c r="L47" i="1"/>
  <c r="M47" i="1" s="1"/>
  <c r="L48" i="1"/>
  <c r="M48" i="1" s="1"/>
  <c r="L49" i="1"/>
  <c r="M49" i="1" s="1"/>
  <c r="M3" i="1"/>
  <c r="P9" i="1"/>
  <c r="R9" i="1" s="1"/>
  <c r="P12" i="1"/>
  <c r="P13" i="1"/>
  <c r="P16" i="1"/>
  <c r="P28" i="1"/>
  <c r="P32" i="1"/>
  <c r="P37" i="1"/>
  <c r="P45" i="1"/>
  <c r="P46" i="1"/>
  <c r="P47" i="1"/>
  <c r="P48" i="1"/>
  <c r="P49" i="1"/>
  <c r="P3" i="1"/>
  <c r="F9" i="1"/>
  <c r="I9" i="1" s="1"/>
  <c r="F12" i="1"/>
  <c r="I12" i="1" s="1"/>
  <c r="F13" i="1"/>
  <c r="I13" i="1" s="1"/>
  <c r="F16" i="1"/>
  <c r="I16" i="1" s="1"/>
  <c r="F28" i="1"/>
  <c r="I28" i="1" s="1"/>
  <c r="F32" i="1"/>
  <c r="I32" i="1" s="1"/>
  <c r="F37" i="1"/>
  <c r="I37" i="1" s="1"/>
  <c r="F45" i="1"/>
  <c r="I45" i="1" s="1"/>
  <c r="F46" i="1"/>
  <c r="I46" i="1" s="1"/>
  <c r="F47" i="1"/>
  <c r="I47" i="1" s="1"/>
  <c r="F48" i="1"/>
  <c r="I48" i="1" s="1"/>
  <c r="I49" i="1"/>
  <c r="I3" i="1"/>
  <c r="J28" i="1" l="1"/>
  <c r="G28" i="1" s="1"/>
  <c r="H28" i="1" s="1"/>
  <c r="J12" i="1"/>
  <c r="G12" i="1" s="1"/>
  <c r="H12" i="1" s="1"/>
  <c r="J23" i="1"/>
  <c r="G23" i="1" s="1"/>
  <c r="J6" i="1"/>
  <c r="G6" i="1" s="1"/>
  <c r="J47" i="1"/>
  <c r="G47" i="1" s="1"/>
  <c r="H47" i="1" s="1"/>
  <c r="J29" i="1"/>
  <c r="G29" i="1" s="1"/>
  <c r="H32" i="1" s="1"/>
  <c r="J46" i="1"/>
  <c r="G46" i="1" s="1"/>
  <c r="H46" i="1" s="1"/>
  <c r="J44" i="1"/>
  <c r="G44" i="1" s="1"/>
  <c r="J49" i="1"/>
  <c r="G49" i="1" s="1"/>
  <c r="J40" i="1"/>
  <c r="G40" i="1" s="1"/>
  <c r="J9" i="1"/>
  <c r="G9" i="1" s="1"/>
  <c r="J10" i="1"/>
  <c r="G10" i="1" s="1"/>
  <c r="J43" i="1"/>
  <c r="G43" i="1" s="1"/>
  <c r="J42" i="1"/>
  <c r="G42" i="1" s="1"/>
  <c r="J39" i="1"/>
  <c r="G39" i="1" s="1"/>
  <c r="J48" i="1"/>
  <c r="G48" i="1" s="1"/>
  <c r="J41" i="1"/>
  <c r="G41" i="1" s="1"/>
  <c r="J38" i="1"/>
  <c r="G38" i="1" s="1"/>
  <c r="J45" i="1"/>
  <c r="G45" i="1" s="1"/>
  <c r="J34" i="1"/>
  <c r="G34" i="1" s="1"/>
  <c r="J36" i="1"/>
  <c r="G36" i="1" s="1"/>
  <c r="J33" i="1"/>
  <c r="G33" i="1" s="1"/>
  <c r="J35" i="1"/>
  <c r="G35" i="1" s="1"/>
  <c r="J37" i="1"/>
  <c r="G37" i="1" s="1"/>
  <c r="J31" i="1"/>
  <c r="G31" i="1" s="1"/>
  <c r="J30" i="1"/>
  <c r="G30" i="1" s="1"/>
  <c r="J32" i="1"/>
  <c r="G32" i="1" s="1"/>
  <c r="J25" i="1"/>
  <c r="G25" i="1" s="1"/>
  <c r="J24" i="1"/>
  <c r="G24" i="1" s="1"/>
  <c r="J26" i="1"/>
  <c r="G26" i="1" s="1"/>
  <c r="J27" i="1"/>
  <c r="G27" i="1" s="1"/>
  <c r="J20" i="1"/>
  <c r="G20" i="1" s="1"/>
  <c r="J18" i="1"/>
  <c r="G18" i="1" s="1"/>
  <c r="J21" i="1"/>
  <c r="G21" i="1" s="1"/>
  <c r="J17" i="1"/>
  <c r="G17" i="1" s="1"/>
  <c r="J19" i="1"/>
  <c r="G19" i="1" s="1"/>
  <c r="J22" i="1"/>
  <c r="G22" i="1" s="1"/>
  <c r="J15" i="1"/>
  <c r="G15" i="1" s="1"/>
  <c r="J13" i="1"/>
  <c r="G13" i="1" s="1"/>
  <c r="J14" i="1"/>
  <c r="G14" i="1" s="1"/>
  <c r="J16" i="1"/>
  <c r="G16" i="1" s="1"/>
  <c r="J5" i="1"/>
  <c r="G5" i="1" s="1"/>
  <c r="J7" i="1"/>
  <c r="G7" i="1" s="1"/>
  <c r="J4" i="1"/>
  <c r="G4" i="1" s="1"/>
  <c r="J3" i="1"/>
  <c r="G3" i="1" s="1"/>
  <c r="J11" i="1"/>
  <c r="G11" i="1" s="1"/>
  <c r="J8" i="1"/>
  <c r="G8" i="1" s="1"/>
  <c r="R5" i="1"/>
  <c r="R4" i="1"/>
  <c r="Q8" i="1"/>
  <c r="R8" i="1" s="1"/>
  <c r="L8" i="1"/>
  <c r="M8" i="1" s="1"/>
  <c r="R45" i="1"/>
  <c r="R37" i="1"/>
  <c r="R28" i="1"/>
  <c r="R16" i="1"/>
  <c r="R47" i="1"/>
  <c r="R13" i="1"/>
  <c r="R32" i="1"/>
  <c r="R49" i="1"/>
  <c r="R7" i="1"/>
  <c r="R46" i="1"/>
  <c r="R12" i="1"/>
  <c r="R48" i="1"/>
  <c r="R6" i="1"/>
  <c r="R3" i="1"/>
  <c r="H16" i="1" l="1"/>
  <c r="H37" i="1"/>
  <c r="H8" i="1"/>
  <c r="H22" i="1"/>
  <c r="H11" i="1"/>
  <c r="H45" i="1"/>
  <c r="H41" i="1"/>
  <c r="H27" i="1"/>
</calcChain>
</file>

<file path=xl/sharedStrings.xml><?xml version="1.0" encoding="utf-8"?>
<sst xmlns="http://schemas.openxmlformats.org/spreadsheetml/2006/main" count="97" uniqueCount="92">
  <si>
    <t>Element</t>
  </si>
  <si>
    <t>U</t>
  </si>
  <si>
    <t>Pu</t>
  </si>
  <si>
    <t>30 G Original (ppb)</t>
  </si>
  <si>
    <t>Cs</t>
  </si>
  <si>
    <t>VTBP</t>
  </si>
  <si>
    <t>VHNO3</t>
  </si>
  <si>
    <t>30 G Waste (ppb)</t>
  </si>
  <si>
    <t>DR</t>
  </si>
  <si>
    <t>f</t>
  </si>
  <si>
    <t>Use Matlab Script</t>
  </si>
  <si>
    <t>Estimated Removed</t>
  </si>
  <si>
    <t>Estimated Lower Limit on Decontamination Factor</t>
  </si>
  <si>
    <t xml:space="preserve">Lower Limit can be higher because there is some distribution </t>
  </si>
  <si>
    <t>87G Waste (ppb)</t>
  </si>
  <si>
    <t>Estimated % in HNO3 After 4 Contacts</t>
  </si>
  <si>
    <t>Actual % in HNO3 After 4 Contacts</t>
  </si>
  <si>
    <t>Percent Difference</t>
  </si>
  <si>
    <t>Script</t>
  </si>
  <si>
    <t>Vial Info</t>
  </si>
  <si>
    <t>Actual Lower Limit on DF</t>
  </si>
  <si>
    <t>% Difference</t>
  </si>
  <si>
    <t>Actual DF</t>
  </si>
  <si>
    <t>90G</t>
  </si>
  <si>
    <t>Cd Tot</t>
  </si>
  <si>
    <t>Cd111</t>
  </si>
  <si>
    <t>Cd112</t>
  </si>
  <si>
    <t>Cd113</t>
  </si>
  <si>
    <t>Cd114</t>
  </si>
  <si>
    <t>Cd116</t>
  </si>
  <si>
    <t>Ce 140</t>
  </si>
  <si>
    <t>Ce 142</t>
  </si>
  <si>
    <t>Ce tot</t>
  </si>
  <si>
    <t>Corr Fact</t>
  </si>
  <si>
    <t>Eu 153</t>
  </si>
  <si>
    <t>Mo97</t>
  </si>
  <si>
    <t>Mo98</t>
  </si>
  <si>
    <t>Mo100</t>
  </si>
  <si>
    <t>Motot</t>
  </si>
  <si>
    <t>Nd143</t>
  </si>
  <si>
    <t>Nd145</t>
  </si>
  <si>
    <t>Nd146</t>
  </si>
  <si>
    <t>Nd148</t>
  </si>
  <si>
    <t>Nd150</t>
  </si>
  <si>
    <t>Nd Sum</t>
  </si>
  <si>
    <t>Pd105</t>
  </si>
  <si>
    <t>Pd106</t>
  </si>
  <si>
    <t>Pd108</t>
  </si>
  <si>
    <t>Pd110</t>
  </si>
  <si>
    <t>Pd tot</t>
  </si>
  <si>
    <t>Pm147</t>
  </si>
  <si>
    <t>Ru101</t>
  </si>
  <si>
    <t>Ru102</t>
  </si>
  <si>
    <t>Ru104</t>
  </si>
  <si>
    <t>Rutot</t>
  </si>
  <si>
    <t>Sm149</t>
  </si>
  <si>
    <t>Sm151</t>
  </si>
  <si>
    <t>Sm152</t>
  </si>
  <si>
    <t>Sm154</t>
  </si>
  <si>
    <t>Smtot</t>
  </si>
  <si>
    <t>Sn tot</t>
  </si>
  <si>
    <t>Sn117</t>
  </si>
  <si>
    <t>Sn118</t>
  </si>
  <si>
    <t>Sn119</t>
  </si>
  <si>
    <t>Sn120</t>
  </si>
  <si>
    <t>Sn122</t>
  </si>
  <si>
    <t>Sn124</t>
  </si>
  <si>
    <t>Sn126</t>
  </si>
  <si>
    <t>Sr90</t>
  </si>
  <si>
    <t>86G</t>
  </si>
  <si>
    <t>Percentage</t>
  </si>
  <si>
    <t>One Step DF</t>
  </si>
  <si>
    <t>One Step Average</t>
  </si>
  <si>
    <t>Cd</t>
  </si>
  <si>
    <t>Ce</t>
  </si>
  <si>
    <t>Eu</t>
  </si>
  <si>
    <t>Mo</t>
  </si>
  <si>
    <t>Nd</t>
  </si>
  <si>
    <t>Pd</t>
  </si>
  <si>
    <t>Ru</t>
  </si>
  <si>
    <t>Sm</t>
  </si>
  <si>
    <t>Sn</t>
  </si>
  <si>
    <t>Sr</t>
  </si>
  <si>
    <t>Wide Variance</t>
  </si>
  <si>
    <t>4 Step Average</t>
  </si>
  <si>
    <t>average</t>
  </si>
  <si>
    <t>f (calculated from Pu's f)</t>
  </si>
  <si>
    <t>One Step DF from DR and Pu f</t>
  </si>
  <si>
    <t>Average</t>
  </si>
  <si>
    <t>STD</t>
  </si>
  <si>
    <t>Sm Avg</t>
  </si>
  <si>
    <t>Sn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</si>
</sst>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2" applyFill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1" fillId="0" borderId="2" xfId="1"/>
    <xf numFmtId="0" fontId="0" fillId="0" borderId="0" xfId="0" applyFill="1"/>
    <xf numFmtId="0" fontId="1" fillId="2" borderId="2" xfId="1" applyFill="1"/>
    <xf numFmtId="0" fontId="1" fillId="4" borderId="2" xfId="1" applyFill="1"/>
    <xf numFmtId="0" fontId="1" fillId="3" borderId="2" xfId="1" applyFill="1"/>
    <xf numFmtId="0" fontId="1" fillId="0" borderId="0" xfId="1" applyFill="1" applyBorder="1"/>
    <xf numFmtId="0" fontId="0" fillId="0" borderId="2" xfId="1" applyFont="1"/>
    <xf numFmtId="0" fontId="2" fillId="0" borderId="0" xfId="0" applyFont="1"/>
    <xf numFmtId="0" fontId="1" fillId="0" borderId="2" xfId="1" applyFill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/>
    </xf>
  </cellXfs>
  <cellStyles count="2">
    <cellStyle name="Normal" xfId="0" builtinId="0"/>
    <cellStyle name="Style 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workbookViewId="0">
      <pane xSplit="1" topLeftCell="B1" activePane="topRight" state="frozen"/>
      <selection pane="topRight" activeCell="F9" sqref="F9"/>
    </sheetView>
  </sheetViews>
  <sheetFormatPr defaultRowHeight="15" x14ac:dyDescent="0.25"/>
  <cols>
    <col min="2" max="2" width="12.140625" customWidth="1"/>
    <col min="3" max="3" width="10.7109375" bestFit="1" customWidth="1"/>
    <col min="4" max="4" width="5.5703125" bestFit="1" customWidth="1"/>
    <col min="5" max="5" width="7.42578125" bestFit="1" customWidth="1"/>
    <col min="12" max="12" width="11.140625" customWidth="1"/>
    <col min="14" max="14" width="16.42578125" bestFit="1" customWidth="1"/>
    <col min="15" max="15" width="10.140625" customWidth="1"/>
    <col min="16" max="16" width="18.7109375" customWidth="1"/>
    <col min="17" max="17" width="11.7109375" customWidth="1"/>
  </cols>
  <sheetData>
    <row r="1" spans="1:28" x14ac:dyDescent="0.25">
      <c r="N1" s="18" t="s">
        <v>10</v>
      </c>
      <c r="O1" s="18"/>
    </row>
    <row r="2" spans="1:28" ht="60" x14ac:dyDescent="0.25">
      <c r="A2" t="s">
        <v>0</v>
      </c>
      <c r="B2" s="1" t="s">
        <v>3</v>
      </c>
      <c r="C2" s="1" t="s">
        <v>7</v>
      </c>
      <c r="D2" t="s">
        <v>5</v>
      </c>
      <c r="E2" t="s">
        <v>6</v>
      </c>
      <c r="F2" t="s">
        <v>8</v>
      </c>
      <c r="G2" s="1" t="s">
        <v>87</v>
      </c>
      <c r="H2" s="1" t="s">
        <v>88</v>
      </c>
      <c r="I2" t="s">
        <v>9</v>
      </c>
      <c r="J2" s="1" t="s">
        <v>86</v>
      </c>
      <c r="K2" s="1" t="s">
        <v>14</v>
      </c>
      <c r="L2" s="1" t="s">
        <v>16</v>
      </c>
      <c r="M2" s="1" t="s">
        <v>17</v>
      </c>
      <c r="N2" s="1" t="s">
        <v>15</v>
      </c>
      <c r="O2" s="1" t="s">
        <v>11</v>
      </c>
      <c r="P2" s="1" t="s">
        <v>12</v>
      </c>
      <c r="Q2" s="1" t="s">
        <v>20</v>
      </c>
      <c r="R2" s="1" t="s">
        <v>21</v>
      </c>
      <c r="S2" s="1" t="s">
        <v>23</v>
      </c>
      <c r="T2" s="1" t="s">
        <v>22</v>
      </c>
      <c r="U2" s="1" t="s">
        <v>71</v>
      </c>
      <c r="V2" s="1" t="s">
        <v>69</v>
      </c>
      <c r="W2" s="1" t="s">
        <v>70</v>
      </c>
      <c r="Z2" s="1" t="s">
        <v>72</v>
      </c>
      <c r="AA2" s="1" t="s">
        <v>84</v>
      </c>
    </row>
    <row r="3" spans="1:28" x14ac:dyDescent="0.25">
      <c r="A3" t="s">
        <v>25</v>
      </c>
      <c r="B3" s="2">
        <f>1.298092*0.83639</f>
        <v>1.08571116788</v>
      </c>
      <c r="C3" s="2">
        <f>0.60756*1.72893</f>
        <v>1.0504287108000001</v>
      </c>
      <c r="D3">
        <v>0.7</v>
      </c>
      <c r="E3">
        <v>0.5</v>
      </c>
      <c r="F3" s="6">
        <f>(B3/C3-1)*(E3/D3)</f>
        <v>2.3991875696113909E-2</v>
      </c>
      <c r="G3" s="6">
        <f>(1/J3-1)*(E3/D3)</f>
        <v>6.1843265851177099E-3</v>
      </c>
      <c r="H3" s="6"/>
      <c r="I3">
        <f>1/(1+F3*(D3/E3))</f>
        <v>0.96750290673633421</v>
      </c>
      <c r="J3">
        <f t="shared" ref="J3:J49" si="0">1-(1-$I$49)/U3</f>
        <v>0.99141626128181159</v>
      </c>
      <c r="K3" s="2">
        <f>0.37724*1.734059</f>
        <v>0.65415641716000006</v>
      </c>
      <c r="L3">
        <f>K3/B3</f>
        <v>0.60251421972321628</v>
      </c>
      <c r="M3">
        <f>(ABS(L3-N3)/L3)*100</f>
        <v>318.51294416891534</v>
      </c>
      <c r="N3" s="3">
        <v>2.5215999999999998</v>
      </c>
      <c r="O3" s="3">
        <v>-1.3420000000000001</v>
      </c>
      <c r="P3">
        <f t="shared" ref="P3:P49" si="1">(1/O3)*($O$49/1)</f>
        <v>-0.73770491803278693</v>
      </c>
      <c r="Q3">
        <f t="shared" ref="Q3:Q49" si="2">(B3/(B3-K3))*(($B$49-$K$49)/$B$49)</f>
        <v>2.5057686728597588</v>
      </c>
      <c r="R3">
        <f>(ABS(P3-Q3)/Q3)*100</f>
        <v>129.44026422003537</v>
      </c>
      <c r="S3" s="2">
        <v>0</v>
      </c>
      <c r="T3" s="14" t="e">
        <f>(B3/(S3))*($S$49/$B$49)</f>
        <v>#DIV/0!</v>
      </c>
      <c r="U3" s="14">
        <f t="shared" ref="U3:U49" si="3">(B3/V3)*($V$49/$B$49)</f>
        <v>111.57312126765575</v>
      </c>
      <c r="V3">
        <f>W3*X3</f>
        <v>7.3925873599999994E-3</v>
      </c>
      <c r="W3">
        <v>0.37230999999999997</v>
      </c>
      <c r="X3">
        <v>1.9855999999999999E-2</v>
      </c>
    </row>
    <row r="4" spans="1:28" x14ac:dyDescent="0.25">
      <c r="A4" t="s">
        <v>26</v>
      </c>
      <c r="B4" s="2">
        <f>1.765*0.83639</f>
        <v>1.47622835</v>
      </c>
      <c r="C4" s="2">
        <f>0.60756*1.32859</f>
        <v>0.80719814039999993</v>
      </c>
      <c r="D4">
        <v>0.7</v>
      </c>
      <c r="E4">
        <v>0.5</v>
      </c>
      <c r="F4" s="6">
        <f>(B4/C4-1)*(E4/D4)</f>
        <v>0.59202158333274724</v>
      </c>
      <c r="G4" s="6" t="e">
        <f t="shared" ref="G4:G49" si="4">(1/J4-1)*(E4/D4)</f>
        <v>#DIV/0!</v>
      </c>
      <c r="H4" s="6"/>
      <c r="I4">
        <f t="shared" ref="I4:I8" si="5">1/(1+F4*(D4/E4))</f>
        <v>0.54679761461023291</v>
      </c>
      <c r="J4" t="e">
        <f t="shared" si="0"/>
        <v>#DIV/0!</v>
      </c>
      <c r="K4" s="2">
        <f>0.37724*1.985664</f>
        <v>0.74907188736000008</v>
      </c>
      <c r="L4">
        <f t="shared" ref="L4:L8" si="6">K4/B4</f>
        <v>0.50742277599532626</v>
      </c>
      <c r="M4">
        <f t="shared" ref="M4:M8" si="7">(ABS(L4-N4)/L4)*100</f>
        <v>17.18936952016707</v>
      </c>
      <c r="N4" s="3">
        <v>0.42020000000000002</v>
      </c>
      <c r="O4" s="3">
        <v>0.54039999999999999</v>
      </c>
      <c r="P4">
        <f t="shared" si="1"/>
        <v>1.831976313841599</v>
      </c>
      <c r="Q4">
        <f t="shared" si="2"/>
        <v>2.0220330287040058</v>
      </c>
      <c r="R4">
        <f t="shared" ref="R4:R10" si="8">(ABS(P4-Q4)/Q4)*100</f>
        <v>9.3992883481345046</v>
      </c>
      <c r="S4" s="2">
        <v>0</v>
      </c>
      <c r="T4" s="14" t="e">
        <f t="shared" ref="T4:T49" si="9">(B4/(S4))*($S$49/$B$49)</f>
        <v>#DIV/0!</v>
      </c>
      <c r="U4" s="14" t="e">
        <f t="shared" si="3"/>
        <v>#DIV/0!</v>
      </c>
      <c r="V4">
        <f t="shared" ref="V4:V49" si="10">W4*X4</f>
        <v>0</v>
      </c>
      <c r="W4">
        <v>0.37230999999999997</v>
      </c>
      <c r="X4">
        <v>0</v>
      </c>
    </row>
    <row r="5" spans="1:28" x14ac:dyDescent="0.25">
      <c r="A5" t="s">
        <v>27</v>
      </c>
      <c r="B5" s="2">
        <f>0.83639*0.238679</f>
        <v>0.19962872880999999</v>
      </c>
      <c r="C5" s="2">
        <f>0.60756*0.853822</f>
        <v>0.51874809432000002</v>
      </c>
      <c r="D5">
        <v>0.7</v>
      </c>
      <c r="E5">
        <v>0.5</v>
      </c>
      <c r="F5" s="6">
        <f>(B5/C5-1)*(E5/D5)</f>
        <v>-0.43940865794314332</v>
      </c>
      <c r="G5" s="6">
        <f t="shared" si="4"/>
        <v>0.17065830964075324</v>
      </c>
      <c r="H5" s="6">
        <f>STDEV(G3,G5,G6,G8)</f>
        <v>8.1965418578806806E-2</v>
      </c>
      <c r="I5">
        <f t="shared" si="5"/>
        <v>2.598564331959091</v>
      </c>
      <c r="J5">
        <f t="shared" si="0"/>
        <v>0.80715355431912184</v>
      </c>
      <c r="K5" s="2">
        <f>0.37724*0.324752</f>
        <v>0.12250944448000001</v>
      </c>
      <c r="L5">
        <f t="shared" si="6"/>
        <v>0.61368644287967411</v>
      </c>
      <c r="M5">
        <f t="shared" si="7"/>
        <v>13264.658931545137</v>
      </c>
      <c r="N5" s="3">
        <v>82.017099999999999</v>
      </c>
      <c r="O5" s="3">
        <v>-64.134399999999999</v>
      </c>
      <c r="P5">
        <f t="shared" si="1"/>
        <v>-1.5436333699231614E-2</v>
      </c>
      <c r="Q5">
        <f t="shared" si="2"/>
        <v>2.5782357304497947</v>
      </c>
      <c r="R5">
        <f t="shared" si="8"/>
        <v>100.5987169255675</v>
      </c>
      <c r="S5" s="2">
        <f>0.75536*0.0064</f>
        <v>4.8343040000000002E-3</v>
      </c>
      <c r="T5" s="14">
        <f t="shared" si="9"/>
        <v>3.2220606146954505</v>
      </c>
      <c r="U5" s="14">
        <f t="shared" si="3"/>
        <v>4.9662026051500785</v>
      </c>
      <c r="V5">
        <f t="shared" si="10"/>
        <v>3.0537983129999998E-2</v>
      </c>
      <c r="W5">
        <v>0.37230999999999997</v>
      </c>
      <c r="X5">
        <v>8.2022999999999999E-2</v>
      </c>
    </row>
    <row r="6" spans="1:28" x14ac:dyDescent="0.25">
      <c r="A6" t="s">
        <v>28</v>
      </c>
      <c r="B6" s="2">
        <f>0.83639*0.958936</f>
        <v>0.80204448103999992</v>
      </c>
      <c r="C6" s="2">
        <f>0.60756*0.853822</f>
        <v>0.51874809432000002</v>
      </c>
      <c r="D6">
        <v>0.7</v>
      </c>
      <c r="E6">
        <v>0.5</v>
      </c>
      <c r="F6" s="6">
        <f>(B6/C6-1)*(E6/D6)</f>
        <v>0.39008251627047069</v>
      </c>
      <c r="G6" s="6">
        <f t="shared" si="4"/>
        <v>8.6515616423511951E-3</v>
      </c>
      <c r="H6" s="6"/>
      <c r="I6">
        <f t="shared" si="5"/>
        <v>0.6467822004676681</v>
      </c>
      <c r="J6">
        <f t="shared" si="0"/>
        <v>0.98803276310348676</v>
      </c>
      <c r="K6" s="2">
        <f>0.37724*1.47991</f>
        <v>0.55828124840000004</v>
      </c>
      <c r="L6">
        <f t="shared" si="6"/>
        <v>0.69607267626364622</v>
      </c>
      <c r="M6">
        <f t="shared" si="7"/>
        <v>0.16195488988377368</v>
      </c>
      <c r="N6" s="3">
        <v>0.69720000000000004</v>
      </c>
      <c r="O6" s="3">
        <v>0.28299999999999997</v>
      </c>
      <c r="P6">
        <f t="shared" si="1"/>
        <v>3.4982332155477032</v>
      </c>
      <c r="Q6">
        <f t="shared" si="2"/>
        <v>3.2771236356122539</v>
      </c>
      <c r="R6">
        <f t="shared" si="8"/>
        <v>6.747062501172314</v>
      </c>
      <c r="S6" s="2">
        <v>0</v>
      </c>
      <c r="T6" s="14" t="e">
        <f t="shared" si="9"/>
        <v>#DIV/0!</v>
      </c>
      <c r="U6" s="14">
        <f t="shared" si="3"/>
        <v>80.02804065935652</v>
      </c>
      <c r="V6">
        <f t="shared" si="10"/>
        <v>7.6137394999999993E-3</v>
      </c>
      <c r="W6">
        <v>0.37230999999999997</v>
      </c>
      <c r="X6">
        <v>2.0449999999999999E-2</v>
      </c>
      <c r="Z6">
        <f>_xlfn.STDEV.P(U3,U5,U6,U8)</f>
        <v>47.055061121438087</v>
      </c>
      <c r="AA6">
        <f>_xlfn.STDEV.P(T5,T8)</f>
        <v>1.3133866881808585</v>
      </c>
    </row>
    <row r="7" spans="1:28" x14ac:dyDescent="0.25">
      <c r="A7" t="s">
        <v>29</v>
      </c>
      <c r="B7" s="2">
        <f>0.83639*4.860937</f>
        <v>4.0656390974300001</v>
      </c>
      <c r="C7" s="2">
        <f>0.60756*1.057171</f>
        <v>0.64229481276</v>
      </c>
      <c r="D7">
        <v>0.7</v>
      </c>
      <c r="E7">
        <v>0.5</v>
      </c>
      <c r="F7" s="6">
        <f>(B7/C7-1)*(E7/D7)</f>
        <v>3.8070460309557559</v>
      </c>
      <c r="G7" s="6" t="e">
        <f t="shared" si="4"/>
        <v>#DIV/0!</v>
      </c>
      <c r="H7" s="6"/>
      <c r="I7">
        <f t="shared" si="5"/>
        <v>0.15798126625799422</v>
      </c>
      <c r="J7" t="e">
        <f t="shared" si="0"/>
        <v>#DIV/0!</v>
      </c>
      <c r="K7" s="2">
        <f>0.37724*1.057171</f>
        <v>0.39880718804000004</v>
      </c>
      <c r="L7">
        <f t="shared" si="6"/>
        <v>9.8092127334198656E-2</v>
      </c>
      <c r="M7">
        <f t="shared" si="7"/>
        <v>80.936288662300754</v>
      </c>
      <c r="N7" s="3">
        <v>1.8700000000000001E-2</v>
      </c>
      <c r="O7" s="3">
        <v>0.96220000000000006</v>
      </c>
      <c r="P7">
        <f t="shared" si="1"/>
        <v>1.0288921222199128</v>
      </c>
      <c r="Q7">
        <f t="shared" si="2"/>
        <v>1.1043338752336724</v>
      </c>
      <c r="R7">
        <f t="shared" si="8"/>
        <v>6.8314261389289088</v>
      </c>
      <c r="S7" s="2">
        <v>0</v>
      </c>
      <c r="T7" s="14" t="e">
        <f t="shared" si="9"/>
        <v>#DIV/0!</v>
      </c>
      <c r="U7" s="14" t="e">
        <f t="shared" si="3"/>
        <v>#DIV/0!</v>
      </c>
      <c r="V7">
        <f t="shared" si="10"/>
        <v>0</v>
      </c>
      <c r="W7">
        <v>0.37230999999999997</v>
      </c>
      <c r="X7">
        <v>0</v>
      </c>
    </row>
    <row r="8" spans="1:28" ht="15.75" thickBot="1" x14ac:dyDescent="0.3">
      <c r="A8" s="7" t="s">
        <v>24</v>
      </c>
      <c r="B8" s="9">
        <f>SUM(B3:B7)</f>
        <v>7.6292518251599999</v>
      </c>
      <c r="C8" s="9">
        <f>SUM(C3:C7)</f>
        <v>3.5374178526000004</v>
      </c>
      <c r="D8" s="7">
        <v>0.7</v>
      </c>
      <c r="E8" s="7">
        <v>0.5</v>
      </c>
      <c r="F8" s="10">
        <f t="shared" ref="F4:F8" si="11">(B8/C8-1)*(E8/D8)</f>
        <v>0.82623503177052138</v>
      </c>
      <c r="G8" s="6">
        <f t="shared" si="4"/>
        <v>5.4162561798555752E-3</v>
      </c>
      <c r="H8" s="6">
        <f>AVERAGE(G3,G5,G6,G8)</f>
        <v>4.7727613512019436E-2</v>
      </c>
      <c r="I8" s="7">
        <f t="shared" si="5"/>
        <v>0.46366510552636192</v>
      </c>
      <c r="J8" s="7">
        <f t="shared" si="0"/>
        <v>0.99247430686294802</v>
      </c>
      <c r="K8" s="9">
        <f>SUM(K3:K7)</f>
        <v>2.4828261854400004</v>
      </c>
      <c r="L8" s="4">
        <f t="shared" si="6"/>
        <v>0.32543508096718654</v>
      </c>
      <c r="M8" s="4">
        <f t="shared" si="7"/>
        <v>19.984041294473712</v>
      </c>
      <c r="N8" s="5">
        <v>0.26040000000000002</v>
      </c>
      <c r="O8" s="5">
        <v>0.69750000000000001</v>
      </c>
      <c r="P8" s="4">
        <f t="shared" si="1"/>
        <v>1.4193548387096775</v>
      </c>
      <c r="Q8" s="4">
        <f t="shared" si="2"/>
        <v>1.4765182535030885</v>
      </c>
      <c r="R8" s="4">
        <f t="shared" si="8"/>
        <v>3.8715007185172907</v>
      </c>
      <c r="S8" s="9">
        <v>1</v>
      </c>
      <c r="T8" s="7">
        <f t="shared" si="9"/>
        <v>0.59528723833373365</v>
      </c>
      <c r="U8" s="7">
        <f t="shared" si="3"/>
        <v>127.25931066988306</v>
      </c>
      <c r="V8" s="7">
        <f t="shared" si="10"/>
        <v>4.5544309989999997E-2</v>
      </c>
      <c r="W8" s="7">
        <v>0.37230999999999997</v>
      </c>
      <c r="X8" s="7">
        <f>SUM(X3:X7)</f>
        <v>0.12232899999999999</v>
      </c>
      <c r="Y8" t="s">
        <v>73</v>
      </c>
      <c r="Z8">
        <f>AVERAGE(U8,U6,U5,U3)</f>
        <v>80.956668800511352</v>
      </c>
      <c r="AA8">
        <f>AVERAGE(T5)</f>
        <v>3.2220606146954505</v>
      </c>
    </row>
    <row r="9" spans="1:28" x14ac:dyDescent="0.25">
      <c r="A9" t="s">
        <v>30</v>
      </c>
      <c r="B9" s="2">
        <v>42.940170000000002</v>
      </c>
      <c r="C9" s="2">
        <v>35.581400000000002</v>
      </c>
      <c r="D9">
        <v>0.7</v>
      </c>
      <c r="E9">
        <v>0.5</v>
      </c>
      <c r="F9" s="6">
        <f t="shared" ref="F9:F48" si="12">(B9/C9-1)*(E9/D9)</f>
        <v>0.14772505538608047</v>
      </c>
      <c r="G9" s="6">
        <f t="shared" si="4"/>
        <v>6.5202886442131361E-2</v>
      </c>
      <c r="H9" s="6">
        <f>_xlfn.STDEV.S(G9:G11)</f>
        <v>1.461672424497249E-2</v>
      </c>
      <c r="I9">
        <f t="shared" ref="I9:I49" si="13">1/(1+F9*(D9/E9))</f>
        <v>0.82862736686883176</v>
      </c>
      <c r="J9">
        <f t="shared" si="0"/>
        <v>0.91635171267257998</v>
      </c>
      <c r="K9" s="2">
        <v>25.17043</v>
      </c>
      <c r="L9">
        <f t="shared" ref="L9:L49" si="14">K9/B9</f>
        <v>0.58617443759537979</v>
      </c>
      <c r="M9">
        <f t="shared" ref="M9:M49" si="15">(ABS(L9-N9)/L9)*100</f>
        <v>4.4482385998173157</v>
      </c>
      <c r="N9" s="3">
        <v>0.56010000000000004</v>
      </c>
      <c r="O9" s="3">
        <v>0.40679999999999999</v>
      </c>
      <c r="P9">
        <f t="shared" si="1"/>
        <v>2.4336283185840708</v>
      </c>
      <c r="Q9">
        <f>(B9/(B9-K9))*(($B$49-$K$49)/$B$49)</f>
        <v>2.4068291246612992</v>
      </c>
      <c r="R9">
        <f>(ABS(P9-Q9)/Q9)*100</f>
        <v>1.1134647511190869</v>
      </c>
      <c r="S9" s="2">
        <v>1.930849</v>
      </c>
      <c r="T9" s="14">
        <f t="shared" si="9"/>
        <v>1.7352420764049354</v>
      </c>
      <c r="U9" s="14">
        <f t="shared" si="3"/>
        <v>11.449302209686374</v>
      </c>
      <c r="V9">
        <f>W9*X9</f>
        <v>2.84922327575</v>
      </c>
      <c r="W9">
        <v>0.37230999999999997</v>
      </c>
      <c r="X9">
        <v>7.652825</v>
      </c>
    </row>
    <row r="10" spans="1:28" x14ac:dyDescent="0.25">
      <c r="A10" t="s">
        <v>31</v>
      </c>
      <c r="B10" s="2">
        <v>31.002949999999998</v>
      </c>
      <c r="C10" s="2">
        <v>30.8706</v>
      </c>
      <c r="D10">
        <v>0.7</v>
      </c>
      <c r="E10">
        <v>0.5</v>
      </c>
      <c r="F10" s="6">
        <f t="shared" si="12"/>
        <v>3.0623218948032183E-3</v>
      </c>
      <c r="G10" s="6">
        <f t="shared" si="4"/>
        <v>3.6068333529850935E-2</v>
      </c>
      <c r="H10" s="6"/>
      <c r="I10">
        <f t="shared" si="13"/>
        <v>0.99573105139994755</v>
      </c>
      <c r="J10">
        <f t="shared" si="0"/>
        <v>0.95193157998567035</v>
      </c>
      <c r="K10" s="2">
        <v>18.858309999999999</v>
      </c>
      <c r="L10">
        <f t="shared" si="14"/>
        <v>0.60827469644017751</v>
      </c>
      <c r="M10">
        <f t="shared" si="15"/>
        <v>62.212895879853491</v>
      </c>
      <c r="N10" s="3">
        <v>0.98670000000000002</v>
      </c>
      <c r="O10" s="3">
        <v>1.21E-2</v>
      </c>
      <c r="P10">
        <f t="shared" si="1"/>
        <v>81.818181818181827</v>
      </c>
      <c r="Q10">
        <f t="shared" si="2"/>
        <v>2.5426169999066102</v>
      </c>
      <c r="R10">
        <f t="shared" si="8"/>
        <v>3117.8728381501023</v>
      </c>
      <c r="S10" s="2">
        <v>0.59770100000000004</v>
      </c>
      <c r="T10" s="14">
        <f t="shared" si="9"/>
        <v>4.0472838078791069</v>
      </c>
      <c r="U10" s="14">
        <f t="shared" si="3"/>
        <v>19.923985865331264</v>
      </c>
      <c r="V10">
        <f t="shared" si="10"/>
        <v>1.1821389795699999</v>
      </c>
      <c r="W10">
        <v>0.37230999999999997</v>
      </c>
      <c r="X10">
        <v>3.1751469999999999</v>
      </c>
      <c r="Z10">
        <f>_xlfn.STDEV.P(U9:U11)</f>
        <v>3.5570156697076882</v>
      </c>
      <c r="AA10">
        <f>_xlfn.STDEV.P(T9:T11)</f>
        <v>0.98664874910184786</v>
      </c>
      <c r="AB10">
        <f>B10/B49</f>
        <v>7.6303279425055997E-3</v>
      </c>
    </row>
    <row r="11" spans="1:28" ht="15.75" thickBot="1" x14ac:dyDescent="0.3">
      <c r="A11" s="7" t="s">
        <v>32</v>
      </c>
      <c r="B11" s="9">
        <f>SUM(B9:B10)</f>
        <v>73.943119999999993</v>
      </c>
      <c r="C11" s="9">
        <f>SUM(C9:C10)</f>
        <v>66.451999999999998</v>
      </c>
      <c r="D11" s="7">
        <v>0.7</v>
      </c>
      <c r="E11" s="7">
        <v>0.5</v>
      </c>
      <c r="F11" s="10">
        <f t="shared" ref="F11" si="16">(B11/C11-1)*(E11/D11)</f>
        <v>8.0521278516824113E-2</v>
      </c>
      <c r="G11" s="6">
        <f t="shared" si="4"/>
        <v>5.271629566908901E-2</v>
      </c>
      <c r="H11" s="6">
        <f>AVERAGE(G9:G11)</f>
        <v>5.13291718803571E-2</v>
      </c>
      <c r="I11" s="7">
        <f t="shared" ref="I11" si="17">1/(1+F11*(D11/E11))</f>
        <v>0.89869077745164128</v>
      </c>
      <c r="J11" s="7">
        <f t="shared" si="0"/>
        <v>0.9312696772825988</v>
      </c>
      <c r="K11" s="9">
        <f>SUM(K9:K10)</f>
        <v>44.028739999999999</v>
      </c>
      <c r="L11" s="7">
        <f t="shared" ref="L11" si="18">K11/B11</f>
        <v>0.59544065762981058</v>
      </c>
      <c r="M11" s="7">
        <f t="shared" si="15"/>
        <v>29.987764537436234</v>
      </c>
      <c r="N11" s="11">
        <v>0.77400000000000002</v>
      </c>
      <c r="O11" s="11">
        <v>0.25950000000000001</v>
      </c>
      <c r="P11" s="7">
        <f t="shared" si="1"/>
        <v>3.8150289017341041</v>
      </c>
      <c r="Q11" s="7">
        <f t="shared" si="2"/>
        <v>2.4619562862878888</v>
      </c>
      <c r="R11" s="7">
        <f t="shared" ref="R11" si="19">(ABS(P11-Q11)/Q11)*100</f>
        <v>54.959246148369424</v>
      </c>
      <c r="S11" s="9">
        <f>S10+S9</f>
        <v>2.5285500000000001</v>
      </c>
      <c r="T11" s="7">
        <f t="shared" si="9"/>
        <v>2.2817646505853326</v>
      </c>
      <c r="U11" s="7">
        <f t="shared" si="3"/>
        <v>13.934381260977782</v>
      </c>
      <c r="V11" s="7">
        <f t="shared" si="10"/>
        <v>4.0313622553199995</v>
      </c>
      <c r="W11" s="7">
        <v>0.37230999999999997</v>
      </c>
      <c r="X11" s="7">
        <f>X10+X9</f>
        <v>10.827971999999999</v>
      </c>
      <c r="Y11" t="s">
        <v>74</v>
      </c>
      <c r="Z11" s="17">
        <f>AVERAGE(U9:U11)</f>
        <v>15.102556445331807</v>
      </c>
      <c r="AA11">
        <f>AVERAGE(T9:T11)</f>
        <v>2.6880968449564584</v>
      </c>
    </row>
    <row r="12" spans="1:28" ht="15.75" thickBot="1" x14ac:dyDescent="0.3">
      <c r="A12" s="7" t="s">
        <v>34</v>
      </c>
      <c r="B12" s="9">
        <f>3.511727*B50</f>
        <v>2.9371733455299998</v>
      </c>
      <c r="C12" s="9">
        <f>4.673785*0.60756</f>
        <v>2.8396048145999999</v>
      </c>
      <c r="D12" s="7">
        <v>0.7</v>
      </c>
      <c r="E12" s="7">
        <v>0.5</v>
      </c>
      <c r="F12" s="10">
        <f t="shared" si="12"/>
        <v>2.454278406939522E-2</v>
      </c>
      <c r="G12" s="6">
        <f t="shared" si="4"/>
        <v>9.1719506647970669E-2</v>
      </c>
      <c r="H12" s="6">
        <f>G12</f>
        <v>9.1719506647970669E-2</v>
      </c>
      <c r="I12" s="7">
        <f t="shared" si="13"/>
        <v>0.96678148701080691</v>
      </c>
      <c r="J12" s="7">
        <f t="shared" si="0"/>
        <v>0.8862048231626567</v>
      </c>
      <c r="K12" s="9">
        <f>3.491013*0.37724</f>
        <v>1.3169497441200002</v>
      </c>
      <c r="L12" s="7">
        <f t="shared" si="14"/>
        <v>0.44837317692679884</v>
      </c>
      <c r="M12" s="7">
        <f t="shared" si="15"/>
        <v>100.63644443808202</v>
      </c>
      <c r="N12" s="11">
        <v>0.89959999999999996</v>
      </c>
      <c r="O12" s="11">
        <v>9.1600000000000001E-2</v>
      </c>
      <c r="P12" s="7">
        <f t="shared" si="1"/>
        <v>10.807860262008735</v>
      </c>
      <c r="Q12" s="7">
        <f t="shared" si="2"/>
        <v>1.8055819160059432</v>
      </c>
      <c r="R12" s="7">
        <f t="shared" ref="R12:R49" si="20">(ABS(P12-Q12)/Q12)*100</f>
        <v>498.5804446865738</v>
      </c>
      <c r="S12" s="9">
        <f>0.1795*0.75536</f>
        <v>0.13558712000000001</v>
      </c>
      <c r="T12" s="7">
        <f t="shared" si="9"/>
        <v>1.6902687586582958</v>
      </c>
      <c r="U12" s="7">
        <f t="shared" si="3"/>
        <v>8.4161257757281742</v>
      </c>
      <c r="V12" s="7">
        <f t="shared" si="10"/>
        <v>0.26513014182</v>
      </c>
      <c r="W12" s="7">
        <v>0.37230999999999997</v>
      </c>
      <c r="X12" s="7">
        <v>0.71212200000000003</v>
      </c>
      <c r="Y12" t="s">
        <v>75</v>
      </c>
      <c r="Z12">
        <f>U12</f>
        <v>8.4161257757281742</v>
      </c>
      <c r="AA12">
        <f>T12</f>
        <v>1.6902687586582958</v>
      </c>
    </row>
    <row r="13" spans="1:28" x14ac:dyDescent="0.25">
      <c r="A13" t="s">
        <v>35</v>
      </c>
      <c r="B13" s="2">
        <f>32.48361*0.83639</f>
        <v>27.168966567899997</v>
      </c>
      <c r="C13" s="2">
        <f>0.60756*48.12382</f>
        <v>29.2381080792</v>
      </c>
      <c r="D13">
        <v>0.7</v>
      </c>
      <c r="E13">
        <v>0.5</v>
      </c>
      <c r="F13" s="6">
        <f t="shared" si="12"/>
        <v>-5.0549037521636565E-2</v>
      </c>
      <c r="G13" s="6">
        <f t="shared" si="4"/>
        <v>0.18182691468985324</v>
      </c>
      <c r="H13" s="6"/>
      <c r="I13">
        <f t="shared" si="13"/>
        <v>1.076158270728806</v>
      </c>
      <c r="J13">
        <f t="shared" si="0"/>
        <v>0.79709368129571279</v>
      </c>
      <c r="K13" s="2">
        <f>42.72445*0.37724</f>
        <v>16.117371517999999</v>
      </c>
      <c r="L13">
        <f t="shared" si="14"/>
        <v>0.59322725719875546</v>
      </c>
      <c r="M13">
        <f t="shared" si="15"/>
        <v>112.65037718544106</v>
      </c>
      <c r="N13" s="3">
        <v>1.2615000000000001</v>
      </c>
      <c r="O13" s="3">
        <v>-0.23599999999999999</v>
      </c>
      <c r="P13">
        <f t="shared" si="1"/>
        <v>-4.1949152542372881</v>
      </c>
      <c r="Q13">
        <f t="shared" si="2"/>
        <v>2.4485598746508113</v>
      </c>
      <c r="R13">
        <f t="shared" si="20"/>
        <v>271.32173477422208</v>
      </c>
      <c r="S13" s="2">
        <f>2.356262*0.75536</f>
        <v>1.7798260643200001</v>
      </c>
      <c r="T13" s="14">
        <f t="shared" si="9"/>
        <v>1.1910779341912152</v>
      </c>
      <c r="U13" s="14">
        <f t="shared" si="3"/>
        <v>4.7199837198272263</v>
      </c>
      <c r="V13">
        <f>W13*X13</f>
        <v>4.3729484894999997</v>
      </c>
      <c r="W13">
        <v>0.37230999999999997</v>
      </c>
      <c r="X13">
        <v>11.74545</v>
      </c>
    </row>
    <row r="14" spans="1:28" x14ac:dyDescent="0.25">
      <c r="A14" t="s">
        <v>36</v>
      </c>
      <c r="B14" s="2">
        <f>45.82875*0.83639</f>
        <v>38.330708212499999</v>
      </c>
      <c r="C14" s="2">
        <f>64.81578*0.60756</f>
        <v>39.379475296800003</v>
      </c>
      <c r="D14">
        <v>0.7</v>
      </c>
      <c r="E14">
        <v>0.5</v>
      </c>
      <c r="F14" s="6">
        <f t="shared" si="12"/>
        <v>-1.9023091097139351E-2</v>
      </c>
      <c r="G14" s="6">
        <f t="shared" si="4"/>
        <v>0.37327141163199573</v>
      </c>
      <c r="H14" s="6">
        <f>STDEV(G13:G16)</f>
        <v>0.10425971856108808</v>
      </c>
      <c r="I14">
        <f t="shared" si="13"/>
        <v>1.0273610150505383</v>
      </c>
      <c r="J14">
        <f t="shared" si="0"/>
        <v>0.65677994954332242</v>
      </c>
      <c r="K14" s="2">
        <f>59.68744*0.37724</f>
        <v>22.516489865600001</v>
      </c>
      <c r="L14">
        <f>K14/B14</f>
        <v>0.58742691997162644</v>
      </c>
      <c r="M14">
        <f t="shared" si="15"/>
        <v>85.350715634991772</v>
      </c>
      <c r="N14" s="3">
        <v>1.0888</v>
      </c>
      <c r="O14" s="3">
        <v>-0.80500000000000005</v>
      </c>
      <c r="P14">
        <f t="shared" si="1"/>
        <v>-1.2298136645962732</v>
      </c>
      <c r="Q14">
        <f t="shared" si="2"/>
        <v>2.4141357357980904</v>
      </c>
      <c r="R14">
        <f t="shared" si="20"/>
        <v>150.94219212117784</v>
      </c>
      <c r="S14" s="2">
        <f>5.871378*0.75536</f>
        <v>4.4350040860800002</v>
      </c>
      <c r="T14" s="14">
        <f t="shared" si="9"/>
        <v>0.67436875659763529</v>
      </c>
      <c r="U14" s="14">
        <f t="shared" si="3"/>
        <v>2.7903804560951677</v>
      </c>
      <c r="V14">
        <f t="shared" si="10"/>
        <v>10.435786007299999</v>
      </c>
      <c r="W14">
        <v>0.37230999999999997</v>
      </c>
      <c r="X14">
        <v>28.02983</v>
      </c>
    </row>
    <row r="15" spans="1:28" x14ac:dyDescent="0.25">
      <c r="A15" t="s">
        <v>37</v>
      </c>
      <c r="B15" s="2">
        <f>40.86616*0.83639</f>
        <v>34.180047562399999</v>
      </c>
      <c r="C15" s="2">
        <f>58.33098*0.605</f>
        <v>35.290242899999996</v>
      </c>
      <c r="D15">
        <v>0.7</v>
      </c>
      <c r="E15">
        <v>0.5</v>
      </c>
      <c r="F15" s="6">
        <f t="shared" ref="F15" si="21">(B15/C15-1)*(E15/D15)</f>
        <v>-2.2470705910451035E-2</v>
      </c>
      <c r="G15" s="6">
        <f t="shared" si="4"/>
        <v>0.13119475111862225</v>
      </c>
      <c r="H15" s="6"/>
      <c r="I15">
        <f t="shared" ref="I15" si="22">1/(1+F15*(D15/E15))</f>
        <v>1.0324808014258375</v>
      </c>
      <c r="J15">
        <f t="shared" si="0"/>
        <v>0.84482816991415566</v>
      </c>
      <c r="K15" s="2">
        <f>53.344*0.37724</f>
        <v>20.12349056</v>
      </c>
      <c r="L15">
        <f t="shared" ref="L15" si="23">K15/B15</f>
        <v>0.58874963597584307</v>
      </c>
      <c r="M15">
        <f t="shared" si="15"/>
        <v>87.855742478179693</v>
      </c>
      <c r="N15" s="3">
        <v>1.1060000000000001</v>
      </c>
      <c r="O15" s="3">
        <v>-9.6100000000000005E-2</v>
      </c>
      <c r="P15">
        <f t="shared" si="1"/>
        <v>-10.301768990634756</v>
      </c>
      <c r="Q15">
        <f t="shared" si="2"/>
        <v>2.4219003878286571</v>
      </c>
      <c r="R15">
        <f t="shared" ref="R15" si="24">(ABS(P15-Q15)/Q15)*100</f>
        <v>525.35890585783977</v>
      </c>
      <c r="S15" s="2">
        <f>2.7191*0.75536</f>
        <v>2.0538993759999999</v>
      </c>
      <c r="T15" s="14">
        <f t="shared" si="9"/>
        <v>1.2984885422888608</v>
      </c>
      <c r="U15" s="14">
        <f t="shared" si="3"/>
        <v>6.1719612406741762</v>
      </c>
      <c r="V15">
        <f t="shared" si="10"/>
        <v>4.2071811850999996</v>
      </c>
      <c r="W15">
        <v>0.37230999999999997</v>
      </c>
      <c r="X15">
        <v>11.30021</v>
      </c>
    </row>
    <row r="16" spans="1:28" ht="15.75" thickBot="1" x14ac:dyDescent="0.3">
      <c r="A16" s="7" t="s">
        <v>38</v>
      </c>
      <c r="B16" s="9">
        <f>B13+B14+B15</f>
        <v>99.679722342800005</v>
      </c>
      <c r="C16" s="9">
        <f>C15+C14+C13</f>
        <v>103.90782627600001</v>
      </c>
      <c r="D16" s="7">
        <v>0.7</v>
      </c>
      <c r="E16" s="7">
        <v>0.5</v>
      </c>
      <c r="F16" s="10">
        <f t="shared" si="12"/>
        <v>-2.9064935204958311E-2</v>
      </c>
      <c r="G16" s="6">
        <f t="shared" si="4"/>
        <v>0.22617555699614356</v>
      </c>
      <c r="H16" s="6">
        <f>AVERAGE(G13:G16)</f>
        <v>0.22811715860915369</v>
      </c>
      <c r="I16" s="7">
        <f t="shared" si="13"/>
        <v>1.0424168911572556</v>
      </c>
      <c r="J16" s="7">
        <f t="shared" si="0"/>
        <v>0.75950571926490484</v>
      </c>
      <c r="K16" s="9">
        <f>K15+K14+K13</f>
        <v>58.7573519436</v>
      </c>
      <c r="L16" s="7">
        <f t="shared" si="14"/>
        <v>0.58946143270275797</v>
      </c>
      <c r="M16" s="7">
        <f t="shared" si="15"/>
        <v>93.413841304679067</v>
      </c>
      <c r="N16" s="11">
        <v>1.1400999999999999</v>
      </c>
      <c r="O16" s="11">
        <v>-0.1268</v>
      </c>
      <c r="P16" s="7">
        <f t="shared" si="1"/>
        <v>-7.8075709779179805</v>
      </c>
      <c r="Q16" s="7">
        <f t="shared" si="2"/>
        <v>2.4260995079754424</v>
      </c>
      <c r="R16" s="7">
        <f t="shared" si="20"/>
        <v>421.81577681590346</v>
      </c>
      <c r="S16" s="9">
        <f>S15+S14+S13</f>
        <v>8.2687295263999996</v>
      </c>
      <c r="T16" s="7">
        <f t="shared" si="9"/>
        <v>0.94061663582816568</v>
      </c>
      <c r="U16" s="7">
        <f t="shared" si="3"/>
        <v>3.9822756616371859</v>
      </c>
      <c r="V16" s="7">
        <f t="shared" si="10"/>
        <v>19.015915681899997</v>
      </c>
      <c r="W16" s="7">
        <v>0.37230999999999997</v>
      </c>
      <c r="X16" s="7">
        <f>X15+X14+X13</f>
        <v>51.075489999999995</v>
      </c>
      <c r="Y16" t="s">
        <v>76</v>
      </c>
      <c r="Z16" s="16">
        <f>AVERAGE(U13:U16)</f>
        <v>4.4161502695584387</v>
      </c>
      <c r="AA16">
        <f>AVERAGE(T13:T16)</f>
        <v>1.0261379672264692</v>
      </c>
    </row>
    <row r="17" spans="1:27" x14ac:dyDescent="0.25">
      <c r="A17" t="s">
        <v>39</v>
      </c>
      <c r="B17" s="2">
        <f>34.1892*0.83639</f>
        <v>28.595504987999998</v>
      </c>
      <c r="C17" s="2">
        <f>47.51102*0.83639</f>
        <v>39.737742017800002</v>
      </c>
      <c r="D17">
        <v>0.7</v>
      </c>
      <c r="E17">
        <v>0.5</v>
      </c>
      <c r="F17" s="6">
        <f t="shared" si="12"/>
        <v>-0.20028165495680197</v>
      </c>
      <c r="G17" s="6">
        <f t="shared" si="4"/>
        <v>4.4397503226311405E-2</v>
      </c>
      <c r="H17" s="6"/>
      <c r="I17">
        <f t="shared" si="13"/>
        <v>1.3896499479367757</v>
      </c>
      <c r="J17">
        <f t="shared" si="0"/>
        <v>0.94148084180390135</v>
      </c>
      <c r="K17" s="2">
        <f>41.76794*0.37724</f>
        <v>15.756537685600001</v>
      </c>
      <c r="L17">
        <f t="shared" si="14"/>
        <v>0.55101449308946204</v>
      </c>
      <c r="M17">
        <f t="shared" si="15"/>
        <v>426.82824796927594</v>
      </c>
      <c r="N17" s="3">
        <v>2.9028999999999998</v>
      </c>
      <c r="O17" s="3">
        <v>-1.6702999999999999</v>
      </c>
      <c r="P17">
        <f t="shared" si="1"/>
        <v>-0.59270789678500879</v>
      </c>
      <c r="Q17">
        <f t="shared" si="2"/>
        <v>2.2183509284704819</v>
      </c>
      <c r="R17">
        <f t="shared" si="20"/>
        <v>126.71840100581704</v>
      </c>
      <c r="S17" s="2">
        <f>0.496964*0.338139</f>
        <v>0.16804290999600002</v>
      </c>
      <c r="T17" s="14">
        <f t="shared" si="9"/>
        <v>13.277680037968612</v>
      </c>
      <c r="U17" s="14">
        <f t="shared" si="3"/>
        <v>16.365828738085956</v>
      </c>
      <c r="V17">
        <f t="shared" si="10"/>
        <v>1.3273990768599999</v>
      </c>
      <c r="W17">
        <v>0.37230999999999997</v>
      </c>
      <c r="X17" s="12">
        <v>3.5653060000000001</v>
      </c>
    </row>
    <row r="18" spans="1:27" x14ac:dyDescent="0.25">
      <c r="A18" t="s">
        <v>40</v>
      </c>
      <c r="B18" s="2">
        <f>24.12971*0.83639</f>
        <v>20.181848146899998</v>
      </c>
      <c r="C18" s="2">
        <f>32.96189*0.60756</f>
        <v>20.026325888399999</v>
      </c>
      <c r="D18">
        <v>0.7</v>
      </c>
      <c r="E18">
        <v>0.5</v>
      </c>
      <c r="F18" s="6">
        <f t="shared" si="12"/>
        <v>5.54706480455033E-3</v>
      </c>
      <c r="G18" s="6">
        <f t="shared" si="4"/>
        <v>4.5490333538501515E-2</v>
      </c>
      <c r="H18" s="6">
        <f>_xlfn.STDEV.S(G17:G22)</f>
        <v>6.3656616424542537E-3</v>
      </c>
      <c r="I18">
        <f t="shared" si="13"/>
        <v>0.99229395358799743</v>
      </c>
      <c r="J18">
        <f t="shared" si="0"/>
        <v>0.94012665486260993</v>
      </c>
      <c r="K18" s="2">
        <f>29.05825*0.37724</f>
        <v>10.961934230000001</v>
      </c>
      <c r="L18">
        <f t="shared" si="14"/>
        <v>0.54315809683087879</v>
      </c>
      <c r="M18">
        <f t="shared" si="15"/>
        <v>79.689855622992511</v>
      </c>
      <c r="N18" s="3">
        <v>0.97599999999999998</v>
      </c>
      <c r="O18" s="3">
        <v>2.18E-2</v>
      </c>
      <c r="P18">
        <f t="shared" si="1"/>
        <v>45.412844036697244</v>
      </c>
      <c r="Q18">
        <f t="shared" si="2"/>
        <v>2.1802015297096418</v>
      </c>
      <c r="R18">
        <f t="shared" si="20"/>
        <v>1982.9654239690999</v>
      </c>
      <c r="S18" s="2">
        <f>0.359776*0.75536</f>
        <v>0.27176039936000002</v>
      </c>
      <c r="T18" s="14">
        <f t="shared" si="9"/>
        <v>5.7945455896579459</v>
      </c>
      <c r="U18" s="14">
        <f t="shared" si="3"/>
        <v>15.995674180833937</v>
      </c>
      <c r="V18">
        <f t="shared" si="10"/>
        <v>0.9585176796499999</v>
      </c>
      <c r="W18">
        <v>0.37230999999999997</v>
      </c>
      <c r="X18" s="12">
        <v>2.5745149999999999</v>
      </c>
    </row>
    <row r="19" spans="1:27" x14ac:dyDescent="0.25">
      <c r="A19" t="s">
        <v>41</v>
      </c>
      <c r="B19" s="2">
        <f>21.44079*0.83639</f>
        <v>17.932862348099999</v>
      </c>
      <c r="C19" s="2">
        <f>30.12558*0.60756</f>
        <v>18.303097384800001</v>
      </c>
      <c r="D19">
        <v>0.7</v>
      </c>
      <c r="E19">
        <v>0.5</v>
      </c>
      <c r="F19" s="6">
        <f t="shared" si="12"/>
        <v>-1.4448570757344958E-2</v>
      </c>
      <c r="G19" s="6">
        <f t="shared" si="4"/>
        <v>4.6202545612477372E-2</v>
      </c>
      <c r="H19" s="6"/>
      <c r="I19">
        <f t="shared" si="13"/>
        <v>1.0206456186142101</v>
      </c>
      <c r="J19">
        <f t="shared" si="0"/>
        <v>0.93924620793138536</v>
      </c>
      <c r="K19" s="2">
        <f>26.97185*0.37724</f>
        <v>10.174860694000001</v>
      </c>
      <c r="L19">
        <f t="shared" si="14"/>
        <v>0.56738631549681395</v>
      </c>
      <c r="M19">
        <f t="shared" si="15"/>
        <v>87.967169963581668</v>
      </c>
      <c r="N19" s="3">
        <v>1.0665</v>
      </c>
      <c r="O19" s="3">
        <v>-6.0299999999999999E-2</v>
      </c>
      <c r="P19">
        <f t="shared" si="1"/>
        <v>-16.417910447761194</v>
      </c>
      <c r="Q19">
        <f t="shared" si="2"/>
        <v>2.3023021504014554</v>
      </c>
      <c r="R19">
        <f t="shared" si="20"/>
        <v>813.10841823686712</v>
      </c>
      <c r="S19" s="2">
        <f>0.139434*0.75536</f>
        <v>0.10532286624000001</v>
      </c>
      <c r="T19" s="14">
        <f t="shared" si="9"/>
        <v>13.285306170249472</v>
      </c>
      <c r="U19" s="14">
        <f t="shared" si="3"/>
        <v>15.763864086914573</v>
      </c>
      <c r="V19">
        <f t="shared" si="10"/>
        <v>0.86422868290999988</v>
      </c>
      <c r="W19">
        <v>0.37230999999999997</v>
      </c>
      <c r="X19" s="12">
        <v>2.3212609999999998</v>
      </c>
      <c r="Z19">
        <f>_xlfn.STDEV.P(U17:U22)</f>
        <v>1.4290641579308345</v>
      </c>
      <c r="AA19">
        <f>_xlfn.STDEV.P(T17:T22)</f>
        <v>3.4232375659083703</v>
      </c>
    </row>
    <row r="20" spans="1:27" x14ac:dyDescent="0.25">
      <c r="A20" t="s">
        <v>42</v>
      </c>
      <c r="B20" s="2">
        <f>14.8658*0.83639</f>
        <v>12.433606462</v>
      </c>
      <c r="C20" s="2">
        <f>14.8658*0.60756</f>
        <v>9.0318654479999996</v>
      </c>
      <c r="D20">
        <v>0.7</v>
      </c>
      <c r="E20">
        <v>0.5</v>
      </c>
      <c r="F20" s="6">
        <f t="shared" ref="F20" si="25">(B20/C20-1)*(E20/D20)</f>
        <v>0.26902692738165779</v>
      </c>
      <c r="G20" s="6">
        <f t="shared" si="4"/>
        <v>4.5930323395305513E-2</v>
      </c>
      <c r="H20" s="6"/>
      <c r="I20">
        <f t="shared" ref="I20" si="26">1/(1+F20*(D20/E20))</f>
        <v>0.72640753715372008</v>
      </c>
      <c r="J20">
        <f t="shared" si="0"/>
        <v>0.93958253822766957</v>
      </c>
      <c r="K20" s="2">
        <f>18.14312*0.37724</f>
        <v>6.8443105888</v>
      </c>
      <c r="L20">
        <f t="shared" ref="L20" si="27">K20/B20</f>
        <v>0.55046865201321982</v>
      </c>
      <c r="M20">
        <f t="shared" si="15"/>
        <v>31.276740534370166</v>
      </c>
      <c r="N20" s="3">
        <v>0.37830000000000003</v>
      </c>
      <c r="O20" s="3">
        <v>0.58089999999999997</v>
      </c>
      <c r="P20">
        <f t="shared" si="1"/>
        <v>1.7042520227233602</v>
      </c>
      <c r="Q20">
        <f t="shared" si="2"/>
        <v>2.2156573075167891</v>
      </c>
      <c r="R20">
        <f t="shared" ref="R20" si="28">(ABS(P20-Q20)/Q20)*100</f>
        <v>23.081425230266742</v>
      </c>
      <c r="S20" s="2">
        <f>0.223004*0.75536</f>
        <v>0.16844830144</v>
      </c>
      <c r="T20" s="14">
        <f t="shared" si="9"/>
        <v>5.7593716367832695</v>
      </c>
      <c r="U20" s="14">
        <f t="shared" si="3"/>
        <v>15.851617940244505</v>
      </c>
      <c r="V20">
        <f t="shared" si="10"/>
        <v>0.59588885658000001</v>
      </c>
      <c r="W20">
        <v>0.37230999999999997</v>
      </c>
      <c r="X20" s="12">
        <v>1.6005180000000001</v>
      </c>
    </row>
    <row r="21" spans="1:27" x14ac:dyDescent="0.25">
      <c r="A21" t="s">
        <v>43</v>
      </c>
      <c r="B21" s="2">
        <f>15.50854*0.83639</f>
        <v>12.9711877706</v>
      </c>
      <c r="C21" s="2">
        <f>15.50854*0.60756</f>
        <v>9.4223685623999991</v>
      </c>
      <c r="D21">
        <v>0.7</v>
      </c>
      <c r="E21">
        <v>0.5</v>
      </c>
      <c r="F21" s="6">
        <f t="shared" si="12"/>
        <v>0.26902692738165795</v>
      </c>
      <c r="G21" s="6">
        <f t="shared" si="4"/>
        <v>6.1302758065631603E-2</v>
      </c>
      <c r="H21" s="6"/>
      <c r="I21">
        <f t="shared" si="13"/>
        <v>0.72640753715371997</v>
      </c>
      <c r="J21">
        <f t="shared" si="0"/>
        <v>0.92095968383880122</v>
      </c>
      <c r="K21" s="2">
        <f>0.37724*17.60149</f>
        <v>6.6399860875999996</v>
      </c>
      <c r="L21">
        <f t="shared" si="14"/>
        <v>0.51190270351724754</v>
      </c>
      <c r="M21">
        <f t="shared" si="15"/>
        <v>26.099237726089886</v>
      </c>
      <c r="N21" s="3">
        <v>0.37830000000000003</v>
      </c>
      <c r="O21" s="3">
        <v>0.58089999999999997</v>
      </c>
      <c r="P21">
        <f t="shared" si="1"/>
        <v>1.7042520227233602</v>
      </c>
      <c r="Q21">
        <f t="shared" si="2"/>
        <v>2.0405919543133084</v>
      </c>
      <c r="R21">
        <f t="shared" si="20"/>
        <v>16.482468769859086</v>
      </c>
      <c r="S21" s="2">
        <f>0.247534*0.75536</f>
        <v>0.18697728224000001</v>
      </c>
      <c r="T21" s="14">
        <f t="shared" si="9"/>
        <v>5.4129688188242087</v>
      </c>
      <c r="U21" s="14">
        <f t="shared" si="3"/>
        <v>12.116785046521063</v>
      </c>
      <c r="V21">
        <f t="shared" si="10"/>
        <v>0.8132687516599999</v>
      </c>
      <c r="W21">
        <v>0.37230999999999997</v>
      </c>
      <c r="X21" s="12">
        <v>2.1843859999999999</v>
      </c>
    </row>
    <row r="22" spans="1:27" ht="15.75" thickBot="1" x14ac:dyDescent="0.3">
      <c r="A22" s="7" t="s">
        <v>44</v>
      </c>
      <c r="B22" s="9">
        <f>B21+B20+B19+B18+B17</f>
        <v>92.115009715599996</v>
      </c>
      <c r="C22" s="9">
        <f>C21+C20+C19+C18+C17</f>
        <v>96.521399301399995</v>
      </c>
      <c r="D22" s="7">
        <v>0.7</v>
      </c>
      <c r="E22" s="7">
        <v>0.5</v>
      </c>
      <c r="F22" s="10">
        <f t="shared" ref="F22:F24" si="29">(B22/C22-1)*(E22/D22)</f>
        <v>-3.2608531947263542E-2</v>
      </c>
      <c r="G22" s="6">
        <f t="shared" si="4"/>
        <v>4.7535194465128744E-2</v>
      </c>
      <c r="H22" s="6">
        <f>AVERAGE(G17:G22)</f>
        <v>4.8476443050559349E-2</v>
      </c>
      <c r="I22" s="7">
        <f t="shared" ref="I22:I24" si="30">1/(1+F22*(D22/E22))</f>
        <v>1.0478357392503619</v>
      </c>
      <c r="J22" s="7">
        <f t="shared" si="0"/>
        <v>0.93760319004229997</v>
      </c>
      <c r="K22" s="9">
        <f>K21+K20+K19+K18+K17</f>
        <v>50.377629286000008</v>
      </c>
      <c r="L22" s="7">
        <f t="shared" ref="L22:L24" si="31">K22/B22</f>
        <v>0.54689924521028832</v>
      </c>
      <c r="M22" s="7">
        <f t="shared" si="15"/>
        <v>190.72996789173277</v>
      </c>
      <c r="N22" s="11">
        <v>1.59</v>
      </c>
      <c r="O22" s="11">
        <v>-0.14380000000000001</v>
      </c>
      <c r="P22" s="7">
        <f t="shared" si="1"/>
        <v>-6.8845618915159941</v>
      </c>
      <c r="Q22" s="7">
        <f t="shared" si="2"/>
        <v>2.1982029506594802</v>
      </c>
      <c r="R22" s="7">
        <f t="shared" ref="R22:R24" si="32">(ABS(P22-Q22)/Q22)*100</f>
        <v>413.19045811718917</v>
      </c>
      <c r="S22" s="9">
        <f>S21+S20+S19+S18+S17</f>
        <v>0.90055175927600006</v>
      </c>
      <c r="T22" s="7">
        <f t="shared" si="9"/>
        <v>7.9811660284886665</v>
      </c>
      <c r="U22" s="7">
        <f t="shared" si="3"/>
        <v>15.34877378480668</v>
      </c>
      <c r="V22" s="7">
        <f t="shared" si="10"/>
        <v>4.5593030476599994</v>
      </c>
      <c r="W22" s="7">
        <v>0.37230999999999997</v>
      </c>
      <c r="X22" s="7">
        <f>SUM(X17:X21)</f>
        <v>12.245985999999998</v>
      </c>
      <c r="Y22" t="s">
        <v>77</v>
      </c>
      <c r="Z22">
        <f>AVERAGE(U17:U22)</f>
        <v>15.240423962901119</v>
      </c>
      <c r="AA22">
        <f>AVERAGE(T17:T22)</f>
        <v>8.5851730469953633</v>
      </c>
    </row>
    <row r="23" spans="1:27" x14ac:dyDescent="0.25">
      <c r="A23" t="s">
        <v>45</v>
      </c>
      <c r="B23" s="2">
        <f>0.219643*0.83639</f>
        <v>0.18370720876999999</v>
      </c>
      <c r="C23" s="2">
        <f>0.190823*0.60756</f>
        <v>0.11593642187999999</v>
      </c>
      <c r="D23">
        <v>0.7</v>
      </c>
      <c r="E23">
        <v>0.5</v>
      </c>
      <c r="F23" s="6">
        <f t="shared" si="29"/>
        <v>0.41753664755613185</v>
      </c>
      <c r="G23" s="6">
        <f t="shared" si="4"/>
        <v>1.5305534485036132E-2</v>
      </c>
      <c r="H23" s="6"/>
      <c r="I23">
        <f t="shared" si="30"/>
        <v>0.63109348106829877</v>
      </c>
      <c r="J23">
        <f t="shared" si="0"/>
        <v>0.97902176799567764</v>
      </c>
      <c r="K23" s="2">
        <f>0.118055*0.37724</f>
        <v>4.45350682E-2</v>
      </c>
      <c r="L23">
        <f t="shared" si="31"/>
        <v>0.24242417321661863</v>
      </c>
      <c r="M23">
        <f t="shared" si="15"/>
        <v>3.9912796875811152</v>
      </c>
      <c r="N23" s="3">
        <v>0.25209999999999999</v>
      </c>
      <c r="O23" s="3">
        <v>0.70579999999999998</v>
      </c>
      <c r="P23">
        <f t="shared" si="1"/>
        <v>1.4026636440918108</v>
      </c>
      <c r="Q23">
        <f t="shared" si="2"/>
        <v>1.3147296691788146</v>
      </c>
      <c r="R23">
        <f t="shared" si="32"/>
        <v>6.6883692499249721</v>
      </c>
      <c r="S23" s="2">
        <f>0</f>
        <v>0</v>
      </c>
      <c r="T23" s="14" t="e">
        <f t="shared" si="9"/>
        <v>#DIV/0!</v>
      </c>
      <c r="U23" s="14">
        <f t="shared" si="3"/>
        <v>45.652775731385951</v>
      </c>
      <c r="V23">
        <f t="shared" si="10"/>
        <v>3.0570374099999995E-3</v>
      </c>
      <c r="W23">
        <v>0.37230999999999997</v>
      </c>
      <c r="X23" s="12">
        <v>8.2109999999999995E-3</v>
      </c>
    </row>
    <row r="24" spans="1:27" x14ac:dyDescent="0.25">
      <c r="A24" t="s">
        <v>46</v>
      </c>
      <c r="B24" s="2">
        <f>0.399855*0.83639</f>
        <v>0.33443472345000003</v>
      </c>
      <c r="C24" s="2">
        <f>0.254826*0.60756</f>
        <v>0.15482208455999999</v>
      </c>
      <c r="D24">
        <v>0.7</v>
      </c>
      <c r="E24">
        <v>0.5</v>
      </c>
      <c r="F24" s="6">
        <f t="shared" si="29"/>
        <v>0.82865918275739414</v>
      </c>
      <c r="G24" s="6" t="e">
        <f t="shared" si="4"/>
        <v>#DIV/0!</v>
      </c>
      <c r="H24" s="6" t="s">
        <v>89</v>
      </c>
      <c r="I24">
        <f t="shared" si="30"/>
        <v>0.46293663218600206</v>
      </c>
      <c r="J24" t="e">
        <f t="shared" si="0"/>
        <v>#DIV/0!</v>
      </c>
      <c r="K24" s="2">
        <f>0.290754*0.37724</f>
        <v>0.10968403896000001</v>
      </c>
      <c r="L24">
        <f t="shared" si="31"/>
        <v>0.32796845324106549</v>
      </c>
      <c r="M24">
        <f t="shared" si="15"/>
        <v>66.948040603062793</v>
      </c>
      <c r="N24" s="3">
        <v>0.1084</v>
      </c>
      <c r="O24" s="3">
        <v>0.85570000000000002</v>
      </c>
      <c r="P24">
        <f t="shared" si="1"/>
        <v>1.1569475283393711</v>
      </c>
      <c r="Q24">
        <f t="shared" si="2"/>
        <v>1.482084317214444</v>
      </c>
      <c r="R24">
        <f t="shared" si="32"/>
        <v>21.937806445868262</v>
      </c>
      <c r="S24" s="2">
        <v>0</v>
      </c>
      <c r="T24" s="14" t="e">
        <f t="shared" si="9"/>
        <v>#DIV/0!</v>
      </c>
      <c r="U24" s="14" t="e">
        <f t="shared" si="3"/>
        <v>#DIV/0!</v>
      </c>
      <c r="V24">
        <f t="shared" si="10"/>
        <v>0</v>
      </c>
      <c r="W24">
        <v>0.37230999999999997</v>
      </c>
      <c r="X24" s="12">
        <v>0</v>
      </c>
    </row>
    <row r="25" spans="1:27" x14ac:dyDescent="0.25">
      <c r="A25" t="s">
        <v>47</v>
      </c>
      <c r="B25" s="2">
        <f>0.306351*0.83639</f>
        <v>0.25622891288999999</v>
      </c>
      <c r="C25" s="2">
        <f>0.221727*0.60756</f>
        <v>0.13471245611999999</v>
      </c>
      <c r="D25">
        <v>0.7</v>
      </c>
      <c r="E25">
        <v>0.5</v>
      </c>
      <c r="F25" s="6">
        <f t="shared" ref="F25" si="33">(B25/C25-1)*(E25/D25)</f>
        <v>0.64431658082241927</v>
      </c>
      <c r="G25" s="6">
        <f t="shared" si="4"/>
        <v>1.117856859313918E-2</v>
      </c>
      <c r="H25" s="6">
        <f>_xlfn.STDEV.S(G23,G25,G26,G27)</f>
        <v>6.8529811534493576E-3</v>
      </c>
      <c r="I25">
        <f t="shared" ref="I25" si="34">1/(1+F25*(D25/E25))</f>
        <v>0.52575041044580528</v>
      </c>
      <c r="J25">
        <f t="shared" si="0"/>
        <v>0.98459115237378836</v>
      </c>
      <c r="K25" s="2">
        <f>0.275923*0.37724</f>
        <v>0.10408919252</v>
      </c>
      <c r="L25">
        <f t="shared" ref="L25" si="35">K25/B25</f>
        <v>0.4062351564699721</v>
      </c>
      <c r="M25">
        <f t="shared" si="15"/>
        <v>62.583248254330869</v>
      </c>
      <c r="N25" s="3">
        <v>0.152</v>
      </c>
      <c r="O25" s="3">
        <v>0.80879999999999996</v>
      </c>
      <c r="P25">
        <f t="shared" si="1"/>
        <v>1.2240356083086052</v>
      </c>
      <c r="Q25">
        <f t="shared" si="2"/>
        <v>1.677444239041431</v>
      </c>
      <c r="R25">
        <f t="shared" ref="R25" si="36">(ABS(P25-Q25)/Q25)*100</f>
        <v>27.029728928093871</v>
      </c>
      <c r="S25" s="2">
        <v>0</v>
      </c>
      <c r="T25" s="14" t="e">
        <f t="shared" si="9"/>
        <v>#DIV/0!</v>
      </c>
      <c r="U25" s="14">
        <f t="shared" si="3"/>
        <v>62.153546077330411</v>
      </c>
      <c r="V25">
        <f t="shared" si="10"/>
        <v>3.1318717199999993E-3</v>
      </c>
      <c r="W25">
        <v>0.37230999999999997</v>
      </c>
      <c r="X25" s="12">
        <v>8.4119999999999993E-3</v>
      </c>
      <c r="Z25">
        <f>_xlfn.STDEV.P(U23,U25,U26,U27)</f>
        <v>13.806691509484448</v>
      </c>
    </row>
    <row r="26" spans="1:27" x14ac:dyDescent="0.25">
      <c r="A26" t="s">
        <v>48</v>
      </c>
      <c r="B26" s="2">
        <f>0.294951*0.83639</f>
        <v>0.24669406689000001</v>
      </c>
      <c r="C26" s="2">
        <f>0.20327*0.60756</f>
        <v>0.12349872120000001</v>
      </c>
      <c r="D26">
        <v>0.7</v>
      </c>
      <c r="E26">
        <v>0.5</v>
      </c>
      <c r="F26" s="6">
        <f t="shared" ref="F26" si="37">(B26/C26-1)*(E26/D26)</f>
        <v>0.71253106621525997</v>
      </c>
      <c r="G26" s="6">
        <f t="shared" si="4"/>
        <v>2.5929819083591203E-2</v>
      </c>
      <c r="H26" s="6"/>
      <c r="I26">
        <f t="shared" ref="I26" si="38">1/(1+F26*(D26/E26))</f>
        <v>0.50061488205578797</v>
      </c>
      <c r="J26">
        <f t="shared" si="0"/>
        <v>0.96496990685190831</v>
      </c>
      <c r="K26" s="2">
        <f>0.264523*0.37724</f>
        <v>9.9788656520000005E-2</v>
      </c>
      <c r="L26">
        <f t="shared" ref="L26" si="39">K26/B26</f>
        <v>0.40450367444181545</v>
      </c>
      <c r="M26">
        <f t="shared" si="15"/>
        <v>67.046034826767908</v>
      </c>
      <c r="N26" s="3">
        <v>0.1333</v>
      </c>
      <c r="O26" s="3">
        <v>0.82869999999999999</v>
      </c>
      <c r="P26">
        <f t="shared" si="1"/>
        <v>1.1946422106914445</v>
      </c>
      <c r="Q26">
        <f t="shared" si="2"/>
        <v>1.6725668545329497</v>
      </c>
      <c r="R26">
        <f t="shared" ref="R26" si="40">(ABS(P26-Q26)/Q26)*100</f>
        <v>28.574322308626744</v>
      </c>
      <c r="S26" s="2">
        <v>0</v>
      </c>
      <c r="T26" s="14" t="e">
        <f t="shared" si="9"/>
        <v>#DIV/0!</v>
      </c>
      <c r="U26" s="14">
        <f t="shared" si="3"/>
        <v>27.339765180912242</v>
      </c>
      <c r="V26">
        <f t="shared" si="10"/>
        <v>6.8549717200000002E-3</v>
      </c>
      <c r="W26">
        <v>0.37230999999999997</v>
      </c>
      <c r="X26" s="12">
        <v>1.8412000000000001E-2</v>
      </c>
    </row>
    <row r="27" spans="1:27" ht="15.75" thickBot="1" x14ac:dyDescent="0.3">
      <c r="A27" s="7" t="s">
        <v>49</v>
      </c>
      <c r="B27" s="9">
        <f>B26+B25+B24+B23</f>
        <v>1.0210649119999999</v>
      </c>
      <c r="C27" s="9">
        <f>C26+C25+C24+C23</f>
        <v>0.52896968375999998</v>
      </c>
      <c r="D27" s="7">
        <v>0.7</v>
      </c>
      <c r="E27" s="7">
        <v>0.5</v>
      </c>
      <c r="F27" s="10">
        <f t="shared" si="12"/>
        <v>0.66449288568204279</v>
      </c>
      <c r="G27" s="6">
        <f t="shared" si="4"/>
        <v>1.169151521606872E-2</v>
      </c>
      <c r="H27" s="6">
        <f>AVERAGE(G23,G25,G26,G27)</f>
        <v>1.6026359344458809E-2</v>
      </c>
      <c r="I27" s="7">
        <f t="shared" si="13"/>
        <v>0.51805686156023745</v>
      </c>
      <c r="J27" s="7">
        <f t="shared" si="0"/>
        <v>0.98389547944349132</v>
      </c>
      <c r="K27" s="9">
        <f>K26+K25+K24+K23</f>
        <v>0.35809695620000004</v>
      </c>
      <c r="L27" s="7">
        <f t="shared" si="14"/>
        <v>0.35070929574749704</v>
      </c>
      <c r="M27" s="7">
        <f t="shared" si="15"/>
        <v>58.341566142806556</v>
      </c>
      <c r="N27" s="11">
        <v>0.14610000000000001</v>
      </c>
      <c r="O27" s="11">
        <v>0.81510000000000005</v>
      </c>
      <c r="P27" s="7">
        <f t="shared" si="1"/>
        <v>1.214574898785425</v>
      </c>
      <c r="Q27" s="7">
        <f t="shared" si="2"/>
        <v>1.5339930320909758</v>
      </c>
      <c r="R27" s="7">
        <f t="shared" si="20"/>
        <v>20.822658683798196</v>
      </c>
      <c r="S27" s="9">
        <f>S26+S25+S24+S23</f>
        <v>0</v>
      </c>
      <c r="T27" s="7" t="e">
        <f t="shared" si="9"/>
        <v>#DIV/0!</v>
      </c>
      <c r="U27" s="7">
        <f t="shared" si="3"/>
        <v>59.468676361635033</v>
      </c>
      <c r="V27" s="7">
        <f t="shared" si="10"/>
        <v>1.3043880849999998E-2</v>
      </c>
      <c r="W27" s="7">
        <v>0.37230999999999997</v>
      </c>
      <c r="X27" s="7">
        <f>SUM(X23:X26)</f>
        <v>3.5034999999999997E-2</v>
      </c>
      <c r="Y27" t="s">
        <v>78</v>
      </c>
      <c r="Z27">
        <f>AVERAGE(U27,U26,U25,U23)</f>
        <v>48.653690837815908</v>
      </c>
    </row>
    <row r="28" spans="1:27" ht="15.75" thickBot="1" x14ac:dyDescent="0.3">
      <c r="A28" s="13" t="s">
        <v>50</v>
      </c>
      <c r="B28" s="9">
        <f>9.181587*0.83639</f>
        <v>7.6793875509299996</v>
      </c>
      <c r="C28" s="9">
        <f>12.50045*0.60756</f>
        <v>7.5947734020000004</v>
      </c>
      <c r="D28" s="7">
        <v>0.7</v>
      </c>
      <c r="E28" s="7">
        <v>0.5</v>
      </c>
      <c r="F28" s="10">
        <f t="shared" si="12"/>
        <v>7.9579303565825918E-3</v>
      </c>
      <c r="G28" s="6">
        <f t="shared" si="4"/>
        <v>7.0154612873796526E-2</v>
      </c>
      <c r="H28" s="6">
        <f>G28</f>
        <v>7.0154612873796526E-2</v>
      </c>
      <c r="I28" s="7">
        <f t="shared" si="13"/>
        <v>0.98898165402268945</v>
      </c>
      <c r="J28" s="7">
        <f t="shared" si="0"/>
        <v>0.91056730455479118</v>
      </c>
      <c r="K28" s="9">
        <f>9.832309*0.37724</f>
        <v>3.7091402471600006</v>
      </c>
      <c r="L28" s="7">
        <f t="shared" si="14"/>
        <v>0.48299948694617079</v>
      </c>
      <c r="M28" s="7">
        <f t="shared" si="15"/>
        <v>99.958804533396176</v>
      </c>
      <c r="N28" s="11">
        <v>0.96579999999999999</v>
      </c>
      <c r="O28" s="11">
        <v>3.1099999999999999E-2</v>
      </c>
      <c r="P28" s="7">
        <f t="shared" si="1"/>
        <v>31.832797427652736</v>
      </c>
      <c r="Q28" s="7">
        <f t="shared" si="2"/>
        <v>1.9265114656106337</v>
      </c>
      <c r="R28" s="7">
        <f t="shared" si="20"/>
        <v>1552.3544238322454</v>
      </c>
      <c r="S28" s="9">
        <f>0.240274*0.75536</f>
        <v>0.18149336863999999</v>
      </c>
      <c r="T28" s="7">
        <f t="shared" si="9"/>
        <v>3.3014934953842925</v>
      </c>
      <c r="U28" s="7">
        <f t="shared" si="3"/>
        <v>10.708773968699814</v>
      </c>
      <c r="V28" s="7">
        <f t="shared" si="10"/>
        <v>0.54478930908000001</v>
      </c>
      <c r="W28" s="7">
        <v>0.37230999999999997</v>
      </c>
      <c r="X28" s="7">
        <v>1.463268</v>
      </c>
      <c r="Y28" t="s">
        <v>50</v>
      </c>
      <c r="Z28">
        <f>U28</f>
        <v>10.708773968699814</v>
      </c>
      <c r="AA28">
        <f>T28</f>
        <v>3.3014934953842925</v>
      </c>
    </row>
    <row r="29" spans="1:27" x14ac:dyDescent="0.25">
      <c r="A29" t="s">
        <v>51</v>
      </c>
      <c r="B29" s="2">
        <f>24.34157*0.83639</f>
        <v>20.3590457323</v>
      </c>
      <c r="C29" s="2">
        <f>29.21665*0.60756</f>
        <v>17.750867874000001</v>
      </c>
      <c r="D29">
        <v>0.7</v>
      </c>
      <c r="E29">
        <v>0.5</v>
      </c>
      <c r="F29" s="6">
        <f t="shared" ref="F29" si="41">(B29/C29-1)*(E29/D29)</f>
        <v>0.10495172392267905</v>
      </c>
      <c r="G29" s="6">
        <f t="shared" si="4"/>
        <v>1.5536451164895246E-2</v>
      </c>
      <c r="H29" s="6" t="s">
        <v>89</v>
      </c>
      <c r="I29">
        <f t="shared" ref="I29" si="42">1/(1+F29*(D29/E29))</f>
        <v>0.87189095733686184</v>
      </c>
      <c r="J29">
        <f t="shared" si="0"/>
        <v>0.9787120042383165</v>
      </c>
      <c r="K29" s="2">
        <f>18.13684*0.37724</f>
        <v>6.8419415215999999</v>
      </c>
      <c r="L29">
        <f t="shared" ref="L29" si="43">K29/B29</f>
        <v>0.33606395955705987</v>
      </c>
      <c r="M29">
        <f t="shared" si="15"/>
        <v>94.546300311917904</v>
      </c>
      <c r="N29" s="3">
        <v>0.65380000000000005</v>
      </c>
      <c r="O29" s="3">
        <v>0.38800000000000001</v>
      </c>
      <c r="P29">
        <f t="shared" si="1"/>
        <v>2.5515463917525771</v>
      </c>
      <c r="Q29">
        <f t="shared" si="2"/>
        <v>1.5001556708087467</v>
      </c>
      <c r="R29">
        <f t="shared" ref="R29" si="44">(ABS(P29-Q29)/Q29)*100</f>
        <v>70.08544122471082</v>
      </c>
      <c r="S29" s="2">
        <f>0.750377*0.75536</f>
        <v>0.56680477072000002</v>
      </c>
      <c r="T29" s="14">
        <f t="shared" si="9"/>
        <v>2.8026479177057553</v>
      </c>
      <c r="U29" s="14">
        <f t="shared" si="3"/>
        <v>44.988477621651427</v>
      </c>
      <c r="V29">
        <f t="shared" si="10"/>
        <v>0.34379366016999996</v>
      </c>
      <c r="W29">
        <v>0.37230999999999997</v>
      </c>
      <c r="X29" s="12">
        <v>0.92340699999999998</v>
      </c>
    </row>
    <row r="30" spans="1:27" x14ac:dyDescent="0.25">
      <c r="A30" t="s">
        <v>52</v>
      </c>
      <c r="B30" s="2">
        <f>26.12167*0.83639</f>
        <v>21.847903571300002</v>
      </c>
      <c r="C30" s="2">
        <f>29.82698*0.60756</f>
        <v>18.121679968799999</v>
      </c>
      <c r="D30">
        <v>0.7</v>
      </c>
      <c r="E30">
        <v>0.5</v>
      </c>
      <c r="F30" s="6">
        <f t="shared" si="12"/>
        <v>0.14687315370773818</v>
      </c>
      <c r="G30" s="6">
        <f t="shared" si="4"/>
        <v>1.2472139845019097E-2</v>
      </c>
      <c r="H30" s="6">
        <f>_xlfn.STDEV.S(G29:G32)</f>
        <v>1.350520898229001E-3</v>
      </c>
      <c r="I30">
        <f t="shared" si="13"/>
        <v>0.82944708674955558</v>
      </c>
      <c r="J30">
        <f t="shared" si="0"/>
        <v>0.98283865833147843</v>
      </c>
      <c r="K30" s="2">
        <f>18.02191*0.37727</f>
        <v>6.799125985699999</v>
      </c>
      <c r="L30">
        <f t="shared" si="14"/>
        <v>0.31120267276497482</v>
      </c>
      <c r="M30">
        <f t="shared" si="15"/>
        <v>80.493308431256537</v>
      </c>
      <c r="N30" s="3">
        <v>0.56169999999999998</v>
      </c>
      <c r="O30" s="3">
        <v>0.40529999999999999</v>
      </c>
      <c r="P30">
        <f t="shared" si="1"/>
        <v>2.4426350851221317</v>
      </c>
      <c r="Q30">
        <f t="shared" si="2"/>
        <v>1.4460094090709694</v>
      </c>
      <c r="R30">
        <f t="shared" si="20"/>
        <v>68.922489010045467</v>
      </c>
      <c r="S30" s="2">
        <f>0.770091*0.75536</f>
        <v>0.58169593775999995</v>
      </c>
      <c r="T30" s="14">
        <f t="shared" si="9"/>
        <v>2.9306122554616754</v>
      </c>
      <c r="U30" s="14">
        <f t="shared" si="3"/>
        <v>55.806506241351272</v>
      </c>
      <c r="V30">
        <f t="shared" si="10"/>
        <v>0.29741760963999997</v>
      </c>
      <c r="W30">
        <v>0.37230999999999997</v>
      </c>
      <c r="X30" s="12">
        <v>0.798844</v>
      </c>
    </row>
    <row r="31" spans="1:27" x14ac:dyDescent="0.25">
      <c r="A31" t="s">
        <v>53</v>
      </c>
      <c r="B31" s="2">
        <f>23.48828*0.83639</f>
        <v>19.645362509199998</v>
      </c>
      <c r="C31" s="2">
        <f>23.48828*0.60756</f>
        <v>14.2705393968</v>
      </c>
      <c r="D31">
        <v>0.7</v>
      </c>
      <c r="E31">
        <v>0.5</v>
      </c>
      <c r="F31" s="6">
        <f t="shared" ref="F31" si="45">(B31/C31-1)*(E31/D31)</f>
        <v>0.26902692738165768</v>
      </c>
      <c r="G31" s="6">
        <f t="shared" si="4"/>
        <v>1.5082024089749633E-2</v>
      </c>
      <c r="H31" s="6"/>
      <c r="I31">
        <f t="shared" ref="I31" si="46">1/(1+F31*(D31/E31))</f>
        <v>0.72640753715372031</v>
      </c>
      <c r="J31">
        <f t="shared" si="0"/>
        <v>0.97932178338002418</v>
      </c>
      <c r="K31" s="2">
        <f>17.61708*0.37724</f>
        <v>6.645867259200001</v>
      </c>
      <c r="L31">
        <f t="shared" ref="L31" si="47">K31/B31</f>
        <v>0.33829191271414394</v>
      </c>
      <c r="M31">
        <f t="shared" si="15"/>
        <v>11.826498293993462</v>
      </c>
      <c r="N31" s="3">
        <v>0.37830000000000003</v>
      </c>
      <c r="O31" s="3">
        <v>0.80900000000000005</v>
      </c>
      <c r="P31">
        <f t="shared" si="1"/>
        <v>1.2237330037082816</v>
      </c>
      <c r="Q31">
        <f t="shared" si="2"/>
        <v>1.5052066542062823</v>
      </c>
      <c r="R31">
        <f t="shared" ref="R31" si="48">(ABS(P31-Q31)/Q31)*100</f>
        <v>18.700000409340863</v>
      </c>
      <c r="S31" s="2">
        <f>0.727816*0.75536</f>
        <v>0.54976309375999999</v>
      </c>
      <c r="T31" s="14">
        <f t="shared" si="9"/>
        <v>2.7882331567810588</v>
      </c>
      <c r="U31" s="14">
        <f t="shared" si="3"/>
        <v>46.315141123394852</v>
      </c>
      <c r="V31">
        <f t="shared" si="10"/>
        <v>0.32223951734</v>
      </c>
      <c r="W31">
        <v>0.37230999999999997</v>
      </c>
      <c r="X31" s="12">
        <v>0.86551400000000001</v>
      </c>
    </row>
    <row r="32" spans="1:27" ht="15.75" thickBot="1" x14ac:dyDescent="0.3">
      <c r="A32" s="7" t="s">
        <v>54</v>
      </c>
      <c r="B32" s="9">
        <f>B31+B30+B29</f>
        <v>61.852311812799996</v>
      </c>
      <c r="C32" s="9">
        <f>C29+C30+C31</f>
        <v>50.143087239600007</v>
      </c>
      <c r="D32" s="7">
        <v>0.7</v>
      </c>
      <c r="E32" s="7">
        <v>0.5</v>
      </c>
      <c r="F32" s="10">
        <f t="shared" si="12"/>
        <v>0.16679730543983767</v>
      </c>
      <c r="G32" s="6">
        <f t="shared" si="4"/>
        <v>1.4307140311662201E-2</v>
      </c>
      <c r="H32" s="6">
        <f>AVERAGE(G29,G30,G31,G32)</f>
        <v>1.4349438852831544E-2</v>
      </c>
      <c r="I32" s="7">
        <f t="shared" si="13"/>
        <v>0.81069059134541799</v>
      </c>
      <c r="J32" s="7">
        <f t="shared" si="0"/>
        <v>0.9803633260724629</v>
      </c>
      <c r="K32" s="9">
        <f>K31+K30+K29</f>
        <v>20.2869347665</v>
      </c>
      <c r="L32" s="7">
        <f t="shared" si="14"/>
        <v>0.32798991940510991</v>
      </c>
      <c r="M32" s="7">
        <f t="shared" si="15"/>
        <v>59.85247380497136</v>
      </c>
      <c r="N32" s="11">
        <v>0.52429999999999999</v>
      </c>
      <c r="O32" s="11">
        <v>0.44069999999999998</v>
      </c>
      <c r="P32" s="7">
        <f t="shared" si="1"/>
        <v>2.24642614023145</v>
      </c>
      <c r="Q32" s="7">
        <f t="shared" si="2"/>
        <v>1.4821316597558725</v>
      </c>
      <c r="R32" s="7">
        <f t="shared" si="20"/>
        <v>51.567246097520616</v>
      </c>
      <c r="S32" s="9">
        <f>S31+S30+S29</f>
        <v>1.6982638022400001</v>
      </c>
      <c r="T32" s="7">
        <f t="shared" si="9"/>
        <v>2.8418124054615839</v>
      </c>
      <c r="U32" s="7">
        <f t="shared" si="3"/>
        <v>48.77172806700618</v>
      </c>
      <c r="V32" s="7">
        <f t="shared" si="10"/>
        <v>0.96345078714999999</v>
      </c>
      <c r="W32" s="7">
        <v>0.37230999999999997</v>
      </c>
      <c r="X32" s="7">
        <f>SUM(X29:X31)</f>
        <v>2.5877650000000001</v>
      </c>
      <c r="Y32" t="s">
        <v>79</v>
      </c>
      <c r="Z32" s="16">
        <f>AVERAGE(U29:U32)</f>
        <v>48.970463263350936</v>
      </c>
      <c r="AA32">
        <f>AVERAGE(T29:T32)</f>
        <v>2.8408264338525182</v>
      </c>
    </row>
    <row r="33" spans="1:27" x14ac:dyDescent="0.25">
      <c r="A33" t="s">
        <v>55</v>
      </c>
      <c r="B33" s="2">
        <f>2.417877*0.83639</f>
        <v>2.0222881440299996</v>
      </c>
      <c r="C33" s="2">
        <f>3.48698*0.60756</f>
        <v>2.1185495687999998</v>
      </c>
      <c r="D33">
        <v>0.7</v>
      </c>
      <c r="E33">
        <v>0.5</v>
      </c>
      <c r="F33" s="6">
        <f t="shared" si="12"/>
        <v>-3.2455299400403717E-2</v>
      </c>
      <c r="G33" s="6">
        <f t="shared" si="4"/>
        <v>8.0006860258704515E-2</v>
      </c>
      <c r="H33" s="6"/>
      <c r="I33">
        <f t="shared" si="13"/>
        <v>1.0476002517515488</v>
      </c>
      <c r="J33">
        <f t="shared" si="0"/>
        <v>0.89927280850561409</v>
      </c>
      <c r="K33" s="2">
        <f>2.368138*0.37724</f>
        <v>0.8933563791200001</v>
      </c>
      <c r="L33">
        <f t="shared" si="14"/>
        <v>0.44175523738161598</v>
      </c>
      <c r="M33">
        <f t="shared" si="15"/>
        <v>98.958699385826137</v>
      </c>
      <c r="N33" s="3">
        <v>4.5999999999999999E-3</v>
      </c>
      <c r="O33" s="3">
        <v>1.6299999999999999E-2</v>
      </c>
      <c r="P33">
        <f t="shared" si="1"/>
        <v>60.736196319018411</v>
      </c>
      <c r="Q33">
        <f t="shared" si="2"/>
        <v>1.7841769109541157</v>
      </c>
      <c r="R33">
        <f t="shared" si="20"/>
        <v>3304.1577349265667</v>
      </c>
      <c r="S33" s="2">
        <f>0.077705*0.75536</f>
        <v>5.8695248800000002E-2</v>
      </c>
      <c r="T33" s="14">
        <f t="shared" si="9"/>
        <v>2.6883431938380684</v>
      </c>
      <c r="U33" s="14">
        <f t="shared" si="3"/>
        <v>9.5080038143194834</v>
      </c>
      <c r="V33">
        <f t="shared" si="10"/>
        <v>0.16158291230999999</v>
      </c>
      <c r="W33">
        <v>0.37230999999999997</v>
      </c>
      <c r="X33" s="12">
        <v>0.43400100000000003</v>
      </c>
    </row>
    <row r="34" spans="1:27" x14ac:dyDescent="0.25">
      <c r="A34" t="s">
        <v>56</v>
      </c>
      <c r="B34" s="2">
        <f>2.663624*0.83639</f>
        <v>2.2278284773600001</v>
      </c>
      <c r="C34" s="2">
        <f>3.696222*0.60756</f>
        <v>2.24567663832</v>
      </c>
      <c r="D34">
        <v>0.7</v>
      </c>
      <c r="E34">
        <v>0.5</v>
      </c>
      <c r="F34" s="6">
        <f t="shared" ref="F34" si="49">(B34/C34-1)*(E34/D34)</f>
        <v>-5.676991149330084E-3</v>
      </c>
      <c r="G34" s="6">
        <f t="shared" si="4"/>
        <v>7.7022224627800576E-2</v>
      </c>
      <c r="H34" s="6" t="s">
        <v>89</v>
      </c>
      <c r="I34">
        <f t="shared" ref="I34" si="50">1/(1+F34*(D34/E34))</f>
        <v>1.0080114609995245</v>
      </c>
      <c r="J34">
        <f t="shared" si="0"/>
        <v>0.90266466335020734</v>
      </c>
      <c r="K34" s="2">
        <f>2.773816*0.37724</f>
        <v>1.0463943478400002</v>
      </c>
      <c r="L34">
        <f t="shared" ref="L34" si="51">K34/B34</f>
        <v>0.46969250930843132</v>
      </c>
      <c r="M34">
        <f t="shared" si="15"/>
        <v>99.020635860943798</v>
      </c>
      <c r="N34" s="3">
        <v>4.5999999999999999E-3</v>
      </c>
      <c r="O34" s="3">
        <v>1.6299999999999999E-2</v>
      </c>
      <c r="P34">
        <f t="shared" si="1"/>
        <v>60.736196319018411</v>
      </c>
      <c r="Q34">
        <f t="shared" si="2"/>
        <v>1.8781696159447017</v>
      </c>
      <c r="R34">
        <f t="shared" ref="R34" si="52">(ABS(P34-Q34)/Q34)*100</f>
        <v>3133.7971929371606</v>
      </c>
      <c r="S34" s="2">
        <f>0.08142*0.75536</f>
        <v>6.1501411200000008E-2</v>
      </c>
      <c r="T34" s="14">
        <f t="shared" si="9"/>
        <v>2.8264499010503532</v>
      </c>
      <c r="U34" s="14">
        <f t="shared" si="3"/>
        <v>9.8393302360489692</v>
      </c>
      <c r="V34">
        <f t="shared" si="10"/>
        <v>0.17201168771999997</v>
      </c>
      <c r="W34">
        <v>0.37230999999999997</v>
      </c>
      <c r="X34" s="12">
        <v>0.46201199999999998</v>
      </c>
    </row>
    <row r="35" spans="1:27" x14ac:dyDescent="0.25">
      <c r="A35" t="s">
        <v>57</v>
      </c>
      <c r="B35" s="2">
        <f>7.073666*0.83639</f>
        <v>5.9163435057399996</v>
      </c>
      <c r="C35" s="2">
        <f>9.304746*0.60756</f>
        <v>5.6531914797599994</v>
      </c>
      <c r="D35">
        <v>0.7</v>
      </c>
      <c r="E35">
        <v>0.5</v>
      </c>
      <c r="F35" s="6">
        <f t="shared" si="12"/>
        <v>3.3249489870602611E-2</v>
      </c>
      <c r="G35" s="6">
        <f t="shared" si="4"/>
        <v>7.5274647634159891E-2</v>
      </c>
      <c r="H35" s="6">
        <f>_xlfn.STDEV.S(G33:G37)</f>
        <v>2.6749676430414988E-3</v>
      </c>
      <c r="I35">
        <f t="shared" si="13"/>
        <v>0.95552117186490415</v>
      </c>
      <c r="J35">
        <f t="shared" si="0"/>
        <v>0.90466258026033119</v>
      </c>
      <c r="K35" s="2">
        <f>7.324164*0.37724</f>
        <v>2.7629676273600001</v>
      </c>
      <c r="L35">
        <f t="shared" si="14"/>
        <v>0.46700595134129486</v>
      </c>
      <c r="M35">
        <f t="shared" si="15"/>
        <v>99.015001845953293</v>
      </c>
      <c r="N35" s="3">
        <v>4.5999999999999999E-3</v>
      </c>
      <c r="O35" s="3">
        <v>1.6299999999999999E-2</v>
      </c>
      <c r="P35">
        <f t="shared" si="1"/>
        <v>60.736196319018411</v>
      </c>
      <c r="Q35">
        <f t="shared" si="2"/>
        <v>1.8687026968336016</v>
      </c>
      <c r="R35">
        <f t="shared" si="20"/>
        <v>3150.1797328131465</v>
      </c>
      <c r="S35" s="2">
        <f>0.213255*0.75536</f>
        <v>0.1610842968</v>
      </c>
      <c r="T35" s="14">
        <f t="shared" si="9"/>
        <v>2.8657928704819247</v>
      </c>
      <c r="U35" s="14">
        <f t="shared" si="3"/>
        <v>10.045525917834503</v>
      </c>
      <c r="V35">
        <f t="shared" si="10"/>
        <v>0.44742726559999996</v>
      </c>
      <c r="W35">
        <v>0.37230999999999997</v>
      </c>
      <c r="X35" s="12">
        <v>1.2017599999999999</v>
      </c>
    </row>
    <row r="36" spans="1:27" x14ac:dyDescent="0.25">
      <c r="A36" t="s">
        <v>58</v>
      </c>
      <c r="B36" s="2">
        <f>2.977582*0.83639</f>
        <v>2.49041980898</v>
      </c>
      <c r="C36" s="2">
        <f>4.156819*0.60756</f>
        <v>2.5255169516399998</v>
      </c>
      <c r="D36">
        <v>0.7</v>
      </c>
      <c r="E36">
        <v>0.5</v>
      </c>
      <c r="F36" s="6">
        <f t="shared" ref="F36" si="53">(B36/C36-1)*(E36/D36)</f>
        <v>-9.9264380696420119E-3</v>
      </c>
      <c r="G36" s="6">
        <f t="shared" si="4"/>
        <v>7.2669991679374144E-2</v>
      </c>
      <c r="H36" s="6" t="s">
        <v>90</v>
      </c>
      <c r="I36">
        <f t="shared" ref="I36" si="54">1/(1+F36*(D36/E36))</f>
        <v>1.014092861987945</v>
      </c>
      <c r="J36">
        <f t="shared" si="0"/>
        <v>0.90765682092582978</v>
      </c>
      <c r="K36" s="2">
        <f>3.31087*0.37724</f>
        <v>1.2489925988000001</v>
      </c>
      <c r="L36">
        <f t="shared" ref="L36" si="55">K36/B36</f>
        <v>0.50151889825818141</v>
      </c>
      <c r="M36">
        <f t="shared" si="15"/>
        <v>99.082786308556621</v>
      </c>
      <c r="N36" s="3">
        <v>4.5999999999999999E-3</v>
      </c>
      <c r="O36" s="3">
        <v>1.6299999999999999E-2</v>
      </c>
      <c r="P36">
        <f t="shared" si="1"/>
        <v>60.736196319018411</v>
      </c>
      <c r="Q36">
        <f t="shared" si="2"/>
        <v>1.9980846067072175</v>
      </c>
      <c r="R36">
        <f t="shared" ref="R36" si="56">(ABS(P36-Q36)/Q36)*100</f>
        <v>2939.7209465073556</v>
      </c>
      <c r="S36" s="2">
        <f>0.159919*0.75536</f>
        <v>0.12079641584</v>
      </c>
      <c r="T36" s="14">
        <f t="shared" si="9"/>
        <v>1.6086558241531199</v>
      </c>
      <c r="U36" s="14">
        <f t="shared" si="3"/>
        <v>10.371253519061453</v>
      </c>
      <c r="V36">
        <f t="shared" si="10"/>
        <v>0.1824244538</v>
      </c>
      <c r="W36">
        <v>0.37230999999999997</v>
      </c>
      <c r="X36" s="12">
        <v>0.48998000000000003</v>
      </c>
    </row>
    <row r="37" spans="1:27" ht="15.75" thickBot="1" x14ac:dyDescent="0.3">
      <c r="A37" s="7" t="s">
        <v>59</v>
      </c>
      <c r="B37" s="9">
        <f>B36+B35+B34+B33</f>
        <v>12.656879936109998</v>
      </c>
      <c r="C37" s="9">
        <f>C36+C35+C34+C33</f>
        <v>12.542934638519998</v>
      </c>
      <c r="D37" s="7">
        <v>0.7</v>
      </c>
      <c r="E37" s="7">
        <v>0.5</v>
      </c>
      <c r="F37" s="10">
        <f t="shared" si="12"/>
        <v>6.4888720721401061E-3</v>
      </c>
      <c r="G37" s="6">
        <f t="shared" si="4"/>
        <v>7.5819346039109101E-2</v>
      </c>
      <c r="H37" s="6">
        <f>AVERAGE(G33,G34,G35,G36,G37)</f>
        <v>7.6158614047829643E-2</v>
      </c>
      <c r="I37" s="7">
        <f t="shared" si="13"/>
        <v>0.99099736284414652</v>
      </c>
      <c r="J37" s="7">
        <f t="shared" si="0"/>
        <v>0.9040389059045657</v>
      </c>
      <c r="K37" s="9">
        <f>K36+K35+K34+K33</f>
        <v>5.951710953120001</v>
      </c>
      <c r="L37" s="7">
        <f t="shared" si="14"/>
        <v>0.47023523831807928</v>
      </c>
      <c r="M37" s="7">
        <f t="shared" si="15"/>
        <v>99.021766208663337</v>
      </c>
      <c r="N37" s="11">
        <v>4.5999999999999999E-3</v>
      </c>
      <c r="O37" s="11">
        <v>1.6299999999999999E-2</v>
      </c>
      <c r="P37" s="7">
        <f t="shared" si="1"/>
        <v>60.736196319018411</v>
      </c>
      <c r="Q37" s="7">
        <f t="shared" si="2"/>
        <v>1.8800937475769686</v>
      </c>
      <c r="R37" s="7">
        <f t="shared" si="20"/>
        <v>3130.4876497405589</v>
      </c>
      <c r="S37" s="9">
        <f>S36+S35+S34+S33</f>
        <v>0.40207737264000004</v>
      </c>
      <c r="T37" s="7">
        <f t="shared" si="9"/>
        <v>2.4561882478796173</v>
      </c>
      <c r="U37" s="7">
        <f t="shared" si="3"/>
        <v>9.9802376156930137</v>
      </c>
      <c r="V37" s="7">
        <f t="shared" si="10"/>
        <v>0.96344631943000003</v>
      </c>
      <c r="W37" s="7">
        <v>0.37230999999999997</v>
      </c>
      <c r="X37" s="7">
        <f>SUM(X33:X36)</f>
        <v>2.5877530000000002</v>
      </c>
      <c r="Y37" t="s">
        <v>80</v>
      </c>
      <c r="Z37" s="16">
        <f>AVERAGE(U33:U37)</f>
        <v>9.9488702205914841</v>
      </c>
      <c r="AA37">
        <f>AVERAGE(T33:T37)</f>
        <v>2.4890860074806169</v>
      </c>
    </row>
    <row r="38" spans="1:27" x14ac:dyDescent="0.25">
      <c r="A38" t="s">
        <v>61</v>
      </c>
      <c r="B38" s="2">
        <v>1.5242287720999999</v>
      </c>
      <c r="C38" s="2">
        <v>0.31185386483999999</v>
      </c>
      <c r="D38">
        <v>0.7</v>
      </c>
      <c r="E38">
        <v>0.5</v>
      </c>
      <c r="F38" s="6">
        <f t="shared" si="12"/>
        <v>2.7768842212636589</v>
      </c>
      <c r="G38" s="6">
        <f t="shared" si="4"/>
        <v>1.4342982587069533E-2</v>
      </c>
      <c r="H38" s="6"/>
      <c r="I38">
        <f t="shared" si="13"/>
        <v>0.2045978074605852</v>
      </c>
      <c r="J38">
        <f t="shared" si="0"/>
        <v>0.98031510061485572</v>
      </c>
      <c r="K38" s="2">
        <v>0.203483256</v>
      </c>
      <c r="L38">
        <f t="shared" si="14"/>
        <v>0.13349915690126476</v>
      </c>
      <c r="M38">
        <f t="shared" si="15"/>
        <v>87.640371382867002</v>
      </c>
      <c r="N38" s="3">
        <v>1.6500000000000001E-2</v>
      </c>
      <c r="O38" s="3">
        <v>0.96519999999999995</v>
      </c>
      <c r="P38">
        <f t="shared" si="1"/>
        <v>1.0256941566514712</v>
      </c>
      <c r="Q38">
        <f t="shared" si="2"/>
        <v>1.1494592579539935</v>
      </c>
      <c r="R38">
        <f t="shared" si="20"/>
        <v>10.767245593621197</v>
      </c>
      <c r="S38" s="2">
        <v>0</v>
      </c>
      <c r="T38" s="14" t="e">
        <f t="shared" si="9"/>
        <v>#DIV/0!</v>
      </c>
      <c r="U38" s="14">
        <f t="shared" si="3"/>
        <v>48.652243640984793</v>
      </c>
      <c r="V38">
        <f t="shared" si="10"/>
        <v>2.3800661369999997E-2</v>
      </c>
      <c r="W38">
        <v>0.37230999999999997</v>
      </c>
      <c r="X38" s="12">
        <v>6.3926999999999998E-2</v>
      </c>
    </row>
    <row r="39" spans="1:27" x14ac:dyDescent="0.25">
      <c r="A39" t="s">
        <v>62</v>
      </c>
      <c r="B39" s="2">
        <v>4.9207123772500001</v>
      </c>
      <c r="C39" s="2">
        <v>0.68686602192000001</v>
      </c>
      <c r="D39">
        <v>0.7</v>
      </c>
      <c r="E39">
        <v>0.5</v>
      </c>
      <c r="F39" s="6">
        <f t="shared" si="12"/>
        <v>4.4028615065851753</v>
      </c>
      <c r="G39" s="6">
        <f t="shared" si="4"/>
        <v>7.0497081526546945E-3</v>
      </c>
      <c r="H39" s="6"/>
      <c r="I39">
        <f t="shared" si="13"/>
        <v>0.13958670396904269</v>
      </c>
      <c r="J39">
        <f t="shared" si="0"/>
        <v>0.99022686543130767</v>
      </c>
      <c r="K39" s="2">
        <v>1.90643062672</v>
      </c>
      <c r="L39">
        <f t="shared" si="14"/>
        <v>0.38742980295577284</v>
      </c>
      <c r="M39">
        <f t="shared" si="15"/>
        <v>97.935109808546855</v>
      </c>
      <c r="N39" s="3">
        <v>8.0000000000000002E-3</v>
      </c>
      <c r="O39" s="3">
        <v>0.97789999999999999</v>
      </c>
      <c r="P39">
        <f t="shared" si="1"/>
        <v>1.0123734533183353</v>
      </c>
      <c r="Q39">
        <f t="shared" si="2"/>
        <v>1.625948211210267</v>
      </c>
      <c r="R39">
        <f t="shared" si="20"/>
        <v>37.736426883807098</v>
      </c>
      <c r="S39" s="2">
        <v>0</v>
      </c>
      <c r="T39" s="14" t="e">
        <f t="shared" si="9"/>
        <v>#DIV/0!</v>
      </c>
      <c r="U39" s="14">
        <f t="shared" si="3"/>
        <v>97.994611063914874</v>
      </c>
      <c r="V39">
        <f t="shared" si="10"/>
        <v>3.8147627219999994E-2</v>
      </c>
      <c r="W39">
        <v>0.37230999999999997</v>
      </c>
      <c r="X39" s="12">
        <v>0.102462</v>
      </c>
    </row>
    <row r="40" spans="1:27" x14ac:dyDescent="0.25">
      <c r="A40" t="s">
        <v>63</v>
      </c>
      <c r="B40" s="2">
        <v>117.50443110000001</v>
      </c>
      <c r="C40" s="2">
        <v>19.134251616</v>
      </c>
      <c r="D40">
        <v>0.7</v>
      </c>
      <c r="E40">
        <v>0.5</v>
      </c>
      <c r="F40" s="6">
        <f t="shared" ref="F40" si="57">(B40/C40-1)*(E40/D40)</f>
        <v>3.672179885958434</v>
      </c>
      <c r="G40" s="6">
        <f t="shared" si="4"/>
        <v>-17.121550912965695</v>
      </c>
      <c r="H40" s="6" t="s">
        <v>89</v>
      </c>
      <c r="I40">
        <f t="shared" ref="I40" si="58">1/(1+F40*(D40/E40))</f>
        <v>0.16283855371986902</v>
      </c>
      <c r="J40">
        <f t="shared" si="0"/>
        <v>-4.3534721090702E-2</v>
      </c>
      <c r="K40" s="2">
        <v>1.4168892966400002</v>
      </c>
      <c r="L40">
        <f t="shared" ref="L40" si="59">K40/B40</f>
        <v>1.2058177579994259E-2</v>
      </c>
      <c r="M40">
        <f t="shared" si="15"/>
        <v>12.092852094113489</v>
      </c>
      <c r="N40" s="3">
        <v>1.06E-2</v>
      </c>
      <c r="O40" s="3">
        <v>0.97389999999999999</v>
      </c>
      <c r="P40">
        <f t="shared" si="1"/>
        <v>1.0165314714036349</v>
      </c>
      <c r="Q40">
        <f t="shared" si="2"/>
        <v>1.0081640371140674</v>
      </c>
      <c r="R40">
        <f t="shared" ref="R40" si="60">(ABS(P40-Q40)/Q40)*100</f>
        <v>0.82996754313114907</v>
      </c>
      <c r="S40" s="2">
        <v>5.4106814480000001</v>
      </c>
      <c r="T40" s="14">
        <f t="shared" si="9"/>
        <v>1.6945207859458966</v>
      </c>
      <c r="U40" s="14">
        <f t="shared" si="3"/>
        <v>0.91776009133007819</v>
      </c>
      <c r="V40">
        <f t="shared" si="10"/>
        <v>97.267290584999984</v>
      </c>
      <c r="W40">
        <v>0.37230999999999997</v>
      </c>
      <c r="X40" s="12">
        <v>261.25349999999997</v>
      </c>
      <c r="Z40">
        <f>_xlfn.STDEV.P(U38:U43,U45)</f>
        <v>237.21250193556577</v>
      </c>
      <c r="AA40">
        <f>_xlfn.STDEV.P(T40,T45,T44)</f>
        <v>5.4041165653240579</v>
      </c>
    </row>
    <row r="41" spans="1:27" x14ac:dyDescent="0.25">
      <c r="A41" t="s">
        <v>64</v>
      </c>
      <c r="B41" s="2">
        <v>7.0394195604799998</v>
      </c>
      <c r="C41" s="2">
        <v>0.83697708624</v>
      </c>
      <c r="D41">
        <v>0.7</v>
      </c>
      <c r="E41">
        <v>0.5</v>
      </c>
      <c r="F41" s="6">
        <f t="shared" si="12"/>
        <v>5.2932345769836227</v>
      </c>
      <c r="G41" s="6">
        <f t="shared" si="4"/>
        <v>3.6143833419893329E-2</v>
      </c>
      <c r="H41" s="6">
        <f>_xlfn.STDEV.S(G45,G43,G41,G42,G39,G38)</f>
        <v>3.1936770069410234</v>
      </c>
      <c r="I41">
        <f t="shared" si="13"/>
        <v>0.11889859370492312</v>
      </c>
      <c r="J41">
        <f t="shared" si="0"/>
        <v>0.95183580719815619</v>
      </c>
      <c r="K41" s="2">
        <v>2.5135852033199999</v>
      </c>
      <c r="L41">
        <f t="shared" si="14"/>
        <v>0.35707279296598782</v>
      </c>
      <c r="M41">
        <f t="shared" si="15"/>
        <v>98.291664859332755</v>
      </c>
      <c r="N41" s="3">
        <v>6.1000000000000004E-3</v>
      </c>
      <c r="O41" s="3">
        <v>0.98109999999999997</v>
      </c>
      <c r="P41">
        <f t="shared" si="1"/>
        <v>1.009071450412802</v>
      </c>
      <c r="Q41">
        <f t="shared" si="2"/>
        <v>1.5491760268158805</v>
      </c>
      <c r="R41">
        <f t="shared" si="20"/>
        <v>34.863990085954896</v>
      </c>
      <c r="S41" s="2">
        <v>0</v>
      </c>
      <c r="T41" s="14" t="e">
        <f t="shared" si="9"/>
        <v>#DIV/0!</v>
      </c>
      <c r="U41" s="14">
        <f t="shared" si="3"/>
        <v>19.884367726757539</v>
      </c>
      <c r="V41">
        <f t="shared" si="10"/>
        <v>0.26894706393999995</v>
      </c>
      <c r="W41">
        <v>0.37230999999999997</v>
      </c>
      <c r="X41" s="12">
        <v>0.72237399999999996</v>
      </c>
    </row>
    <row r="42" spans="1:27" x14ac:dyDescent="0.25">
      <c r="A42" t="s">
        <v>65</v>
      </c>
      <c r="B42" s="2">
        <v>1.0862991500499999</v>
      </c>
      <c r="C42" s="2">
        <v>0.2549686296</v>
      </c>
      <c r="D42">
        <v>0.7</v>
      </c>
      <c r="E42">
        <v>0.5</v>
      </c>
      <c r="F42" s="6">
        <f t="shared" ref="F42" si="61">(B42/C42-1)*(E42/D42)</f>
        <v>2.3289434293886275</v>
      </c>
      <c r="G42" s="6">
        <f t="shared" si="4"/>
        <v>1.1070592328508155E-2</v>
      </c>
      <c r="H42" s="6"/>
      <c r="I42">
        <f t="shared" ref="I42" si="62">1/(1+F42*(D42/E42))</f>
        <v>0.2347130894728808</v>
      </c>
      <c r="J42">
        <f t="shared" si="0"/>
        <v>0.98473771823921574</v>
      </c>
      <c r="K42" s="2">
        <v>0.47498665639999998</v>
      </c>
      <c r="L42">
        <f t="shared" ref="L42" si="63">K42/B42</f>
        <v>0.43725216610740919</v>
      </c>
      <c r="M42">
        <f t="shared" si="15"/>
        <v>94.991448482699951</v>
      </c>
      <c r="N42" s="3">
        <v>2.1899999999999999E-2</v>
      </c>
      <c r="O42" s="3">
        <v>0.95779999999999998</v>
      </c>
      <c r="P42">
        <f t="shared" si="1"/>
        <v>1.0336187095427021</v>
      </c>
      <c r="Q42">
        <f t="shared" si="2"/>
        <v>1.7699000442796651</v>
      </c>
      <c r="R42">
        <f t="shared" ref="R42" si="64">(ABS(P42-Q42)/Q42)*100</f>
        <v>41.600164772956063</v>
      </c>
      <c r="S42" s="2">
        <v>0</v>
      </c>
      <c r="T42" s="14" t="e">
        <f t="shared" si="9"/>
        <v>#DIV/0!</v>
      </c>
      <c r="U42" s="14">
        <f t="shared" si="3"/>
        <v>62.750415432318469</v>
      </c>
      <c r="V42">
        <f t="shared" si="10"/>
        <v>1.3151478439999999E-2</v>
      </c>
      <c r="W42">
        <v>0.37230999999999997</v>
      </c>
      <c r="X42" s="12">
        <v>3.5324000000000001E-2</v>
      </c>
    </row>
    <row r="43" spans="1:27" x14ac:dyDescent="0.25">
      <c r="A43" t="s">
        <v>66</v>
      </c>
      <c r="B43" s="2">
        <v>1.4002448276699999</v>
      </c>
      <c r="C43" s="2">
        <v>0.42263696279999996</v>
      </c>
      <c r="D43">
        <v>0.7</v>
      </c>
      <c r="E43">
        <v>0.5</v>
      </c>
      <c r="F43" s="6">
        <f t="shared" si="12"/>
        <v>1.6522249436579568</v>
      </c>
      <c r="G43" s="6">
        <f t="shared" si="4"/>
        <v>9.6474196238070602E-4</v>
      </c>
      <c r="H43" s="6"/>
      <c r="I43">
        <f t="shared" si="13"/>
        <v>0.30183076162706896</v>
      </c>
      <c r="J43">
        <f t="shared" si="0"/>
        <v>0.99865118301714717</v>
      </c>
      <c r="K43" s="2">
        <v>0.59832829232000007</v>
      </c>
      <c r="L43">
        <f t="shared" si="14"/>
        <v>0.42730262629544236</v>
      </c>
      <c r="M43">
        <f t="shared" si="15"/>
        <v>91.107005278800628</v>
      </c>
      <c r="N43" s="3">
        <v>3.7999999999999999E-2</v>
      </c>
      <c r="O43" s="3">
        <v>0.93679999999999997</v>
      </c>
      <c r="P43">
        <f t="shared" si="1"/>
        <v>1.0567890691716482</v>
      </c>
      <c r="Q43">
        <f t="shared" si="2"/>
        <v>1.7391513596124872</v>
      </c>
      <c r="R43">
        <f t="shared" si="20"/>
        <v>39.235359629243604</v>
      </c>
      <c r="S43" s="2">
        <v>0</v>
      </c>
      <c r="T43" s="14" t="e">
        <f t="shared" si="9"/>
        <v>#DIV/0!</v>
      </c>
      <c r="U43" s="14">
        <f t="shared" si="3"/>
        <v>710.04037842752291</v>
      </c>
      <c r="V43">
        <f t="shared" si="10"/>
        <v>1.4981754399999998E-3</v>
      </c>
      <c r="W43">
        <v>0.37230999999999997</v>
      </c>
      <c r="X43" s="12">
        <v>4.0239999999999998E-3</v>
      </c>
      <c r="AA43" t="s">
        <v>85</v>
      </c>
    </row>
    <row r="44" spans="1:27" x14ac:dyDescent="0.25">
      <c r="A44" t="s">
        <v>67</v>
      </c>
      <c r="B44" s="2">
        <v>0.79622571581000001</v>
      </c>
      <c r="C44" s="2">
        <v>0.77866104719999996</v>
      </c>
      <c r="D44">
        <v>0.7</v>
      </c>
      <c r="E44">
        <v>0.5</v>
      </c>
      <c r="F44" s="6">
        <f t="shared" ref="F44" si="65">(B44/C44-1)*(E44/D44)</f>
        <v>1.611252021582537E-2</v>
      </c>
      <c r="G44" s="6" t="e">
        <f t="shared" si="4"/>
        <v>#DIV/0!</v>
      </c>
      <c r="H44" s="6" t="s">
        <v>91</v>
      </c>
      <c r="I44">
        <f t="shared" ref="I44" si="66">1/(1+F44*(D44/E44))</f>
        <v>0.97794008876976357</v>
      </c>
      <c r="J44" t="e">
        <f t="shared" si="0"/>
        <v>#DIV/0!</v>
      </c>
      <c r="K44" s="2">
        <v>0.49932278604000002</v>
      </c>
      <c r="L44">
        <f t="shared" ref="L44" si="67">K44/B44</f>
        <v>0.6271121066870331</v>
      </c>
      <c r="M44">
        <f t="shared" si="15"/>
        <v>48.681549926658334</v>
      </c>
      <c r="N44" s="3">
        <v>0.93240000000000001</v>
      </c>
      <c r="O44" s="3">
        <v>6.1600000000000002E-2</v>
      </c>
      <c r="P44">
        <f t="shared" si="1"/>
        <v>16.071428571428569</v>
      </c>
      <c r="Q44">
        <f t="shared" si="2"/>
        <v>2.6710639685178181</v>
      </c>
      <c r="R44">
        <f t="shared" ref="R44" si="68">(ABS(P44-Q44)/Q44)*100</f>
        <v>501.68639766222657</v>
      </c>
      <c r="S44" s="2">
        <v>4.6794552E-3</v>
      </c>
      <c r="T44" s="14">
        <f t="shared" si="9"/>
        <v>13.276558951927647</v>
      </c>
      <c r="U44" s="14" t="e">
        <f t="shared" si="3"/>
        <v>#DIV/0!</v>
      </c>
      <c r="V44">
        <f t="shared" si="10"/>
        <v>0</v>
      </c>
      <c r="W44">
        <v>0.37230999999999997</v>
      </c>
      <c r="X44" s="12">
        <v>0</v>
      </c>
      <c r="AA44">
        <f>AVERAGE(T45,T40,T44)</f>
        <v>5.6352415364283495</v>
      </c>
    </row>
    <row r="45" spans="1:27" ht="15.75" thickBot="1" x14ac:dyDescent="0.3">
      <c r="A45" s="7" t="s">
        <v>60</v>
      </c>
      <c r="B45" s="9">
        <f>SUM(B38:B44)</f>
        <v>134.27156150336003</v>
      </c>
      <c r="C45" s="9">
        <f>SUM(C38:C44)</f>
        <v>22.4262152286</v>
      </c>
      <c r="D45" s="7">
        <v>0.7</v>
      </c>
      <c r="E45" s="7">
        <v>0.5</v>
      </c>
      <c r="F45" s="10">
        <f t="shared" si="12"/>
        <v>3.5623279380426816</v>
      </c>
      <c r="G45" s="6">
        <f t="shared" si="4"/>
        <v>7.8367384310982748</v>
      </c>
      <c r="H45" s="6">
        <f>AVERAGE(G38,G39,G41,G42,G43)</f>
        <v>1.3914371690101282E-2</v>
      </c>
      <c r="I45" s="7">
        <f t="shared" si="13"/>
        <v>0.16702133331516225</v>
      </c>
      <c r="J45" s="7">
        <f t="shared" si="0"/>
        <v>8.3532183062691945E-2</v>
      </c>
      <c r="K45" s="9">
        <f>SUM(K38:K44)</f>
        <v>7.6130261174399987</v>
      </c>
      <c r="L45" s="7">
        <f t="shared" si="14"/>
        <v>5.6698723335019005E-2</v>
      </c>
      <c r="M45" s="7">
        <f t="shared" si="15"/>
        <v>80.422839621250745</v>
      </c>
      <c r="N45" s="11">
        <v>1.11E-2</v>
      </c>
      <c r="O45" s="11">
        <v>0.97309999999999997</v>
      </c>
      <c r="P45" s="7">
        <f t="shared" si="1"/>
        <v>1.0173671770629946</v>
      </c>
      <c r="Q45" s="7">
        <f t="shared" si="2"/>
        <v>1.0558741313762898</v>
      </c>
      <c r="R45" s="7">
        <f t="shared" si="20"/>
        <v>3.6469265766652437</v>
      </c>
      <c r="S45" s="9">
        <f>SUM(S38:S44)</f>
        <v>5.4153609031999999</v>
      </c>
      <c r="T45" s="7">
        <f t="shared" si="9"/>
        <v>1.9346448714115048</v>
      </c>
      <c r="U45" s="7">
        <f t="shared" si="3"/>
        <v>1.0450061674122308</v>
      </c>
      <c r="V45" s="7">
        <f t="shared" si="10"/>
        <v>97.61283559140999</v>
      </c>
      <c r="W45" s="7">
        <v>0.37230999999999997</v>
      </c>
      <c r="X45" s="7">
        <f>SUM(X38:X44)</f>
        <v>262.18161099999998</v>
      </c>
      <c r="Y45" t="s">
        <v>81</v>
      </c>
      <c r="Z45">
        <f>AVERAGE(V38:V45)</f>
        <v>24.403208897852497</v>
      </c>
      <c r="AA45" t="s">
        <v>83</v>
      </c>
    </row>
    <row r="46" spans="1:27" ht="15.75" thickBot="1" x14ac:dyDescent="0.3">
      <c r="A46" s="7" t="s">
        <v>68</v>
      </c>
      <c r="B46" s="9">
        <f>31.66836*0.83639</f>
        <v>26.487099620399999</v>
      </c>
      <c r="C46" s="9">
        <f>24.20457*0.60756</f>
        <v>14.7057285492</v>
      </c>
      <c r="D46" s="7">
        <v>0.7</v>
      </c>
      <c r="E46" s="7">
        <v>0.5</v>
      </c>
      <c r="F46" s="10">
        <f t="shared" si="12"/>
        <v>0.57224400836060163</v>
      </c>
      <c r="G46" s="6">
        <f t="shared" si="4"/>
        <v>2.9418213247151786E-3</v>
      </c>
      <c r="H46" s="6">
        <f>G46</f>
        <v>2.9418213247151786E-3</v>
      </c>
      <c r="I46" s="7">
        <f t="shared" si="13"/>
        <v>0.55520342959233826</v>
      </c>
      <c r="J46" s="7">
        <f t="shared" si="0"/>
        <v>0.99589834302414038</v>
      </c>
      <c r="K46" s="9">
        <f>33.03902*0.37724</f>
        <v>12.463639904800001</v>
      </c>
      <c r="L46" s="7">
        <f t="shared" si="14"/>
        <v>0.47055510355692842</v>
      </c>
      <c r="M46" s="7">
        <f t="shared" si="15"/>
        <v>62.533612181156386</v>
      </c>
      <c r="N46" s="11">
        <v>0.17630000000000001</v>
      </c>
      <c r="O46" s="11">
        <v>0.7833</v>
      </c>
      <c r="P46" s="7">
        <f t="shared" si="1"/>
        <v>1.2638835695135964</v>
      </c>
      <c r="Q46" s="7">
        <f t="shared" si="2"/>
        <v>1.8812296101372987</v>
      </c>
      <c r="R46" s="7">
        <f t="shared" si="20"/>
        <v>32.816092054741063</v>
      </c>
      <c r="S46" s="9">
        <f>0.071514*0.75536</f>
        <v>5.4018815040000001E-2</v>
      </c>
      <c r="T46" s="7">
        <f t="shared" si="9"/>
        <v>38.259031658978728</v>
      </c>
      <c r="U46" s="7">
        <f t="shared" si="3"/>
        <v>233.49454295446029</v>
      </c>
      <c r="V46" s="7">
        <f t="shared" si="10"/>
        <v>8.6178595699999999E-2</v>
      </c>
      <c r="W46" s="7">
        <v>0.37230999999999997</v>
      </c>
      <c r="X46" s="15">
        <v>0.23147000000000001</v>
      </c>
      <c r="Y46" t="s">
        <v>82</v>
      </c>
      <c r="Z46" s="16">
        <f>U46</f>
        <v>233.49454295446029</v>
      </c>
      <c r="AA46">
        <f>T46</f>
        <v>38.259031658978728</v>
      </c>
    </row>
    <row r="47" spans="1:27" ht="15.75" thickBot="1" x14ac:dyDescent="0.3">
      <c r="A47" s="7" t="s">
        <v>4</v>
      </c>
      <c r="B47" s="9">
        <f>47.34612*0.83639</f>
        <v>39.599821306799996</v>
      </c>
      <c r="C47" s="9">
        <f>70.53265*0.60756</f>
        <v>42.852816834000002</v>
      </c>
      <c r="D47" s="7">
        <v>0.7</v>
      </c>
      <c r="E47" s="7">
        <v>0.5</v>
      </c>
      <c r="F47" s="10">
        <f t="shared" si="12"/>
        <v>-5.4222065324553904E-2</v>
      </c>
      <c r="G47" s="6">
        <f t="shared" si="4"/>
        <v>4.7159604302503067E-3</v>
      </c>
      <c r="H47" s="6">
        <f>G47</f>
        <v>4.7159604302503067E-3</v>
      </c>
      <c r="I47" s="7">
        <f t="shared" si="13"/>
        <v>1.0821467223803207</v>
      </c>
      <c r="J47" s="7">
        <f t="shared" si="0"/>
        <v>0.99344096043710428</v>
      </c>
      <c r="K47" s="9">
        <f>71.77668*0.37724</f>
        <v>27.0770347632</v>
      </c>
      <c r="L47" s="7">
        <f t="shared" si="14"/>
        <v>0.68376658958686742</v>
      </c>
      <c r="M47" s="7">
        <f t="shared" si="15"/>
        <v>99.327255810673734</v>
      </c>
      <c r="N47" s="11">
        <v>4.5999999999999999E-3</v>
      </c>
      <c r="O47" s="11">
        <v>1.6299999999999999E-2</v>
      </c>
      <c r="P47" s="7">
        <f t="shared" si="1"/>
        <v>60.736196319018411</v>
      </c>
      <c r="Q47" s="7">
        <f t="shared" si="2"/>
        <v>3.1495957837711752</v>
      </c>
      <c r="R47" s="7">
        <f t="shared" si="20"/>
        <v>1828.3806713220765</v>
      </c>
      <c r="S47" s="9">
        <f>0.343225*0.75536</f>
        <v>0.25925843600000004</v>
      </c>
      <c r="T47" s="7">
        <f t="shared" si="9"/>
        <v>11.91804309477329</v>
      </c>
      <c r="U47" s="7">
        <f t="shared" si="3"/>
        <v>146.01444491234264</v>
      </c>
      <c r="V47" s="7">
        <f t="shared" si="10"/>
        <v>0.20603412014</v>
      </c>
      <c r="W47" s="7">
        <v>0.37230999999999997</v>
      </c>
      <c r="X47" s="7">
        <v>0.55339400000000005</v>
      </c>
      <c r="Y47" t="s">
        <v>4</v>
      </c>
      <c r="Z47">
        <f>U47</f>
        <v>146.01444491234264</v>
      </c>
      <c r="AA47">
        <f>T47</f>
        <v>11.91804309477329</v>
      </c>
    </row>
    <row r="48" spans="1:27" ht="15.75" thickBot="1" x14ac:dyDescent="0.3">
      <c r="A48" t="s">
        <v>1</v>
      </c>
      <c r="B48" s="2">
        <f>279426.9*0.83639</f>
        <v>233709.864891</v>
      </c>
      <c r="C48" s="2">
        <f>7255.495*0.60756</f>
        <v>4408.1485421999996</v>
      </c>
      <c r="D48">
        <v>0.7</v>
      </c>
      <c r="E48">
        <v>0.5</v>
      </c>
      <c r="F48" s="6">
        <f t="shared" si="12"/>
        <v>37.155494802677588</v>
      </c>
      <c r="G48" s="6">
        <f t="shared" si="4"/>
        <v>0.11617236976512466</v>
      </c>
      <c r="H48" s="6"/>
      <c r="I48" s="7">
        <f t="shared" si="13"/>
        <v>1.8861628045764852E-2</v>
      </c>
      <c r="J48" s="7">
        <f t="shared" si="0"/>
        <v>0.86011049564542164</v>
      </c>
      <c r="K48" s="9">
        <f>0.37724*390.0608</f>
        <v>147.14653619199999</v>
      </c>
      <c r="L48">
        <f t="shared" si="14"/>
        <v>6.2961200315882128E-4</v>
      </c>
      <c r="M48">
        <f t="shared" si="15"/>
        <v>20.58601210087259</v>
      </c>
      <c r="N48" s="3">
        <v>5.0000000000000001E-4</v>
      </c>
      <c r="O48" s="3">
        <v>0.99199999999999999</v>
      </c>
      <c r="P48">
        <f t="shared" si="1"/>
        <v>0.99798387096774188</v>
      </c>
      <c r="Q48">
        <f t="shared" si="2"/>
        <v>0.99663490942652422</v>
      </c>
      <c r="R48">
        <f t="shared" si="20"/>
        <v>0.13535162459780509</v>
      </c>
      <c r="S48" s="2">
        <f>1601.296*0.75536</f>
        <v>1209.5549465600002</v>
      </c>
      <c r="T48" s="14">
        <f t="shared" si="9"/>
        <v>15.07634491134465</v>
      </c>
      <c r="U48" s="14">
        <f t="shared" si="3"/>
        <v>6.8462214184903267</v>
      </c>
      <c r="V48">
        <f t="shared" si="10"/>
        <v>25933.9008694</v>
      </c>
      <c r="W48">
        <v>0.37230999999999997</v>
      </c>
      <c r="X48">
        <v>69656.740000000005</v>
      </c>
    </row>
    <row r="49" spans="1:24" ht="15.75" thickBot="1" x14ac:dyDescent="0.3">
      <c r="A49" s="7" t="s">
        <v>2</v>
      </c>
      <c r="B49" s="9">
        <f>4857.927*0.83639</f>
        <v>4063.1215635299995</v>
      </c>
      <c r="C49" s="9">
        <f>282.7886*0.60756</f>
        <v>171.81104181599997</v>
      </c>
      <c r="D49" s="7">
        <v>0.7</v>
      </c>
      <c r="E49" s="7">
        <v>0.5</v>
      </c>
      <c r="F49" s="10">
        <f>(B49/C49-1)*(E49/D49)</f>
        <v>16.177700141570046</v>
      </c>
      <c r="G49" s="6">
        <f t="shared" si="4"/>
        <v>16.177700141570071</v>
      </c>
      <c r="H49" s="6"/>
      <c r="I49" s="7">
        <f t="shared" si="13"/>
        <v>4.2285479065689642E-2</v>
      </c>
      <c r="J49" s="7">
        <f t="shared" si="0"/>
        <v>4.228547906568958E-2</v>
      </c>
      <c r="K49" s="9">
        <f>43.00274*0.37724</f>
        <v>16.222353637600001</v>
      </c>
      <c r="L49" s="7">
        <f t="shared" si="14"/>
        <v>3.9925838752178956E-3</v>
      </c>
      <c r="M49" s="7">
        <f t="shared" si="15"/>
        <v>67.439632062105332</v>
      </c>
      <c r="N49" s="11">
        <v>1.2999999999999999E-3</v>
      </c>
      <c r="O49" s="11">
        <v>0.99</v>
      </c>
      <c r="P49" s="7">
        <f t="shared" si="1"/>
        <v>1</v>
      </c>
      <c r="Q49" s="7">
        <f t="shared" si="2"/>
        <v>0.99999999999999989</v>
      </c>
      <c r="R49" s="7">
        <f t="shared" si="20"/>
        <v>1.1102230246251565E-14</v>
      </c>
      <c r="S49" s="9">
        <f>419.7111*0.75536</f>
        <v>317.032976496</v>
      </c>
      <c r="T49" s="7">
        <f t="shared" si="9"/>
        <v>1</v>
      </c>
      <c r="U49" s="7">
        <f t="shared" si="3"/>
        <v>0.99999999999999989</v>
      </c>
      <c r="V49" s="7">
        <f t="shared" si="10"/>
        <v>3086.7507264800001</v>
      </c>
      <c r="W49" s="7">
        <v>0.37230999999999997</v>
      </c>
      <c r="X49" s="7">
        <v>8290.8080000000009</v>
      </c>
    </row>
    <row r="50" spans="1:24" x14ac:dyDescent="0.25">
      <c r="A50" s="12" t="s">
        <v>33</v>
      </c>
      <c r="B50" s="12">
        <v>0.83638999999999997</v>
      </c>
      <c r="C50" s="12">
        <v>0.60755999999999999</v>
      </c>
      <c r="D50" s="8"/>
      <c r="E50" s="8"/>
      <c r="F50" s="8"/>
      <c r="G50" s="8"/>
      <c r="H50" s="8"/>
      <c r="I50" s="8"/>
      <c r="J50" s="8"/>
      <c r="K50" s="12">
        <v>0.37724000000000002</v>
      </c>
      <c r="L50" s="12"/>
      <c r="M50" s="8"/>
      <c r="N50" s="8"/>
      <c r="O50" s="8"/>
      <c r="P50" s="8"/>
      <c r="Q50" s="12"/>
      <c r="R50" s="8"/>
      <c r="S50" s="12">
        <v>0.75536000000000003</v>
      </c>
      <c r="T50" s="12"/>
    </row>
    <row r="51" spans="1:24" x14ac:dyDescent="0.25">
      <c r="A51" t="s">
        <v>13</v>
      </c>
    </row>
    <row r="54" spans="1:24" x14ac:dyDescent="0.25">
      <c r="A54" s="3"/>
      <c r="B54" t="s">
        <v>18</v>
      </c>
    </row>
    <row r="55" spans="1:24" x14ac:dyDescent="0.25">
      <c r="A55" s="2"/>
      <c r="B55" t="s">
        <v>19</v>
      </c>
    </row>
    <row r="68" spans="19:19" x14ac:dyDescent="0.25">
      <c r="S68">
        <v>1</v>
      </c>
    </row>
    <row r="69" spans="19:19" x14ac:dyDescent="0.25">
      <c r="S69">
        <v>1</v>
      </c>
    </row>
    <row r="70" spans="19:19" x14ac:dyDescent="0.25">
      <c r="S70">
        <v>1</v>
      </c>
    </row>
    <row r="71" spans="19:19" x14ac:dyDescent="0.25">
      <c r="S71">
        <v>1</v>
      </c>
    </row>
  </sheetData>
  <mergeCells count="1">
    <mergeCell ref="N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2016-02-03T17:30:56Z</dcterms:modified>
</cp:coreProperties>
</file>