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endoza\Google Drive\School\Classes_Current\NUEN 689 - Research\Masters Experiment &amp; Research\Results_Cal\Isotopes_Mass_Spec\"/>
    </mc:Choice>
  </mc:AlternateContent>
  <bookViews>
    <workbookView xWindow="0" yWindow="0" windowWidth="19200" windowHeight="11595"/>
  </bookViews>
  <sheets>
    <sheet name="Cs 144" sheetId="3" r:id="rId1"/>
    <sheet name="Note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3" l="1"/>
  <c r="I3" i="3"/>
  <c r="I2" i="3"/>
  <c r="H4" i="3"/>
  <c r="H3" i="3"/>
  <c r="H2" i="3"/>
  <c r="C2" i="4"/>
  <c r="E22" i="4"/>
  <c r="D18" i="4"/>
  <c r="D22" i="4"/>
  <c r="E19" i="4"/>
  <c r="E18" i="4"/>
  <c r="D19" i="4"/>
  <c r="Y4" i="3" l="1"/>
  <c r="Y3" i="3"/>
  <c r="X4" i="3"/>
  <c r="X3" i="3"/>
  <c r="AB2" i="3" l="1"/>
  <c r="AA3" i="3" l="1"/>
  <c r="AB3" i="3" s="1"/>
  <c r="AA2" i="3"/>
  <c r="Z3" i="3"/>
  <c r="Z4" i="3"/>
  <c r="AA4" i="3" s="1"/>
  <c r="AB4" i="3" s="1"/>
  <c r="Z2" i="3"/>
  <c r="F3" i="3" l="1"/>
  <c r="F4" i="3"/>
  <c r="K10" i="3"/>
  <c r="E10" i="3"/>
  <c r="E8" i="3"/>
  <c r="B10" i="3"/>
  <c r="B9" i="3"/>
  <c r="W4" i="3"/>
  <c r="G4" i="3" l="1"/>
  <c r="E4" i="3"/>
  <c r="C4" i="3"/>
  <c r="W3" i="3" l="1"/>
  <c r="W2" i="3"/>
  <c r="B8" i="3" l="1"/>
  <c r="F10" i="3"/>
  <c r="H10" i="3" s="1"/>
  <c r="B18" i="3" l="1"/>
  <c r="L10" i="3"/>
  <c r="N10" i="3" s="1"/>
  <c r="P10" i="3" s="1"/>
  <c r="R10" i="3" s="1"/>
  <c r="G10" i="3"/>
  <c r="I10" i="3" s="1"/>
  <c r="C18" i="3" s="1"/>
  <c r="K9" i="3"/>
  <c r="K8" i="3"/>
  <c r="C3" i="3"/>
  <c r="C2" i="3"/>
  <c r="E3" i="3"/>
  <c r="E2" i="3"/>
  <c r="K18" i="3" l="1"/>
  <c r="E18" i="3"/>
  <c r="D18" i="3"/>
  <c r="J18" i="3"/>
  <c r="M10" i="3"/>
  <c r="O10" i="3" s="1"/>
  <c r="Q10" i="3" s="1"/>
  <c r="S10" i="3" s="1"/>
  <c r="D9" i="3"/>
  <c r="E9" i="3" s="1"/>
  <c r="B25" i="3" l="1"/>
  <c r="R18" i="3"/>
  <c r="J25" i="3" s="1"/>
  <c r="G18" i="3"/>
  <c r="M18" i="3"/>
  <c r="F18" i="3"/>
  <c r="L18" i="3"/>
  <c r="C25" i="3"/>
  <c r="S18" i="3"/>
  <c r="K25" i="3" s="1"/>
  <c r="D8" i="3"/>
  <c r="D25" i="3" l="1"/>
  <c r="T18" i="3"/>
  <c r="L25" i="3" s="1"/>
  <c r="E25" i="3"/>
  <c r="U18" i="3"/>
  <c r="M25" i="3" s="1"/>
  <c r="H18" i="3"/>
  <c r="P18" i="3" s="1"/>
  <c r="N18" i="3"/>
  <c r="I18" i="3"/>
  <c r="Q18" i="3" s="1"/>
  <c r="O18" i="3"/>
  <c r="F2" i="3"/>
  <c r="G3" i="3"/>
  <c r="G2" i="3"/>
  <c r="G25" i="3" l="1"/>
  <c r="W18" i="3"/>
  <c r="O25" i="3" s="1"/>
  <c r="F25" i="3"/>
  <c r="V18" i="3"/>
  <c r="N25" i="3" s="1"/>
  <c r="I25" i="3"/>
  <c r="Y18" i="3"/>
  <c r="Q25" i="3" s="1"/>
  <c r="H25" i="3"/>
  <c r="X18" i="3"/>
  <c r="P25" i="3" s="1"/>
  <c r="F8" i="3"/>
  <c r="H8" i="3" s="1"/>
  <c r="B16" i="3" s="1"/>
  <c r="J16" i="3" s="1"/>
  <c r="B23" i="3" s="1"/>
  <c r="F9" i="3" l="1"/>
  <c r="H9" i="3" s="1"/>
  <c r="D16" i="3"/>
  <c r="F16" i="3" s="1"/>
  <c r="H16" i="3" s="1"/>
  <c r="L8" i="3"/>
  <c r="N8" i="3" s="1"/>
  <c r="B17" i="3" l="1"/>
  <c r="L9" i="3"/>
  <c r="N9" i="3" s="1"/>
  <c r="P9" i="3" s="1"/>
  <c r="R9" i="3" s="1"/>
  <c r="R16" i="3"/>
  <c r="J23" i="3" s="1"/>
  <c r="L16" i="3"/>
  <c r="G9" i="3"/>
  <c r="I9" i="3" s="1"/>
  <c r="C17" i="3" s="1"/>
  <c r="P8" i="3"/>
  <c r="R8" i="3" s="1"/>
  <c r="G8" i="3"/>
  <c r="D17" i="3" l="1"/>
  <c r="J17" i="3"/>
  <c r="T16" i="3"/>
  <c r="L23" i="3" s="1"/>
  <c r="D23" i="3"/>
  <c r="E17" i="3"/>
  <c r="K17" i="3"/>
  <c r="P16" i="3"/>
  <c r="N16" i="3"/>
  <c r="M9" i="3"/>
  <c r="O9" i="3" s="1"/>
  <c r="Q9" i="3" s="1"/>
  <c r="S9" i="3" s="1"/>
  <c r="I8" i="3"/>
  <c r="C16" i="3" s="1"/>
  <c r="R17" i="3" l="1"/>
  <c r="J24" i="3" s="1"/>
  <c r="B24" i="3"/>
  <c r="F17" i="3"/>
  <c r="L17" i="3"/>
  <c r="E16" i="3"/>
  <c r="K16" i="3"/>
  <c r="V16" i="3"/>
  <c r="N23" i="3" s="1"/>
  <c r="F23" i="3"/>
  <c r="S17" i="3"/>
  <c r="K24" i="3" s="1"/>
  <c r="C24" i="3"/>
  <c r="X16" i="3"/>
  <c r="P23" i="3" s="1"/>
  <c r="H23" i="3"/>
  <c r="G17" i="3"/>
  <c r="I17" i="3" s="1"/>
  <c r="M17" i="3"/>
  <c r="M8" i="3"/>
  <c r="O8" i="3" s="1"/>
  <c r="Q8" i="3" s="1"/>
  <c r="S8" i="3" s="1"/>
  <c r="T17" i="3" l="1"/>
  <c r="L24" i="3" s="1"/>
  <c r="D24" i="3"/>
  <c r="H17" i="3"/>
  <c r="P17" i="3" s="1"/>
  <c r="N17" i="3"/>
  <c r="U17" i="3"/>
  <c r="M24" i="3" s="1"/>
  <c r="E24" i="3"/>
  <c r="S16" i="3"/>
  <c r="K23" i="3" s="1"/>
  <c r="C23" i="3"/>
  <c r="Q17" i="3"/>
  <c r="O17" i="3"/>
  <c r="G16" i="3"/>
  <c r="I16" i="3" s="1"/>
  <c r="M16" i="3"/>
  <c r="V17" i="3" l="1"/>
  <c r="N24" i="3" s="1"/>
  <c r="F24" i="3"/>
  <c r="X17" i="3"/>
  <c r="P24" i="3" s="1"/>
  <c r="H24" i="3"/>
  <c r="U16" i="3"/>
  <c r="M23" i="3" s="1"/>
  <c r="E23" i="3"/>
  <c r="W17" i="3"/>
  <c r="O24" i="3" s="1"/>
  <c r="G24" i="3"/>
  <c r="Q16" i="3"/>
  <c r="O16" i="3"/>
  <c r="Y17" i="3"/>
  <c r="Q24" i="3" s="1"/>
  <c r="I24" i="3"/>
  <c r="W16" i="3" l="1"/>
  <c r="O23" i="3" s="1"/>
  <c r="G23" i="3"/>
  <c r="Y16" i="3"/>
  <c r="Q23" i="3" s="1"/>
  <c r="I23" i="3"/>
</calcChain>
</file>

<file path=xl/sharedStrings.xml><?xml version="1.0" encoding="utf-8"?>
<sst xmlns="http://schemas.openxmlformats.org/spreadsheetml/2006/main" count="129" uniqueCount="74">
  <si>
    <t>λ (s)</t>
  </si>
  <si>
    <t>±</t>
  </si>
  <si>
    <t>Volume Correction (ml)</t>
  </si>
  <si>
    <t>24G</t>
  </si>
  <si>
    <t>30G</t>
  </si>
  <si>
    <t>Vial</t>
  </si>
  <si>
    <t>Cs 137 cps</t>
  </si>
  <si>
    <t>ppb/cps Estimate</t>
  </si>
  <si>
    <t>Total aliquot (g)</t>
  </si>
  <si>
    <t>Total dilution mass (g)</t>
  </si>
  <si>
    <t>DF initial</t>
  </si>
  <si>
    <t>volume total of tube (ml)</t>
  </si>
  <si>
    <t>Volume Sent (µL)</t>
  </si>
  <si>
    <t>Volume sent (L)</t>
  </si>
  <si>
    <t>Nitric Acid</t>
  </si>
  <si>
    <t>Iron Sulfamate</t>
  </si>
  <si>
    <t>density estimate (g/cc)</t>
  </si>
  <si>
    <t>volume estimate measured (ml)</t>
  </si>
  <si>
    <t>Multiplying Factor  to tube estimate</t>
  </si>
  <si>
    <t>Multiplying Factor to Original Aliquot</t>
  </si>
  <si>
    <t>ppb Cs 137 (Cs) (custom)</t>
  </si>
  <si>
    <t>[to 4.5] Initial (Paul)</t>
  </si>
  <si>
    <t>[to 5] Initial (Second)</t>
  </si>
  <si>
    <t>V2/V1</t>
  </si>
  <si>
    <t>Original Concentration (ppb)</t>
  </si>
  <si>
    <t>Mass per Aliquot (ng)</t>
  </si>
  <si>
    <t>total in sample (ng)</t>
  </si>
  <si>
    <t>total atoms</t>
  </si>
  <si>
    <t>1. Assuming No Error in Volume Estimate (Consequently Mass Estimate)</t>
  </si>
  <si>
    <t>2. Assuming all losses in 30G were from evaporation</t>
  </si>
  <si>
    <t>3. Assuming loss of 0.01 g of 24 G from centrifuge (changes concentration change)</t>
  </si>
  <si>
    <t>4. Assuming no error in mass of Cs 137</t>
  </si>
  <si>
    <t>5. Didn't consider Matts Corrections (some of this mass is decayed Ba 137)</t>
  </si>
  <si>
    <t>6. Estimates for instrument response using Ba 137 were WAY off. Had to use Cs 133…WHY!?</t>
  </si>
  <si>
    <t>Notes:</t>
  </si>
  <si>
    <t>Results could be messed up based on neutron absorption</t>
  </si>
  <si>
    <t>Ba Contaminate (up to 450 ppb)</t>
  </si>
  <si>
    <t>Other yields into other mass bins are small or have short half lives</t>
  </si>
  <si>
    <t>Calculations don't do the Matt and Paul Method of subtracting ppb…oh welz</t>
  </si>
  <si>
    <t>BR</t>
  </si>
  <si>
    <t>ppb</t>
  </si>
  <si>
    <t>#atoms</t>
  </si>
  <si>
    <t>activity</t>
  </si>
  <si>
    <t>Estimated total (corrected to all of stock)</t>
  </si>
  <si>
    <t>Dilution Correction (James)</t>
  </si>
  <si>
    <t>total grams of original Tube</t>
  </si>
  <si>
    <t>ng</t>
  </si>
  <si>
    <t>Mass</t>
  </si>
  <si>
    <t>Avogadro</t>
  </si>
  <si>
    <r>
      <t>activity (</t>
    </r>
    <r>
      <rPr>
        <sz val="11"/>
        <color theme="1"/>
        <rFont val="Calibri"/>
        <family val="2"/>
      </rPr>
      <t>μ</t>
    </r>
    <r>
      <rPr>
        <sz val="11"/>
        <color theme="1"/>
        <rFont val="Calibri"/>
        <family val="2"/>
        <scheme val="minor"/>
      </rPr>
      <t>Ci)</t>
    </r>
  </si>
  <si>
    <t>Original Vial (Evaporation Corrected)</t>
  </si>
  <si>
    <t>Estimated total (vial to all of stock) (1/100th corrected) (Evap Corrected)</t>
  </si>
  <si>
    <r>
      <t xml:space="preserve">DPS to </t>
    </r>
    <r>
      <rPr>
        <sz val="11"/>
        <color theme="1"/>
        <rFont val="Calibri"/>
        <family val="2"/>
      </rPr>
      <t>μCi</t>
    </r>
  </si>
  <si>
    <t>To Original Stock (0.5 ml) (1/100th corrected, Evap Corrected)</t>
  </si>
  <si>
    <t>90G</t>
  </si>
  <si>
    <t>Ba</t>
  </si>
  <si>
    <t>Decay to Date</t>
  </si>
  <si>
    <t>Date Assy</t>
  </si>
  <si>
    <t>Days Passed</t>
  </si>
  <si>
    <t>Seconds Passed</t>
  </si>
  <si>
    <t>Decay Correction</t>
  </si>
  <si>
    <t>Non Decay Corrected</t>
  </si>
  <si>
    <t>Corrected 1/100th vial (Evaporation Corrected) (TK Dillusion Corrected)</t>
  </si>
  <si>
    <t>Yield</t>
  </si>
  <si>
    <t>I think we are assuming mass fraction and atomic fraction are the same, they aren't</t>
  </si>
  <si>
    <t>MS-B (10.19)</t>
  </si>
  <si>
    <t>MS-B</t>
  </si>
  <si>
    <t>10.19 ppb</t>
  </si>
  <si>
    <t>Ce 88.45</t>
  </si>
  <si>
    <t>Ce 11.114</t>
  </si>
  <si>
    <t>Nd 27.2</t>
  </si>
  <si>
    <t>ppb/cps 140 Estimate</t>
  </si>
  <si>
    <t>ppb/cps 142 Estimate</t>
  </si>
  <si>
    <t>Ce 140ppb/cps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</si>
</sst>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"/>
    <numFmt numFmtId="165" formatCode="0.000"/>
    <numFmt numFmtId="166" formatCode="0.0"/>
    <numFmt numFmtId="167" formatCode="&quot;$&quot;#,##0.00"/>
    <numFmt numFmtId="168" formatCode="&quot;$&quot;#,##0.0000"/>
    <numFmt numFmtId="169" formatCode="&quot;$&quot;#,##0"/>
    <numFmt numFmtId="170" formatCode="0.00000"/>
    <numFmt numFmtId="171" formatCode="0.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3" fillId="0" borderId="0" xfId="0" applyFon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8" fontId="0" fillId="0" borderId="0" xfId="0" applyNumberFormat="1"/>
    <xf numFmtId="0" fontId="4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165" fontId="0" fillId="2" borderId="0" xfId="0" applyNumberFormat="1" applyFill="1"/>
    <xf numFmtId="169" fontId="0" fillId="0" borderId="0" xfId="0" applyNumberFormat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7" fontId="0" fillId="0" borderId="3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6" xfId="0" applyBorder="1"/>
    <xf numFmtId="2" fontId="0" fillId="0" borderId="3" xfId="0" applyNumberFormat="1" applyBorder="1"/>
    <xf numFmtId="170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166" fontId="0" fillId="0" borderId="3" xfId="0" applyNumberFormat="1" applyBorder="1"/>
    <xf numFmtId="166" fontId="0" fillId="0" borderId="7" xfId="0" applyNumberFormat="1" applyBorder="1"/>
    <xf numFmtId="166" fontId="0" fillId="0" borderId="0" xfId="0" applyNumberFormat="1" applyBorder="1"/>
    <xf numFmtId="11" fontId="0" fillId="0" borderId="3" xfId="0" applyNumberFormat="1" applyBorder="1"/>
    <xf numFmtId="11" fontId="0" fillId="0" borderId="2" xfId="0" applyNumberFormat="1" applyBorder="1"/>
    <xf numFmtId="166" fontId="0" fillId="0" borderId="8" xfId="0" applyNumberFormat="1" applyBorder="1"/>
    <xf numFmtId="0" fontId="0" fillId="0" borderId="20" xfId="0" applyBorder="1"/>
    <xf numFmtId="0" fontId="1" fillId="0" borderId="21" xfId="0" applyFont="1" applyBorder="1"/>
    <xf numFmtId="0" fontId="1" fillId="0" borderId="22" xfId="0" applyFont="1" applyBorder="1"/>
    <xf numFmtId="0" fontId="0" fillId="0" borderId="21" xfId="0" applyBorder="1"/>
    <xf numFmtId="0" fontId="0" fillId="0" borderId="23" xfId="0" applyBorder="1"/>
    <xf numFmtId="0" fontId="1" fillId="0" borderId="20" xfId="0" applyFont="1" applyFill="1" applyBorder="1"/>
    <xf numFmtId="0" fontId="1" fillId="0" borderId="24" xfId="0" applyFont="1" applyBorder="1"/>
    <xf numFmtId="171" fontId="0" fillId="0" borderId="2" xfId="0" applyNumberFormat="1" applyBorder="1"/>
    <xf numFmtId="0" fontId="0" fillId="2" borderId="0" xfId="0" applyNumberFormat="1" applyFill="1"/>
    <xf numFmtId="14" fontId="0" fillId="0" borderId="0" xfId="0" applyNumberFormat="1"/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5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1" fontId="0" fillId="2" borderId="0" xfId="0" applyNumberForma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workbookViewId="0">
      <selection activeCell="I5" sqref="I5"/>
    </sheetView>
  </sheetViews>
  <sheetFormatPr defaultRowHeight="15" x14ac:dyDescent="0.25"/>
  <cols>
    <col min="1" max="1" width="15.5703125" customWidth="1"/>
    <col min="2" max="2" width="11.85546875" customWidth="1"/>
    <col min="3" max="3" width="10.42578125" customWidth="1"/>
    <col min="4" max="4" width="8.7109375" customWidth="1"/>
    <col min="5" max="5" width="10.140625" customWidth="1"/>
    <col min="6" max="6" width="10" customWidth="1"/>
    <col min="7" max="7" width="5.7109375" customWidth="1"/>
    <col min="8" max="8" width="11.85546875" customWidth="1"/>
    <col min="9" max="9" width="12" bestFit="1" customWidth="1"/>
    <col min="10" max="10" width="12" customWidth="1"/>
    <col min="11" max="11" width="10.28515625" customWidth="1"/>
    <col min="12" max="12" width="8.7109375" customWidth="1"/>
    <col min="13" max="13" width="9.140625" customWidth="1"/>
    <col min="14" max="14" width="8.85546875" customWidth="1"/>
    <col min="15" max="15" width="7.85546875" customWidth="1"/>
    <col min="16" max="16" width="8.42578125" customWidth="1"/>
    <col min="17" max="17" width="8.5703125" customWidth="1"/>
    <col min="18" max="18" width="9.140625" customWidth="1"/>
    <col min="20" max="20" width="11.42578125" customWidth="1"/>
    <col min="21" max="21" width="9" bestFit="1" customWidth="1"/>
    <col min="22" max="23" width="12" bestFit="1" customWidth="1"/>
    <col min="24" max="24" width="10.7109375" bestFit="1" customWidth="1"/>
    <col min="25" max="25" width="9.7109375" bestFit="1" customWidth="1"/>
  </cols>
  <sheetData>
    <row r="1" spans="1:28" ht="75" x14ac:dyDescent="0.25">
      <c r="A1" t="s">
        <v>5</v>
      </c>
      <c r="B1">
        <v>137</v>
      </c>
      <c r="C1" s="2" t="s">
        <v>1</v>
      </c>
      <c r="D1">
        <v>138</v>
      </c>
      <c r="E1" s="2" t="s">
        <v>1</v>
      </c>
      <c r="F1" s="2" t="s">
        <v>6</v>
      </c>
      <c r="G1" s="2" t="s">
        <v>1</v>
      </c>
      <c r="H1" s="3" t="s">
        <v>7</v>
      </c>
      <c r="I1" s="2" t="s">
        <v>1</v>
      </c>
      <c r="J1" s="10" t="s">
        <v>8</v>
      </c>
      <c r="K1" s="10" t="s">
        <v>9</v>
      </c>
      <c r="L1" s="10" t="s">
        <v>10</v>
      </c>
      <c r="M1" s="11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47</v>
      </c>
      <c r="W1" s="12" t="s">
        <v>48</v>
      </c>
      <c r="X1" s="12" t="s">
        <v>56</v>
      </c>
      <c r="Y1" s="12" t="s">
        <v>57</v>
      </c>
      <c r="Z1" s="12" t="s">
        <v>58</v>
      </c>
      <c r="AA1" s="12" t="s">
        <v>59</v>
      </c>
      <c r="AB1" s="12" t="s">
        <v>60</v>
      </c>
    </row>
    <row r="2" spans="1:28" x14ac:dyDescent="0.25">
      <c r="A2" t="s">
        <v>4</v>
      </c>
      <c r="B2" s="9">
        <v>37988.080000000002</v>
      </c>
      <c r="C2" s="9">
        <f>B2^0.5</f>
        <v>194.9053103432536</v>
      </c>
      <c r="D2" s="20">
        <v>63047.6</v>
      </c>
      <c r="E2" s="9">
        <f>D2^0.5</f>
        <v>251.09281152593755</v>
      </c>
      <c r="F2" s="9">
        <f>B2-D2*(11.232/71.698)</f>
        <v>28111.226486652347</v>
      </c>
      <c r="G2">
        <f>(C2^2+E2^2)^0.5</f>
        <v>317.86110174099628</v>
      </c>
      <c r="H2" s="6">
        <f>Notes!B2</f>
        <v>1.1586113002889283E-5</v>
      </c>
      <c r="I2">
        <f>Notes!C2</f>
        <v>1.3587355421372964E-8</v>
      </c>
      <c r="J2">
        <v>4.4299999999999999E-2</v>
      </c>
      <c r="K2">
        <v>4.9031000000000002</v>
      </c>
      <c r="L2" s="7">
        <v>110.67945823927766</v>
      </c>
      <c r="M2">
        <v>0.5</v>
      </c>
      <c r="N2">
        <v>50</v>
      </c>
      <c r="O2">
        <v>5.0000000000000002E-5</v>
      </c>
      <c r="P2">
        <v>4</v>
      </c>
      <c r="Q2">
        <v>0</v>
      </c>
      <c r="R2" s="34">
        <v>1.1062148216671805</v>
      </c>
      <c r="S2" s="33">
        <v>4.0046471202795225E-2</v>
      </c>
      <c r="T2" s="7">
        <v>12.485494601209712</v>
      </c>
      <c r="U2">
        <v>1</v>
      </c>
      <c r="V2" s="16">
        <v>143.9136427</v>
      </c>
      <c r="W2">
        <f>6.0221413E+23</f>
        <v>6.0221413000000002E+23</v>
      </c>
      <c r="X2" s="55">
        <v>41964</v>
      </c>
      <c r="Y2" s="55">
        <v>42060</v>
      </c>
      <c r="Z2">
        <f>Y2-X2</f>
        <v>96</v>
      </c>
      <c r="AA2">
        <f>Z2*24*3600</f>
        <v>8294400</v>
      </c>
      <c r="AB2">
        <f>EXP(-AA2*T8)</f>
        <v>0.79170308802226885</v>
      </c>
    </row>
    <row r="3" spans="1:28" x14ac:dyDescent="0.25">
      <c r="A3" t="s">
        <v>3</v>
      </c>
      <c r="B3" s="9">
        <v>57047.58</v>
      </c>
      <c r="C3" s="9">
        <f>B3^0.5</f>
        <v>238.84635228531334</v>
      </c>
      <c r="D3" s="20">
        <v>222543.04</v>
      </c>
      <c r="E3" s="9">
        <f>D3^0.5</f>
        <v>471.74467670552468</v>
      </c>
      <c r="F3" s="9">
        <f>B3-D3*(11.232/71.698)</f>
        <v>22184.635074339596</v>
      </c>
      <c r="G3">
        <f>(C3^2+E3^2)^0.5</f>
        <v>528.76329297711277</v>
      </c>
      <c r="H3">
        <f>Notes!B2</f>
        <v>1.1586113002889283E-5</v>
      </c>
      <c r="I3">
        <f>I2</f>
        <v>1.3587355421372964E-8</v>
      </c>
      <c r="J3">
        <v>2.7699999999999999E-2</v>
      </c>
      <c r="K3">
        <v>4.9138999999999999</v>
      </c>
      <c r="L3" s="7">
        <v>177.39711191335741</v>
      </c>
      <c r="M3">
        <v>0.5</v>
      </c>
      <c r="N3">
        <v>50</v>
      </c>
      <c r="O3">
        <v>5.0000000000000002E-5</v>
      </c>
      <c r="P3">
        <v>4</v>
      </c>
      <c r="Q3">
        <v>0</v>
      </c>
      <c r="R3" s="34">
        <v>1.1062148216671805</v>
      </c>
      <c r="S3" s="33">
        <v>2.5040344296104463E-2</v>
      </c>
      <c r="T3" s="7">
        <v>19.967776564389542</v>
      </c>
      <c r="U3">
        <v>1</v>
      </c>
      <c r="V3" s="16">
        <v>143.9136427</v>
      </c>
      <c r="W3">
        <f>6.0221413E+23</f>
        <v>6.0221413000000002E+23</v>
      </c>
      <c r="X3" s="55">
        <f>X2</f>
        <v>41964</v>
      </c>
      <c r="Y3" s="55">
        <f>Y2</f>
        <v>42060</v>
      </c>
      <c r="Z3">
        <f t="shared" ref="Z3:Z4" si="0">Y3-X3</f>
        <v>96</v>
      </c>
      <c r="AA3">
        <f t="shared" ref="AA3:AA4" si="1">Z3*24*3600</f>
        <v>8294400</v>
      </c>
      <c r="AB3">
        <f t="shared" ref="AB3:AB4" si="2">EXP(-AA3*T9)</f>
        <v>0.79170308802226885</v>
      </c>
    </row>
    <row r="4" spans="1:28" x14ac:dyDescent="0.25">
      <c r="A4" t="s">
        <v>54</v>
      </c>
      <c r="B4" s="9">
        <v>19125.820000000003</v>
      </c>
      <c r="C4" s="9">
        <f>B4^0.5</f>
        <v>138.29613154387221</v>
      </c>
      <c r="D4">
        <v>122212.58</v>
      </c>
      <c r="E4" s="9">
        <f>D4^0.5</f>
        <v>349.5891588708094</v>
      </c>
      <c r="F4" s="9">
        <f>B4</f>
        <v>19125.820000000003</v>
      </c>
      <c r="G4">
        <f>(C4^2+E4^2)^0.5</f>
        <v>375.94999667508978</v>
      </c>
      <c r="H4">
        <f>H3</f>
        <v>1.1586113002889283E-5</v>
      </c>
      <c r="I4">
        <f>I3</f>
        <v>1.3587355421372964E-8</v>
      </c>
      <c r="J4">
        <v>3.9E-2</v>
      </c>
      <c r="K4">
        <v>4.9492000000000003</v>
      </c>
      <c r="L4">
        <v>126.90256410256411</v>
      </c>
      <c r="M4">
        <v>6</v>
      </c>
      <c r="N4">
        <v>50</v>
      </c>
      <c r="O4">
        <v>5.0000000000000002E-5</v>
      </c>
      <c r="P4">
        <v>4</v>
      </c>
      <c r="Q4">
        <v>2.4E-2</v>
      </c>
      <c r="R4">
        <v>1.1105727712762161</v>
      </c>
      <c r="S4">
        <v>3.5117014398960186E-2</v>
      </c>
      <c r="T4">
        <v>170.85734942711017</v>
      </c>
      <c r="U4">
        <v>1</v>
      </c>
      <c r="V4" s="16">
        <v>143.9136427</v>
      </c>
      <c r="W4">
        <f>6.0221413E+23</f>
        <v>6.0221413000000002E+23</v>
      </c>
      <c r="X4" s="55">
        <f>X3</f>
        <v>41964</v>
      </c>
      <c r="Y4" s="55">
        <f>Y3</f>
        <v>42060</v>
      </c>
      <c r="Z4">
        <f t="shared" si="0"/>
        <v>96</v>
      </c>
      <c r="AA4">
        <f t="shared" si="1"/>
        <v>8294400</v>
      </c>
      <c r="AB4">
        <f t="shared" si="2"/>
        <v>0.79170308802226885</v>
      </c>
    </row>
    <row r="5" spans="1:28" x14ac:dyDescent="0.25">
      <c r="B5" s="9"/>
      <c r="C5" s="9"/>
      <c r="D5" s="9"/>
      <c r="E5" s="9"/>
      <c r="F5" s="9"/>
    </row>
    <row r="6" spans="1:28" x14ac:dyDescent="0.25">
      <c r="D6" s="18"/>
    </row>
    <row r="7" spans="1:28" ht="60" x14ac:dyDescent="0.25">
      <c r="B7" s="13" t="s">
        <v>45</v>
      </c>
      <c r="C7" s="15" t="s">
        <v>2</v>
      </c>
      <c r="D7" s="17" t="s">
        <v>21</v>
      </c>
      <c r="E7" s="17" t="s">
        <v>22</v>
      </c>
      <c r="F7" s="3" t="s">
        <v>20</v>
      </c>
      <c r="G7" s="2" t="s">
        <v>1</v>
      </c>
      <c r="H7" s="4" t="s">
        <v>44</v>
      </c>
      <c r="I7" s="2" t="s">
        <v>1</v>
      </c>
      <c r="J7" t="s">
        <v>23</v>
      </c>
      <c r="K7" s="2" t="s">
        <v>1</v>
      </c>
      <c r="L7" s="4" t="s">
        <v>24</v>
      </c>
      <c r="M7" s="2" t="s">
        <v>1</v>
      </c>
      <c r="N7" s="13" t="s">
        <v>25</v>
      </c>
      <c r="O7" s="2" t="s">
        <v>1</v>
      </c>
      <c r="P7" s="13" t="s">
        <v>26</v>
      </c>
      <c r="Q7" s="2" t="s">
        <v>1</v>
      </c>
      <c r="R7" s="4" t="s">
        <v>27</v>
      </c>
      <c r="S7" s="2" t="s">
        <v>1</v>
      </c>
      <c r="T7" s="2" t="s">
        <v>0</v>
      </c>
      <c r="U7" t="s">
        <v>63</v>
      </c>
      <c r="V7" t="s">
        <v>39</v>
      </c>
      <c r="W7" t="s">
        <v>52</v>
      </c>
    </row>
    <row r="8" spans="1:28" x14ac:dyDescent="0.25">
      <c r="A8" t="s">
        <v>4</v>
      </c>
      <c r="B8">
        <f>R2*M2</f>
        <v>0.55310741083359027</v>
      </c>
      <c r="C8" s="16">
        <v>5.1669999999999998</v>
      </c>
      <c r="D8" s="16">
        <f>(5.167/0.5)*(4.5/0.5)</f>
        <v>93.006</v>
      </c>
      <c r="E8" s="16">
        <f>(5.167/0.5)*(5/0.5)</f>
        <v>103.34</v>
      </c>
      <c r="F8" s="9">
        <f>F2*H2</f>
        <v>0.32569984672416841</v>
      </c>
      <c r="G8">
        <f>((F2^2)*(I2^2)+(H2^2)*(G2^2))^0.5</f>
        <v>3.7025289196220214E-3</v>
      </c>
      <c r="H8" s="9">
        <f>F8*L2</f>
        <v>36.048282584046731</v>
      </c>
      <c r="I8" s="9">
        <f>G8*L2</f>
        <v>0.40979389493902335</v>
      </c>
      <c r="J8" s="19">
        <v>0.99558000000000002</v>
      </c>
      <c r="K8">
        <f>J8*0.1</f>
        <v>9.9558000000000008E-2</v>
      </c>
      <c r="L8" s="8">
        <f>H8*J8</f>
        <v>35.888949175025246</v>
      </c>
      <c r="M8" s="7">
        <f>((H8^2)*(K8)^2+(J8^2)*(I8^2))^0.5</f>
        <v>3.6120100409067937</v>
      </c>
      <c r="N8" s="8">
        <f>L8*B8</f>
        <v>19.850443755736528</v>
      </c>
      <c r="O8" s="5">
        <f>M8*B8</f>
        <v>1.9978295216308872</v>
      </c>
      <c r="P8" s="16">
        <f>N8*E8</f>
        <v>2051.3448577178128</v>
      </c>
      <c r="Q8" s="8">
        <f>E8*O8</f>
        <v>206.4557027653359</v>
      </c>
      <c r="R8" s="1">
        <f t="shared" ref="R8:S10" si="3">(P8*6.0221413E+23)/(10^9*136.9070835)</f>
        <v>9023264737215050</v>
      </c>
      <c r="S8">
        <f t="shared" si="3"/>
        <v>908138119999944</v>
      </c>
      <c r="T8" s="71">
        <v>2.8159824256954001E-8</v>
      </c>
      <c r="U8" s="54">
        <v>1.6400000000000001E-2</v>
      </c>
      <c r="V8" s="16">
        <v>1</v>
      </c>
      <c r="W8" s="1">
        <v>37000</v>
      </c>
    </row>
    <row r="9" spans="1:28" x14ac:dyDescent="0.25">
      <c r="A9" t="s">
        <v>3</v>
      </c>
      <c r="B9">
        <f>R3*M3</f>
        <v>0.55310741083359027</v>
      </c>
      <c r="C9" s="16">
        <v>5.1669999999999998</v>
      </c>
      <c r="D9" s="16">
        <f>(5.167/0.5)*(4.5/0.5)</f>
        <v>93.006</v>
      </c>
      <c r="E9" s="16">
        <f>D9</f>
        <v>93.006</v>
      </c>
      <c r="F9" s="9">
        <f>F3*H3</f>
        <v>0.25703368889915967</v>
      </c>
      <c r="G9">
        <f>((F3^2)*(I3^2)+(H3^2)*(G3^2))^0.5</f>
        <v>6.1337223661819323E-3</v>
      </c>
      <c r="H9" s="9">
        <f>F9*L3</f>
        <v>45.59703407514732</v>
      </c>
      <c r="I9" s="9">
        <f>G9*L3</f>
        <v>1.0881046330390396</v>
      </c>
      <c r="J9" s="19">
        <v>0.99558000000000002</v>
      </c>
      <c r="K9">
        <f>J9*0.1</f>
        <v>9.9558000000000008E-2</v>
      </c>
      <c r="L9" s="8">
        <f>H9*J9</f>
        <v>45.395495184535172</v>
      </c>
      <c r="M9" s="7">
        <f>((H9^2)*(K9)^2+(J9^2)*(I9^2))^0.5</f>
        <v>4.6670159999421443</v>
      </c>
      <c r="N9" s="8">
        <f>L9*B9</f>
        <v>25.108584805026965</v>
      </c>
      <c r="O9" s="5">
        <f>M9*B9</f>
        <v>2.5813611360469388</v>
      </c>
      <c r="P9" s="16">
        <f>N9*D9</f>
        <v>2335.2490383763379</v>
      </c>
      <c r="Q9" s="8">
        <f>O9*D9</f>
        <v>240.0820738191816</v>
      </c>
      <c r="R9" s="1">
        <f t="shared" si="3"/>
        <v>1.0272076009705832E+16</v>
      </c>
      <c r="S9">
        <f t="shared" si="3"/>
        <v>1056050669676373.9</v>
      </c>
      <c r="T9" s="71">
        <v>2.8159824256954001E-8</v>
      </c>
      <c r="U9" s="54">
        <v>1.6400000000000001E-2</v>
      </c>
      <c r="V9" s="16">
        <v>1</v>
      </c>
      <c r="W9" s="1">
        <v>37000</v>
      </c>
    </row>
    <row r="10" spans="1:28" x14ac:dyDescent="0.25">
      <c r="A10" t="s">
        <v>54</v>
      </c>
      <c r="B10">
        <f>R4*M4</f>
        <v>6.6634366276572967</v>
      </c>
      <c r="C10" s="16">
        <v>5.1669999999999998</v>
      </c>
      <c r="D10" s="16"/>
      <c r="E10" s="16">
        <f>(5.167/0.5)*(5/0.5)</f>
        <v>103.34</v>
      </c>
      <c r="F10" s="9">
        <f>F4*H4</f>
        <v>0.22159391179291996</v>
      </c>
      <c r="G10">
        <f>((F4^2)*(I4^2)+(H4^2)*(G4^2))^0.5</f>
        <v>4.3635442304646556E-3</v>
      </c>
      <c r="H10" s="9">
        <f>F10*L4-222*0.1123</f>
        <v>3.1902355960389635</v>
      </c>
      <c r="I10" s="9">
        <f>G10*L4</f>
        <v>0.55374495142091473</v>
      </c>
      <c r="J10" s="19">
        <v>0.99558000000000002</v>
      </c>
      <c r="K10">
        <f>J10*0.1</f>
        <v>9.9558000000000008E-2</v>
      </c>
      <c r="L10" s="8">
        <f>H10*J10</f>
        <v>3.1761347547044712</v>
      </c>
      <c r="M10" s="7">
        <f>((H10^2)*(K10)^2+(J10^2)*(I10^2))^0.5</f>
        <v>0.63624456119725947</v>
      </c>
      <c r="N10" s="8">
        <f>L10*B10</f>
        <v>21.163972658873096</v>
      </c>
      <c r="O10" s="5">
        <f>M10*B10</f>
        <v>4.2395753132295635</v>
      </c>
      <c r="P10" s="16">
        <f>N10*E10</f>
        <v>2187.0849345679458</v>
      </c>
      <c r="Q10" s="8">
        <f>O10*E10</f>
        <v>438.11771286914313</v>
      </c>
      <c r="R10" s="1">
        <f t="shared" si="3"/>
        <v>9620345547036232</v>
      </c>
      <c r="S10">
        <f t="shared" si="3"/>
        <v>1927151397488362</v>
      </c>
      <c r="T10" s="71">
        <v>2.8159824256954001E-8</v>
      </c>
      <c r="U10" s="54">
        <v>1.6400000000000001E-2</v>
      </c>
      <c r="V10" s="16">
        <v>1</v>
      </c>
      <c r="W10" s="1">
        <v>37000</v>
      </c>
    </row>
    <row r="11" spans="1:28" x14ac:dyDescent="0.25">
      <c r="C11" s="16"/>
      <c r="D11" s="16"/>
      <c r="E11" s="16"/>
      <c r="F11" s="9"/>
      <c r="H11" s="9"/>
      <c r="I11" s="9"/>
      <c r="J11" s="19"/>
      <c r="L11" s="8"/>
      <c r="M11" s="7"/>
      <c r="N11" s="8"/>
      <c r="O11" s="5"/>
      <c r="P11" s="16"/>
      <c r="Q11" s="8"/>
      <c r="R11" s="1"/>
      <c r="U11" s="5"/>
    </row>
    <row r="12" spans="1:28" x14ac:dyDescent="0.25">
      <c r="C12" s="16"/>
      <c r="D12" s="16"/>
      <c r="E12" s="16"/>
      <c r="F12" s="9"/>
      <c r="H12" s="9"/>
      <c r="I12" s="9"/>
      <c r="J12" s="19"/>
      <c r="L12" s="8"/>
      <c r="M12" s="7"/>
      <c r="N12" s="8"/>
      <c r="O12" s="5"/>
      <c r="P12" s="16"/>
      <c r="Q12" s="8"/>
      <c r="R12" s="1"/>
      <c r="U12" s="5"/>
    </row>
    <row r="13" spans="1:28" ht="15.75" thickBot="1" x14ac:dyDescent="0.3">
      <c r="E13" s="63" t="s">
        <v>61</v>
      </c>
      <c r="F13" s="64"/>
      <c r="G13" s="64"/>
      <c r="H13" s="64"/>
      <c r="I13" s="64"/>
      <c r="J13" s="64"/>
      <c r="L13" s="1"/>
    </row>
    <row r="14" spans="1:28" ht="15" customHeight="1" x14ac:dyDescent="0.25">
      <c r="A14" s="24"/>
      <c r="B14" s="62" t="s">
        <v>50</v>
      </c>
      <c r="C14" s="57"/>
      <c r="D14" s="57"/>
      <c r="E14" s="57"/>
      <c r="F14" s="57"/>
      <c r="G14" s="57"/>
      <c r="H14" s="57"/>
      <c r="I14" s="58"/>
      <c r="J14" s="56" t="s">
        <v>62</v>
      </c>
      <c r="K14" s="57"/>
      <c r="L14" s="57"/>
      <c r="M14" s="57"/>
      <c r="N14" s="57"/>
      <c r="O14" s="57"/>
      <c r="P14" s="57"/>
      <c r="Q14" s="57"/>
      <c r="R14" s="56" t="s">
        <v>51</v>
      </c>
      <c r="S14" s="57"/>
      <c r="T14" s="57"/>
      <c r="U14" s="57"/>
      <c r="V14" s="57"/>
      <c r="W14" s="57"/>
      <c r="X14" s="57"/>
      <c r="Y14" s="58"/>
    </row>
    <row r="15" spans="1:28" x14ac:dyDescent="0.25">
      <c r="A15" s="25"/>
      <c r="B15" s="46" t="s">
        <v>40</v>
      </c>
      <c r="C15" s="47" t="s">
        <v>1</v>
      </c>
      <c r="D15" s="46" t="s">
        <v>46</v>
      </c>
      <c r="E15" s="47" t="s">
        <v>1</v>
      </c>
      <c r="F15" s="46" t="s">
        <v>41</v>
      </c>
      <c r="G15" s="48" t="s">
        <v>1</v>
      </c>
      <c r="H15" s="49" t="s">
        <v>49</v>
      </c>
      <c r="I15" s="47" t="s">
        <v>1</v>
      </c>
      <c r="J15" s="50" t="s">
        <v>40</v>
      </c>
      <c r="K15" s="47" t="s">
        <v>1</v>
      </c>
      <c r="L15" s="51" t="s">
        <v>46</v>
      </c>
      <c r="M15" s="47" t="s">
        <v>1</v>
      </c>
      <c r="N15" s="46" t="s">
        <v>41</v>
      </c>
      <c r="O15" s="48" t="s">
        <v>1</v>
      </c>
      <c r="P15" s="49" t="s">
        <v>42</v>
      </c>
      <c r="Q15" s="47" t="s">
        <v>1</v>
      </c>
      <c r="R15" s="50" t="s">
        <v>40</v>
      </c>
      <c r="S15" s="47" t="s">
        <v>1</v>
      </c>
      <c r="T15" s="51" t="s">
        <v>46</v>
      </c>
      <c r="U15" s="47" t="s">
        <v>1</v>
      </c>
      <c r="V15" s="46" t="s">
        <v>41</v>
      </c>
      <c r="W15" s="48" t="s">
        <v>1</v>
      </c>
      <c r="X15" s="49" t="s">
        <v>42</v>
      </c>
      <c r="Y15" s="52" t="s">
        <v>1</v>
      </c>
    </row>
    <row r="16" spans="1:28" x14ac:dyDescent="0.25">
      <c r="A16" s="25" t="s">
        <v>4</v>
      </c>
      <c r="B16" s="36">
        <f>H8*J8</f>
        <v>35.888949175025246</v>
      </c>
      <c r="C16" s="39">
        <f>I8*J8</f>
        <v>0.40798260592339286</v>
      </c>
      <c r="D16" s="40">
        <f>B16*B8</f>
        <v>19.850443755736528</v>
      </c>
      <c r="E16" s="39">
        <f>C16*B8</f>
        <v>0.22565820282742882</v>
      </c>
      <c r="F16" s="21">
        <f>(D16*10^-9)*(W2/V2)</f>
        <v>83065215306893.266</v>
      </c>
      <c r="G16" s="23">
        <f>(E16*10^-9)*(W2/V2)</f>
        <v>944278497462.30908</v>
      </c>
      <c r="H16" s="39">
        <f>(F16*T8)/(W8)</f>
        <v>63.218969321842152</v>
      </c>
      <c r="I16" s="37">
        <f>(G16*T8)/(W8)</f>
        <v>0.71866801454484353</v>
      </c>
      <c r="J16" s="41">
        <f>B16*(E8/100)</f>
        <v>37.087640077471093</v>
      </c>
      <c r="K16" s="39">
        <f>C16*(E8/100)</f>
        <v>0.42160922496123421</v>
      </c>
      <c r="L16" s="40">
        <f>D16*(E8/100)</f>
        <v>20.513448577178131</v>
      </c>
      <c r="M16" s="42">
        <f>E16*(E8/100)</f>
        <v>0.23319518680186496</v>
      </c>
      <c r="N16" s="21">
        <f>F16*(E8/100)</f>
        <v>85839593498143.516</v>
      </c>
      <c r="O16" s="23">
        <f>G16*(E8/100)</f>
        <v>975817399277.55029</v>
      </c>
      <c r="P16" s="38">
        <f>H16*(E8/100)</f>
        <v>65.330482897191686</v>
      </c>
      <c r="Q16" s="38">
        <f>I16*(E8/100)</f>
        <v>0.74267152623064137</v>
      </c>
      <c r="R16" s="41">
        <f t="shared" ref="R16:S18" si="4">J16</f>
        <v>37.087640077471093</v>
      </c>
      <c r="S16" s="39">
        <f t="shared" si="4"/>
        <v>0.42160922496123421</v>
      </c>
      <c r="T16" s="40">
        <f t="shared" ref="T16:Y18" si="5">L16*100</f>
        <v>2051.3448577178133</v>
      </c>
      <c r="U16" s="42">
        <f t="shared" si="5"/>
        <v>23.319518680186498</v>
      </c>
      <c r="V16" s="43">
        <f t="shared" si="5"/>
        <v>8583959349814352</v>
      </c>
      <c r="W16" s="44">
        <f t="shared" si="5"/>
        <v>97581739927755.031</v>
      </c>
      <c r="X16" s="42">
        <f t="shared" si="5"/>
        <v>6533.0482897191687</v>
      </c>
      <c r="Y16" s="45">
        <f t="shared" si="5"/>
        <v>74.267152623064135</v>
      </c>
    </row>
    <row r="17" spans="1:25" x14ac:dyDescent="0.25">
      <c r="A17" s="25" t="s">
        <v>3</v>
      </c>
      <c r="B17" s="36">
        <f>H9*J9</f>
        <v>45.395495184535172</v>
      </c>
      <c r="C17" s="39">
        <f>I9*J9</f>
        <v>1.083295210561007</v>
      </c>
      <c r="D17" s="40">
        <f>B17*B9</f>
        <v>25.108584805026965</v>
      </c>
      <c r="E17" s="39">
        <f>C17*B9</f>
        <v>0.59917860908182752</v>
      </c>
      <c r="F17" s="21">
        <f>(D17*10^-9)*(W3/V3)</f>
        <v>105068180265654.09</v>
      </c>
      <c r="G17" s="23">
        <f>(E17*10^-9)*(W3/V3)</f>
        <v>2507294082848.0811</v>
      </c>
      <c r="H17" s="39">
        <f>(F17*T9)/(W9)</f>
        <v>79.964905169696806</v>
      </c>
      <c r="I17" s="37">
        <f t="shared" ref="I17:I18" si="6">(G17*T9)/(W9)</f>
        <v>1.9082421819865574</v>
      </c>
      <c r="J17" s="41">
        <f>B17*(E9/100)</f>
        <v>42.220534251328779</v>
      </c>
      <c r="K17" s="39">
        <f>C17*(E9/100)</f>
        <v>1.0075295435343701</v>
      </c>
      <c r="L17" s="40">
        <f>D17*(E9/100)</f>
        <v>23.352490383763378</v>
      </c>
      <c r="M17" s="42">
        <f>E17*(E9/100)</f>
        <v>0.5572720571626445</v>
      </c>
      <c r="N17" s="21">
        <f>F17*(E9/100)</f>
        <v>97719711737874.25</v>
      </c>
      <c r="O17" s="23">
        <f>G17*(E9/100)</f>
        <v>2331933934693.686</v>
      </c>
      <c r="P17" s="38">
        <f>H17*(E9/100)</f>
        <v>74.372159702128215</v>
      </c>
      <c r="Q17" s="38">
        <f>I17*(E9/100)</f>
        <v>1.7747797237784175</v>
      </c>
      <c r="R17" s="41">
        <f t="shared" si="4"/>
        <v>42.220534251328779</v>
      </c>
      <c r="S17" s="39">
        <f t="shared" si="4"/>
        <v>1.0075295435343701</v>
      </c>
      <c r="T17" s="40">
        <f t="shared" si="5"/>
        <v>2335.2490383763379</v>
      </c>
      <c r="U17" s="42">
        <f t="shared" si="5"/>
        <v>55.72720571626445</v>
      </c>
      <c r="V17" s="43">
        <f t="shared" si="5"/>
        <v>9771971173787424</v>
      </c>
      <c r="W17" s="44">
        <f t="shared" si="5"/>
        <v>233193393469368.59</v>
      </c>
      <c r="X17" s="42">
        <f t="shared" si="5"/>
        <v>7437.215970212821</v>
      </c>
      <c r="Y17" s="45">
        <f t="shared" si="5"/>
        <v>177.47797237784175</v>
      </c>
    </row>
    <row r="18" spans="1:25" x14ac:dyDescent="0.25">
      <c r="A18" s="25" t="s">
        <v>54</v>
      </c>
      <c r="B18" s="36">
        <f>H10*J10</f>
        <v>3.1761347547044712</v>
      </c>
      <c r="C18" s="39">
        <f>I10*J10</f>
        <v>0.55129739873563433</v>
      </c>
      <c r="D18" s="40">
        <f>B18*B10</f>
        <v>21.163972658873096</v>
      </c>
      <c r="E18" s="39">
        <f>C18*B10</f>
        <v>3.6735352794672154</v>
      </c>
      <c r="F18" s="21">
        <f>(D18*10^-9)*(W4/V4)</f>
        <v>88561745384178.578</v>
      </c>
      <c r="G18" s="23">
        <f>(E18*10^-9)*(W4/V4)</f>
        <v>15372099620605.715</v>
      </c>
      <c r="H18" s="39">
        <f>(F18*T10)/(W10)</f>
        <v>67.402248267772322</v>
      </c>
      <c r="I18" s="37">
        <f t="shared" si="6"/>
        <v>11.699341183152601</v>
      </c>
      <c r="J18" s="41">
        <f>B18*(E10/100)</f>
        <v>3.2822176555116007</v>
      </c>
      <c r="K18" s="39">
        <f>C18*(E10/100)</f>
        <v>0.56971073185340459</v>
      </c>
      <c r="L18" s="40">
        <f>D18*(E10/100)</f>
        <v>21.87084934567946</v>
      </c>
      <c r="M18" s="42">
        <f>E18*(E10/100)</f>
        <v>3.7962313578014206</v>
      </c>
      <c r="N18" s="21">
        <f>F18*(E10/100)</f>
        <v>91519707680010.156</v>
      </c>
      <c r="O18" s="23">
        <f>G18*(E10/100)</f>
        <v>15885527747933.947</v>
      </c>
      <c r="P18" s="38">
        <f>H18*(E10/100)</f>
        <v>69.653483359915924</v>
      </c>
      <c r="Q18" s="38">
        <f>I18*(E10/100)</f>
        <v>12.090099178669899</v>
      </c>
      <c r="R18" s="41">
        <f t="shared" si="4"/>
        <v>3.2822176555116007</v>
      </c>
      <c r="S18" s="39">
        <f t="shared" si="4"/>
        <v>0.56971073185340459</v>
      </c>
      <c r="T18" s="40">
        <f t="shared" si="5"/>
        <v>2187.0849345679462</v>
      </c>
      <c r="U18" s="42">
        <f t="shared" si="5"/>
        <v>379.62313578014204</v>
      </c>
      <c r="V18" s="43">
        <f t="shared" si="5"/>
        <v>9151970768001016</v>
      </c>
      <c r="W18" s="44">
        <f t="shared" si="5"/>
        <v>1588552774793394.7</v>
      </c>
      <c r="X18" s="42">
        <f t="shared" si="5"/>
        <v>6965.3483359915926</v>
      </c>
      <c r="Y18" s="45">
        <f t="shared" si="5"/>
        <v>1209.0099178669898</v>
      </c>
    </row>
    <row r="19" spans="1:25" x14ac:dyDescent="0.25">
      <c r="A19" s="25"/>
      <c r="B19" s="32"/>
      <c r="C19" s="22"/>
      <c r="D19" s="21"/>
      <c r="E19" s="22"/>
      <c r="F19" s="21"/>
      <c r="G19" s="23"/>
      <c r="H19" s="22"/>
      <c r="I19" s="22"/>
      <c r="J19" s="25"/>
      <c r="K19" s="22"/>
      <c r="L19" s="21"/>
      <c r="M19" s="22"/>
      <c r="N19" s="21"/>
      <c r="O19" s="23"/>
      <c r="P19" s="22"/>
      <c r="Q19" s="22"/>
      <c r="R19" s="25"/>
      <c r="S19" s="22"/>
      <c r="T19" s="21"/>
      <c r="U19" s="22"/>
      <c r="V19" s="21"/>
      <c r="W19" s="23"/>
      <c r="X19" s="22"/>
      <c r="Y19" s="26"/>
    </row>
    <row r="20" spans="1:25" ht="15.75" thickBot="1" x14ac:dyDescent="0.3">
      <c r="A20" s="27"/>
      <c r="B20" s="29"/>
      <c r="C20" s="28"/>
      <c r="D20" s="29"/>
      <c r="E20" s="28"/>
      <c r="F20" s="29"/>
      <c r="G20" s="30"/>
      <c r="H20" s="28"/>
      <c r="I20" s="28"/>
      <c r="J20" s="27"/>
      <c r="K20" s="28"/>
      <c r="L20" s="29"/>
      <c r="M20" s="28"/>
      <c r="N20" s="29"/>
      <c r="O20" s="30"/>
      <c r="P20" s="28"/>
      <c r="Q20" s="28"/>
      <c r="R20" s="27"/>
      <c r="S20" s="28"/>
      <c r="T20" s="29"/>
      <c r="U20" s="28"/>
      <c r="V20" s="29"/>
      <c r="W20" s="30"/>
      <c r="X20" s="28"/>
      <c r="Y20" s="31"/>
    </row>
    <row r="21" spans="1:25" ht="15" customHeight="1" x14ac:dyDescent="0.25">
      <c r="A21" s="35"/>
      <c r="B21" s="62" t="s">
        <v>53</v>
      </c>
      <c r="C21" s="57"/>
      <c r="D21" s="57"/>
      <c r="E21" s="57"/>
      <c r="F21" s="57"/>
      <c r="G21" s="57"/>
      <c r="H21" s="57"/>
      <c r="I21" s="58"/>
      <c r="J21" s="59" t="s">
        <v>43</v>
      </c>
      <c r="K21" s="60"/>
      <c r="L21" s="60"/>
      <c r="M21" s="60"/>
      <c r="N21" s="60"/>
      <c r="O21" s="60"/>
      <c r="P21" s="60"/>
      <c r="Q21" s="61"/>
    </row>
    <row r="22" spans="1:25" x14ac:dyDescent="0.25">
      <c r="B22" s="46" t="s">
        <v>40</v>
      </c>
      <c r="C22" s="47" t="s">
        <v>1</v>
      </c>
      <c r="D22" s="46" t="s">
        <v>46</v>
      </c>
      <c r="E22" s="47" t="s">
        <v>1</v>
      </c>
      <c r="F22" s="46" t="s">
        <v>41</v>
      </c>
      <c r="G22" s="48" t="s">
        <v>1</v>
      </c>
      <c r="H22" s="49" t="s">
        <v>42</v>
      </c>
      <c r="I22" s="47" t="s">
        <v>1</v>
      </c>
      <c r="J22" s="50" t="s">
        <v>40</v>
      </c>
      <c r="K22" s="47" t="s">
        <v>1</v>
      </c>
      <c r="L22" s="46" t="s">
        <v>46</v>
      </c>
      <c r="M22" s="47" t="s">
        <v>1</v>
      </c>
      <c r="N22" s="46" t="s">
        <v>41</v>
      </c>
      <c r="O22" s="48" t="s">
        <v>1</v>
      </c>
      <c r="P22" s="49" t="s">
        <v>42</v>
      </c>
      <c r="Q22" s="52" t="s">
        <v>1</v>
      </c>
    </row>
    <row r="23" spans="1:25" x14ac:dyDescent="0.25">
      <c r="A23" s="23" t="s">
        <v>4</v>
      </c>
      <c r="B23" s="39">
        <f>J16*U2</f>
        <v>37.087640077471093</v>
      </c>
      <c r="C23" s="39">
        <f>K16*U2</f>
        <v>0.42160922496123421</v>
      </c>
      <c r="D23" s="36">
        <f>L16*U2</f>
        <v>20.513448577178131</v>
      </c>
      <c r="E23" s="39">
        <f>M16*U2</f>
        <v>0.23319518680186496</v>
      </c>
      <c r="F23" s="21">
        <f>N16*U2</f>
        <v>85839593498143.516</v>
      </c>
      <c r="G23" s="23">
        <f>O16*U2</f>
        <v>975817399277.55029</v>
      </c>
      <c r="H23" s="38">
        <f>P16*U2</f>
        <v>65.330482897191686</v>
      </c>
      <c r="I23" s="38">
        <f>Q16*U2</f>
        <v>0.74267152623064137</v>
      </c>
      <c r="J23" s="41">
        <f>R16*U2</f>
        <v>37.087640077471093</v>
      </c>
      <c r="K23" s="42">
        <f>S16*U2</f>
        <v>0.42160922496123421</v>
      </c>
      <c r="L23" s="40">
        <f>T16*U2</f>
        <v>2051.3448577178133</v>
      </c>
      <c r="M23" s="42">
        <f>U16*U2</f>
        <v>23.319518680186498</v>
      </c>
      <c r="N23" s="43">
        <f>V16*U2</f>
        <v>8583959349814352</v>
      </c>
      <c r="O23" s="53">
        <f>W16*U2</f>
        <v>97581739927755.031</v>
      </c>
      <c r="P23" s="42">
        <f>X16*U2</f>
        <v>6533.0482897191687</v>
      </c>
      <c r="Q23" s="45">
        <f>Y16*U2</f>
        <v>74.267152623064135</v>
      </c>
    </row>
    <row r="24" spans="1:25" x14ac:dyDescent="0.25">
      <c r="A24" s="23" t="s">
        <v>3</v>
      </c>
      <c r="B24" s="39">
        <f>J17*U3</f>
        <v>42.220534251328779</v>
      </c>
      <c r="C24" s="39">
        <f>K17*U3</f>
        <v>1.0075295435343701</v>
      </c>
      <c r="D24" s="36">
        <f>L17*U3</f>
        <v>23.352490383763378</v>
      </c>
      <c r="E24" s="39">
        <f>M17*U3</f>
        <v>0.5572720571626445</v>
      </c>
      <c r="F24" s="21">
        <f>N17*U3</f>
        <v>97719711737874.25</v>
      </c>
      <c r="G24" s="23">
        <f>O17*U3</f>
        <v>2331933934693.686</v>
      </c>
      <c r="H24" s="38">
        <f>P17*U3</f>
        <v>74.372159702128215</v>
      </c>
      <c r="I24" s="38">
        <f>Q17*U3</f>
        <v>1.7747797237784175</v>
      </c>
      <c r="J24" s="41">
        <f>R17*U3</f>
        <v>42.220534251328779</v>
      </c>
      <c r="K24" s="42">
        <f>S17*U3</f>
        <v>1.0075295435343701</v>
      </c>
      <c r="L24" s="40">
        <f>T17*U3</f>
        <v>2335.2490383763379</v>
      </c>
      <c r="M24" s="42">
        <f>U17*U3</f>
        <v>55.72720571626445</v>
      </c>
      <c r="N24" s="43">
        <f>V17*U3</f>
        <v>9771971173787424</v>
      </c>
      <c r="O24" s="53">
        <f>W17*U3</f>
        <v>233193393469368.59</v>
      </c>
      <c r="P24" s="42">
        <f>X17*U3</f>
        <v>7437.215970212821</v>
      </c>
      <c r="Q24" s="45">
        <f>Y17*U3</f>
        <v>177.47797237784175</v>
      </c>
    </row>
    <row r="25" spans="1:25" x14ac:dyDescent="0.25">
      <c r="A25" s="23" t="s">
        <v>54</v>
      </c>
      <c r="B25" s="39">
        <f>J18*U4</f>
        <v>3.2822176555116007</v>
      </c>
      <c r="C25" s="39">
        <f>K18*U4</f>
        <v>0.56971073185340459</v>
      </c>
      <c r="D25" s="36">
        <f>L18*U4</f>
        <v>21.87084934567946</v>
      </c>
      <c r="E25" s="39">
        <f>M18*U4</f>
        <v>3.7962313578014206</v>
      </c>
      <c r="F25" s="21">
        <f>N18*U4</f>
        <v>91519707680010.156</v>
      </c>
      <c r="G25" s="23">
        <f>O18*U4</f>
        <v>15885527747933.947</v>
      </c>
      <c r="H25" s="38">
        <f>P18*U4</f>
        <v>69.653483359915924</v>
      </c>
      <c r="I25" s="38">
        <f>Q18*U4</f>
        <v>12.090099178669899</v>
      </c>
      <c r="J25" s="41">
        <f>R18*U4</f>
        <v>3.2822176555116007</v>
      </c>
      <c r="K25" s="42">
        <f>S18*U4</f>
        <v>0.56971073185340459</v>
      </c>
      <c r="L25" s="40">
        <f>T18*U4</f>
        <v>2187.0849345679462</v>
      </c>
      <c r="M25" s="42">
        <f>U18*U4</f>
        <v>379.62313578014204</v>
      </c>
      <c r="N25" s="43">
        <f>V18*U4</f>
        <v>9151970768001016</v>
      </c>
      <c r="O25" s="53">
        <f>W18*U4</f>
        <v>1588552774793394.7</v>
      </c>
      <c r="P25" s="42">
        <f>X18*U4</f>
        <v>6965.3483359915926</v>
      </c>
      <c r="Q25" s="45">
        <f>Y18*U4</f>
        <v>1209.0099178669898</v>
      </c>
    </row>
    <row r="26" spans="1:25" ht="15.75" thickBot="1" x14ac:dyDescent="0.3">
      <c r="A26" s="30"/>
      <c r="B26" s="28"/>
      <c r="C26" s="28"/>
      <c r="D26" s="29"/>
      <c r="E26" s="28"/>
      <c r="F26" s="29"/>
      <c r="G26" s="30"/>
      <c r="H26" s="28"/>
      <c r="I26" s="28"/>
      <c r="J26" s="27"/>
      <c r="K26" s="28"/>
      <c r="L26" s="29"/>
      <c r="M26" s="28"/>
      <c r="N26" s="29"/>
      <c r="O26" s="30"/>
      <c r="P26" s="28"/>
      <c r="Q26" s="31"/>
    </row>
    <row r="30" spans="1:25" x14ac:dyDescent="0.25">
      <c r="A30" s="65"/>
      <c r="B30" s="65"/>
      <c r="C30" s="65"/>
      <c r="D30" s="65"/>
      <c r="E30" s="65"/>
    </row>
    <row r="31" spans="1:25" x14ac:dyDescent="0.25">
      <c r="A31" s="65"/>
      <c r="B31" s="65"/>
      <c r="C31" s="65"/>
      <c r="D31" s="65"/>
      <c r="E31" s="65"/>
    </row>
    <row r="32" spans="1:25" x14ac:dyDescent="0.25">
      <c r="A32" s="65"/>
      <c r="B32" s="65"/>
      <c r="C32" s="65"/>
      <c r="D32" s="65"/>
      <c r="E32" s="65"/>
      <c r="K32" s="18"/>
    </row>
    <row r="33" spans="1:11" x14ac:dyDescent="0.25">
      <c r="A33" s="4"/>
      <c r="K33" s="18"/>
    </row>
    <row r="34" spans="1:11" x14ac:dyDescent="0.25">
      <c r="A34" s="4"/>
      <c r="B34" s="9"/>
      <c r="C34" s="9"/>
    </row>
    <row r="36" spans="1:11" x14ac:dyDescent="0.25">
      <c r="A36" s="1"/>
      <c r="B36" s="9"/>
      <c r="C36" s="9"/>
    </row>
    <row r="37" spans="1:11" x14ac:dyDescent="0.25">
      <c r="B37" s="14"/>
      <c r="C37" s="14"/>
    </row>
    <row r="39" spans="1:11" x14ac:dyDescent="0.25">
      <c r="B39" s="9"/>
    </row>
    <row r="43" spans="1:11" x14ac:dyDescent="0.25">
      <c r="B43" s="18"/>
      <c r="C43" s="18"/>
    </row>
    <row r="45" spans="1:11" x14ac:dyDescent="0.25">
      <c r="B45" s="9"/>
      <c r="C45" s="9"/>
    </row>
    <row r="46" spans="1:11" x14ac:dyDescent="0.25">
      <c r="A46" s="4"/>
      <c r="B46" s="9"/>
      <c r="C46" s="9"/>
    </row>
    <row r="47" spans="1:11" x14ac:dyDescent="0.25">
      <c r="A47" s="13"/>
      <c r="B47" s="9"/>
      <c r="C47" s="9"/>
    </row>
    <row r="48" spans="1:11" x14ac:dyDescent="0.25">
      <c r="A48" s="13"/>
      <c r="B48" s="9"/>
      <c r="C48" s="9"/>
    </row>
    <row r="51" spans="1:3" x14ac:dyDescent="0.25">
      <c r="A51" s="13"/>
      <c r="B51" s="9"/>
      <c r="C51" s="9"/>
    </row>
    <row r="52" spans="1:3" x14ac:dyDescent="0.25">
      <c r="A52" s="13"/>
      <c r="B52" s="9"/>
      <c r="C52" s="9"/>
    </row>
    <row r="54" spans="1:3" x14ac:dyDescent="0.25">
      <c r="A54" s="4"/>
    </row>
    <row r="55" spans="1:3" x14ac:dyDescent="0.25">
      <c r="A55" s="4"/>
    </row>
  </sheetData>
  <mergeCells count="9">
    <mergeCell ref="E13:J13"/>
    <mergeCell ref="A31:E31"/>
    <mergeCell ref="A32:E32"/>
    <mergeCell ref="A30:E30"/>
    <mergeCell ref="J14:Q14"/>
    <mergeCell ref="R14:Y14"/>
    <mergeCell ref="J21:Q21"/>
    <mergeCell ref="B14:I14"/>
    <mergeCell ref="B21:I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selection activeCell="C1" sqref="C1"/>
    </sheetView>
  </sheetViews>
  <sheetFormatPr defaultRowHeight="15" x14ac:dyDescent="0.25"/>
  <cols>
    <col min="1" max="1" width="11.7109375" customWidth="1"/>
    <col min="2" max="2" width="9" bestFit="1" customWidth="1"/>
    <col min="3" max="4" width="12" bestFit="1" customWidth="1"/>
    <col min="5" max="5" width="12" customWidth="1"/>
    <col min="6" max="6" width="13" customWidth="1"/>
    <col min="7" max="7" width="14.28515625" customWidth="1"/>
    <col min="9" max="9" width="10" bestFit="1" customWidth="1"/>
  </cols>
  <sheetData>
    <row r="1" spans="1:18" ht="45.75" customHeight="1" x14ac:dyDescent="0.25">
      <c r="B1" s="4" t="s">
        <v>73</v>
      </c>
      <c r="C1" s="2" t="s">
        <v>1</v>
      </c>
    </row>
    <row r="2" spans="1:18" ht="30" x14ac:dyDescent="0.25">
      <c r="A2" s="4" t="s">
        <v>65</v>
      </c>
      <c r="B2">
        <v>1.1586113002889283E-5</v>
      </c>
      <c r="C2">
        <f>E22</f>
        <v>1.3587355421372964E-8</v>
      </c>
      <c r="H2" s="69" t="s">
        <v>28</v>
      </c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 x14ac:dyDescent="0.25">
      <c r="B3" s="4"/>
      <c r="C3" s="4"/>
      <c r="H3" s="69" t="s">
        <v>29</v>
      </c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x14ac:dyDescent="0.25">
      <c r="H4" s="69" t="s">
        <v>30</v>
      </c>
      <c r="I4" s="69"/>
      <c r="J4" s="69"/>
      <c r="K4" s="69"/>
      <c r="L4" s="69"/>
      <c r="M4" s="69"/>
      <c r="N4" s="69"/>
      <c r="O4" s="69"/>
      <c r="P4" s="69"/>
      <c r="Q4" s="69"/>
      <c r="R4" s="69"/>
    </row>
    <row r="5" spans="1:18" x14ac:dyDescent="0.25">
      <c r="H5" s="69" t="s">
        <v>31</v>
      </c>
      <c r="I5" s="69"/>
      <c r="J5" s="69"/>
      <c r="K5" s="69"/>
      <c r="L5" s="69"/>
      <c r="M5" s="69"/>
      <c r="N5" s="69"/>
      <c r="O5" s="69"/>
      <c r="P5" s="69"/>
      <c r="Q5" s="69"/>
      <c r="R5" s="69"/>
    </row>
    <row r="6" spans="1:18" x14ac:dyDescent="0.25">
      <c r="A6" s="65" t="s">
        <v>34</v>
      </c>
      <c r="B6" s="65"/>
      <c r="C6" s="65"/>
      <c r="D6" s="65"/>
      <c r="E6" s="65"/>
      <c r="H6" s="70" t="s">
        <v>32</v>
      </c>
      <c r="I6" s="70"/>
      <c r="J6" s="70"/>
      <c r="K6" s="70"/>
      <c r="L6" s="70"/>
      <c r="M6" s="70"/>
      <c r="N6" s="70"/>
      <c r="O6" s="70"/>
      <c r="P6" s="70"/>
      <c r="Q6" s="70"/>
      <c r="R6" s="70"/>
    </row>
    <row r="7" spans="1:18" x14ac:dyDescent="0.25">
      <c r="A7" s="66" t="s">
        <v>35</v>
      </c>
      <c r="B7" s="66"/>
      <c r="C7" s="66"/>
      <c r="D7" s="66"/>
      <c r="E7" s="66"/>
      <c r="H7" s="68" t="s">
        <v>33</v>
      </c>
      <c r="I7" s="68"/>
      <c r="J7" s="68"/>
      <c r="K7" s="68"/>
      <c r="L7" s="68"/>
      <c r="M7" s="68"/>
      <c r="N7" s="68"/>
      <c r="O7" s="68"/>
      <c r="P7" s="68"/>
      <c r="Q7" s="68"/>
      <c r="R7" s="68"/>
    </row>
    <row r="8" spans="1:18" x14ac:dyDescent="0.25">
      <c r="A8" s="67" t="s">
        <v>36</v>
      </c>
      <c r="B8" s="67"/>
      <c r="C8" s="67"/>
      <c r="D8" s="67"/>
      <c r="E8" s="67"/>
      <c r="H8" s="65" t="s">
        <v>38</v>
      </c>
      <c r="I8" s="65"/>
      <c r="J8" s="65"/>
      <c r="K8" s="65"/>
      <c r="L8" s="65"/>
      <c r="M8" s="65"/>
      <c r="N8" s="65"/>
      <c r="O8" s="65"/>
      <c r="P8" s="65"/>
      <c r="Q8" s="65"/>
      <c r="R8" s="65"/>
    </row>
    <row r="9" spans="1:18" x14ac:dyDescent="0.25">
      <c r="A9" s="65"/>
      <c r="B9" s="65"/>
      <c r="C9" s="65"/>
      <c r="D9" s="65"/>
      <c r="E9" s="65"/>
    </row>
    <row r="10" spans="1:18" x14ac:dyDescent="0.25">
      <c r="A10" s="65" t="s">
        <v>37</v>
      </c>
      <c r="B10" s="65"/>
      <c r="C10" s="65"/>
      <c r="D10" s="65"/>
      <c r="E10" s="65"/>
      <c r="H10" s="72" t="s">
        <v>64</v>
      </c>
      <c r="I10" s="72"/>
      <c r="J10" s="72"/>
      <c r="K10" s="72"/>
      <c r="L10" s="72"/>
      <c r="M10" s="72"/>
      <c r="N10" s="72"/>
      <c r="O10" s="72"/>
      <c r="P10" s="72"/>
      <c r="Q10" s="72"/>
    </row>
    <row r="15" spans="1:18" x14ac:dyDescent="0.25">
      <c r="C15" t="s">
        <v>70</v>
      </c>
    </row>
    <row r="16" spans="1:18" x14ac:dyDescent="0.25">
      <c r="A16" t="s">
        <v>55</v>
      </c>
      <c r="B16" t="s">
        <v>68</v>
      </c>
      <c r="C16" t="s">
        <v>69</v>
      </c>
    </row>
    <row r="17" spans="1:8" ht="45" x14ac:dyDescent="0.25">
      <c r="A17" t="s">
        <v>67</v>
      </c>
      <c r="B17">
        <v>140</v>
      </c>
      <c r="C17">
        <v>142</v>
      </c>
      <c r="D17" s="4" t="s">
        <v>71</v>
      </c>
      <c r="E17" s="4" t="s">
        <v>72</v>
      </c>
    </row>
    <row r="18" spans="1:8" x14ac:dyDescent="0.25">
      <c r="A18" t="s">
        <v>66</v>
      </c>
      <c r="B18">
        <v>760603.04</v>
      </c>
      <c r="C18" s="16">
        <v>347353.12</v>
      </c>
      <c r="D18">
        <f>(10.19*0.8845)/B18</f>
        <v>1.184988032653669E-5</v>
      </c>
      <c r="E18">
        <f>((0.272+0.11114)*10.19)/C18</f>
        <v>1.1239848946800882E-5</v>
      </c>
    </row>
    <row r="19" spans="1:8" x14ac:dyDescent="0.25">
      <c r="B19">
        <v>796041.32</v>
      </c>
      <c r="C19">
        <v>364951.92000000004</v>
      </c>
      <c r="D19">
        <f>(10.19*0.8845)/B19</f>
        <v>1.1322345679241876E-5</v>
      </c>
      <c r="E19">
        <f>((0.272+0.11114)*10.19)/C19</f>
        <v>1.0697838224826985E-5</v>
      </c>
    </row>
    <row r="22" spans="1:8" x14ac:dyDescent="0.25">
      <c r="D22">
        <f>AVERAGE(D18:D19)</f>
        <v>1.1586113002889283E-5</v>
      </c>
      <c r="E22">
        <f>((10.19*0.8845)*B18^0.5)/(B18^2)</f>
        <v>1.3587355421372964E-8</v>
      </c>
    </row>
    <row r="27" spans="1:8" x14ac:dyDescent="0.25">
      <c r="E27" s="9"/>
      <c r="G27" s="9"/>
    </row>
    <row r="28" spans="1:8" x14ac:dyDescent="0.25">
      <c r="E28" s="9"/>
      <c r="G28" s="9"/>
      <c r="H28" s="9"/>
    </row>
  </sheetData>
  <mergeCells count="13">
    <mergeCell ref="H8:R8"/>
    <mergeCell ref="H10:Q10"/>
    <mergeCell ref="H7:R7"/>
    <mergeCell ref="H2:R2"/>
    <mergeCell ref="H3:R3"/>
    <mergeCell ref="H4:R4"/>
    <mergeCell ref="H5:R5"/>
    <mergeCell ref="H6:R6"/>
    <mergeCell ref="A6:E6"/>
    <mergeCell ref="A7:E7"/>
    <mergeCell ref="A8:E8"/>
    <mergeCell ref="A9:E9"/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 144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2014-08-06T18:07:44Z</cp:lastPrinted>
  <dcterms:created xsi:type="dcterms:W3CDTF">2014-07-30T17:02:26Z</dcterms:created>
  <dcterms:modified xsi:type="dcterms:W3CDTF">2015-05-11T17:49:15Z</dcterms:modified>
</cp:coreProperties>
</file>