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endoza\Google Drive\School\Classes_Current\NUEN 689 - Research\Masters Experiment &amp; Research\Results_Cal\Isotopes_Mass_Spec\"/>
    </mc:Choice>
  </mc:AlternateContent>
  <bookViews>
    <workbookView xWindow="0" yWindow="0" windowWidth="19200" windowHeight="11595"/>
  </bookViews>
  <sheets>
    <sheet name="Cs 137" sheetId="3" r:id="rId1"/>
    <sheet name="Notes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3" l="1"/>
  <c r="Y3" i="3"/>
  <c r="X4" i="3"/>
  <c r="X3" i="3"/>
  <c r="H16" i="3" l="1"/>
  <c r="AB2" i="3"/>
  <c r="B23" i="3" l="1"/>
  <c r="I17" i="3"/>
  <c r="I18" i="3"/>
  <c r="I16" i="3"/>
  <c r="F16" i="3"/>
  <c r="B16" i="3"/>
  <c r="J16" i="3"/>
  <c r="AA2" i="3" l="1"/>
  <c r="Z3" i="3"/>
  <c r="AA3" i="3" s="1"/>
  <c r="AB3" i="3" s="1"/>
  <c r="Z4" i="3"/>
  <c r="AA4" i="3" s="1"/>
  <c r="AB4" i="3" s="1"/>
  <c r="Z2" i="3"/>
  <c r="H27" i="4" l="1"/>
  <c r="G26" i="4"/>
  <c r="G27" i="4"/>
  <c r="I22" i="4"/>
  <c r="I20" i="4"/>
  <c r="G20" i="4" l="1"/>
  <c r="G18" i="4"/>
  <c r="G17" i="4"/>
  <c r="F18" i="4"/>
  <c r="F17" i="4"/>
  <c r="F3" i="3" l="1"/>
  <c r="F4" i="3"/>
  <c r="K10" i="3"/>
  <c r="T10" i="3"/>
  <c r="E10" i="3"/>
  <c r="E8" i="3"/>
  <c r="B10" i="3"/>
  <c r="B9" i="3"/>
  <c r="W4" i="3"/>
  <c r="I4" i="3" l="1"/>
  <c r="G10" i="3" s="1"/>
  <c r="I10" i="3" s="1"/>
  <c r="C18" i="3" s="1"/>
  <c r="G4" i="3"/>
  <c r="H4" i="3"/>
  <c r="F10" i="3" s="1"/>
  <c r="H10" i="3" s="1"/>
  <c r="E4" i="3"/>
  <c r="C4" i="3"/>
  <c r="B18" i="3" l="1"/>
  <c r="M10" i="3"/>
  <c r="O10" i="3" s="1"/>
  <c r="Q10" i="3" s="1"/>
  <c r="S10" i="3" s="1"/>
  <c r="L10" i="3"/>
  <c r="N10" i="3" s="1"/>
  <c r="P10" i="3" s="1"/>
  <c r="R10" i="3" s="1"/>
  <c r="E18" i="3"/>
  <c r="K18" i="3"/>
  <c r="G18" i="3" l="1"/>
  <c r="M18" i="3"/>
  <c r="C25" i="3"/>
  <c r="S18" i="3"/>
  <c r="K25" i="3" s="1"/>
  <c r="D18" i="3"/>
  <c r="J18" i="3"/>
  <c r="B25" i="3" l="1"/>
  <c r="R18" i="3"/>
  <c r="J25" i="3" s="1"/>
  <c r="E25" i="3"/>
  <c r="U18" i="3"/>
  <c r="M25" i="3" s="1"/>
  <c r="F18" i="3"/>
  <c r="L18" i="3"/>
  <c r="Q18" i="3"/>
  <c r="O18" i="3"/>
  <c r="G25" i="3" l="1"/>
  <c r="W18" i="3"/>
  <c r="O25" i="3" s="1"/>
  <c r="D25" i="3"/>
  <c r="T18" i="3"/>
  <c r="L25" i="3" s="1"/>
  <c r="I25" i="3"/>
  <c r="Y18" i="3"/>
  <c r="Q25" i="3" s="1"/>
  <c r="H18" i="3"/>
  <c r="P18" i="3" s="1"/>
  <c r="N18" i="3"/>
  <c r="W3" i="3"/>
  <c r="W2" i="3"/>
  <c r="F25" i="3" l="1"/>
  <c r="V18" i="3"/>
  <c r="N25" i="3" s="1"/>
  <c r="H25" i="3"/>
  <c r="X18" i="3"/>
  <c r="P25" i="3" s="1"/>
  <c r="B8" i="3"/>
  <c r="C3" i="4"/>
  <c r="C2" i="4"/>
  <c r="C1" i="4"/>
  <c r="B1" i="4"/>
  <c r="T9" i="3" l="1"/>
  <c r="T8" i="3"/>
  <c r="K9" i="3" l="1"/>
  <c r="K8" i="3"/>
  <c r="C3" i="3"/>
  <c r="C2" i="3"/>
  <c r="E3" i="3"/>
  <c r="E2" i="3"/>
  <c r="D9" i="3" l="1"/>
  <c r="E9" i="3" s="1"/>
  <c r="D8" i="3" l="1"/>
  <c r="F2" i="3" l="1"/>
  <c r="G3" i="3"/>
  <c r="G2" i="3"/>
  <c r="H3" i="3" l="1"/>
  <c r="H2" i="3"/>
  <c r="F8" i="3" s="1"/>
  <c r="H8" i="3" s="1"/>
  <c r="F9" i="3" l="1"/>
  <c r="H9" i="3" s="1"/>
  <c r="D16" i="3"/>
  <c r="L8" i="3"/>
  <c r="N8" i="3" s="1"/>
  <c r="I2" i="3"/>
  <c r="I3" i="3"/>
  <c r="B17" i="3" l="1"/>
  <c r="L9" i="3"/>
  <c r="N9" i="3" s="1"/>
  <c r="P9" i="3" s="1"/>
  <c r="R9" i="3" s="1"/>
  <c r="R16" i="3"/>
  <c r="J23" i="3" s="1"/>
  <c r="L16" i="3"/>
  <c r="G9" i="3"/>
  <c r="I9" i="3" s="1"/>
  <c r="C17" i="3" s="1"/>
  <c r="P8" i="3"/>
  <c r="R8" i="3" s="1"/>
  <c r="G8" i="3"/>
  <c r="D17" i="3" l="1"/>
  <c r="J17" i="3"/>
  <c r="T16" i="3"/>
  <c r="L23" i="3" s="1"/>
  <c r="D23" i="3"/>
  <c r="E17" i="3"/>
  <c r="K17" i="3"/>
  <c r="P16" i="3"/>
  <c r="N16" i="3"/>
  <c r="M9" i="3"/>
  <c r="O9" i="3" s="1"/>
  <c r="Q9" i="3" s="1"/>
  <c r="S9" i="3" s="1"/>
  <c r="I8" i="3"/>
  <c r="C16" i="3" s="1"/>
  <c r="R17" i="3" l="1"/>
  <c r="J24" i="3" s="1"/>
  <c r="B24" i="3"/>
  <c r="F17" i="3"/>
  <c r="L17" i="3"/>
  <c r="E16" i="3"/>
  <c r="K16" i="3"/>
  <c r="V16" i="3"/>
  <c r="N23" i="3" s="1"/>
  <c r="F23" i="3"/>
  <c r="S17" i="3"/>
  <c r="K24" i="3" s="1"/>
  <c r="C24" i="3"/>
  <c r="X16" i="3"/>
  <c r="P23" i="3" s="1"/>
  <c r="H23" i="3"/>
  <c r="G17" i="3"/>
  <c r="M17" i="3"/>
  <c r="M8" i="3"/>
  <c r="O8" i="3" s="1"/>
  <c r="Q8" i="3" s="1"/>
  <c r="S8" i="3" s="1"/>
  <c r="T17" i="3" l="1"/>
  <c r="L24" i="3" s="1"/>
  <c r="D24" i="3"/>
  <c r="H17" i="3"/>
  <c r="P17" i="3" s="1"/>
  <c r="N17" i="3"/>
  <c r="U17" i="3"/>
  <c r="M24" i="3" s="1"/>
  <c r="E24" i="3"/>
  <c r="S16" i="3"/>
  <c r="K23" i="3" s="1"/>
  <c r="C23" i="3"/>
  <c r="Q17" i="3"/>
  <c r="O17" i="3"/>
  <c r="G16" i="3"/>
  <c r="M16" i="3"/>
  <c r="V17" i="3" l="1"/>
  <c r="N24" i="3" s="1"/>
  <c r="F24" i="3"/>
  <c r="X17" i="3"/>
  <c r="P24" i="3" s="1"/>
  <c r="H24" i="3"/>
  <c r="U16" i="3"/>
  <c r="M23" i="3" s="1"/>
  <c r="E23" i="3"/>
  <c r="W17" i="3"/>
  <c r="O24" i="3" s="1"/>
  <c r="G24" i="3"/>
  <c r="Q16" i="3"/>
  <c r="O16" i="3"/>
  <c r="Y17" i="3"/>
  <c r="Q24" i="3" s="1"/>
  <c r="I24" i="3"/>
  <c r="W16" i="3" l="1"/>
  <c r="O23" i="3" s="1"/>
  <c r="G23" i="3"/>
  <c r="Y16" i="3"/>
  <c r="Q23" i="3" s="1"/>
  <c r="I23" i="3"/>
</calcChain>
</file>

<file path=xl/sharedStrings.xml><?xml version="1.0" encoding="utf-8"?>
<sst xmlns="http://schemas.openxmlformats.org/spreadsheetml/2006/main" count="132" uniqueCount="76">
  <si>
    <t>λ (s)</t>
  </si>
  <si>
    <t>Yield %</t>
  </si>
  <si>
    <t>±</t>
  </si>
  <si>
    <t>Volume Correction (ml)</t>
  </si>
  <si>
    <t>24G</t>
  </si>
  <si>
    <t>30G</t>
  </si>
  <si>
    <t>Vial</t>
  </si>
  <si>
    <t>Cs 137 cps</t>
  </si>
  <si>
    <t>ppb/cps Estimate</t>
  </si>
  <si>
    <t>Custom (8.515972 ppb Ba, 1.058417 ppb Cs) (average)</t>
  </si>
  <si>
    <t>Total aliquot (g)</t>
  </si>
  <si>
    <t>Total dilution mass (g)</t>
  </si>
  <si>
    <t>DF initial</t>
  </si>
  <si>
    <t>volume total of tube (ml)</t>
  </si>
  <si>
    <t>Volume Sent (µL)</t>
  </si>
  <si>
    <t>Volume sent (L)</t>
  </si>
  <si>
    <t>Nitric Acid</t>
  </si>
  <si>
    <t>Iron Sulfamate</t>
  </si>
  <si>
    <t>density estimate (g/cc)</t>
  </si>
  <si>
    <t>volume estimate measured (ml)</t>
  </si>
  <si>
    <t>Multiplying Factor  to tube estimate</t>
  </si>
  <si>
    <t>Multiplying Factor to Original Aliquot</t>
  </si>
  <si>
    <t>ppb Cs 137 (Cs) (custom)</t>
  </si>
  <si>
    <t>Custom C1</t>
  </si>
  <si>
    <t>Custom C2</t>
  </si>
  <si>
    <t>[to 4.5] Initial (Paul)</t>
  </si>
  <si>
    <t>[to 5] Initial (Second)</t>
  </si>
  <si>
    <t>V2/V1</t>
  </si>
  <si>
    <t>Original Concentration (ppb)</t>
  </si>
  <si>
    <t>Mass per Aliquot (ng)</t>
  </si>
  <si>
    <t>total in sample (ng)</t>
  </si>
  <si>
    <t>total atoms</t>
  </si>
  <si>
    <t>1. Assuming No Error in Volume Estimate (Consequently Mass Estimate)</t>
  </si>
  <si>
    <t>2. Assuming all losses in 30G were from evaporation</t>
  </si>
  <si>
    <t>3. Assuming loss of 0.01 g of 24 G from centrifuge (changes concentration change)</t>
  </si>
  <si>
    <t>4. Assuming no error in mass of Cs 137</t>
  </si>
  <si>
    <t>5. Didn't consider Matts Corrections (some of this mass is decayed Ba 137)</t>
  </si>
  <si>
    <t>6. Estimates for instrument response using Ba 137 were WAY off. Had to use Cs 133…WHY!?</t>
  </si>
  <si>
    <t>Notes:</t>
  </si>
  <si>
    <t>Results could be messed up based on neutron absorption</t>
  </si>
  <si>
    <t>Ba Contaminate (up to 450 ppb)</t>
  </si>
  <si>
    <t>Other yields into other mass bins are small or have short half lives</t>
  </si>
  <si>
    <t>Calculations don't do the Matt and Paul Method of subtracting ppb…oh welz</t>
  </si>
  <si>
    <t>BR</t>
  </si>
  <si>
    <t>ppb</t>
  </si>
  <si>
    <t>#atoms</t>
  </si>
  <si>
    <t>activity</t>
  </si>
  <si>
    <t>Estimated total (corrected to all of stock)</t>
  </si>
  <si>
    <t>Dilution Correction (James)</t>
  </si>
  <si>
    <t>total grams of original Tube</t>
  </si>
  <si>
    <t>ng</t>
  </si>
  <si>
    <t>Mass</t>
  </si>
  <si>
    <t>Avogadro</t>
  </si>
  <si>
    <r>
      <t>activity (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Ci)</t>
    </r>
  </si>
  <si>
    <t>Original Vial (Evaporation Corrected)</t>
  </si>
  <si>
    <t>Estimated total (vial to all of stock) (1/100th corrected) (Evap Corrected)</t>
  </si>
  <si>
    <r>
      <t xml:space="preserve">DPS to </t>
    </r>
    <r>
      <rPr>
        <sz val="11"/>
        <color theme="1"/>
        <rFont val="Calibri"/>
        <family val="2"/>
      </rPr>
      <t>μCi</t>
    </r>
  </si>
  <si>
    <t>To Original Stock (0.5 ml) (1/100th corrected, Evap Corrected)</t>
  </si>
  <si>
    <t>90G</t>
  </si>
  <si>
    <t>MSCS-M</t>
  </si>
  <si>
    <t>11.48 ppb</t>
  </si>
  <si>
    <t>Ba</t>
  </si>
  <si>
    <t>Ba 6.592</t>
  </si>
  <si>
    <t>Ba 11.232</t>
  </si>
  <si>
    <t>ppb/cps 135 Estimate</t>
  </si>
  <si>
    <t>ppb/cps 137 Estimate</t>
  </si>
  <si>
    <t>90G CPS Ba 137Contamination</t>
  </si>
  <si>
    <t>30 G CPS Ba137 Contamination</t>
  </si>
  <si>
    <t>CPS Cs 137</t>
  </si>
  <si>
    <t>Decay to Date</t>
  </si>
  <si>
    <t>Date Assy</t>
  </si>
  <si>
    <t>Days Passed</t>
  </si>
  <si>
    <t>Seconds Passed</t>
  </si>
  <si>
    <t>Decay Correction</t>
  </si>
  <si>
    <t>Non Decay Corrected</t>
  </si>
  <si>
    <t>Corrected 1/100th vial (Evaporation Corrected) (TK Dillusion 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</si>
</sst>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0.000"/>
    <numFmt numFmtId="166" formatCode="0.0"/>
    <numFmt numFmtId="167" formatCode="&quot;$&quot;#,##0.00"/>
    <numFmt numFmtId="168" formatCode="&quot;$&quot;#,##0.0000"/>
    <numFmt numFmtId="169" formatCode="&quot;$&quot;#,##0"/>
    <numFmt numFmtId="170" formatCode="0.00000"/>
    <numFmt numFmtId="171" formatCode="0.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  <xf numFmtId="0" fontId="3" fillId="0" borderId="0" xfId="0" applyFon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8" fontId="0" fillId="0" borderId="0" xfId="0" applyNumberFormat="1"/>
    <xf numFmtId="0" fontId="4" fillId="2" borderId="0" xfId="0" applyFont="1" applyFill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165" fontId="0" fillId="2" borderId="0" xfId="0" applyNumberFormat="1" applyFill="1"/>
    <xf numFmtId="169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7" fontId="0" fillId="0" borderId="3" xfId="0" applyNumberFormat="1" applyBorder="1"/>
    <xf numFmtId="164" fontId="0" fillId="0" borderId="0" xfId="0" applyNumberFormat="1"/>
    <xf numFmtId="2" fontId="0" fillId="2" borderId="0" xfId="0" applyNumberFormat="1" applyFill="1"/>
    <xf numFmtId="0" fontId="0" fillId="0" borderId="6" xfId="0" applyBorder="1"/>
    <xf numFmtId="2" fontId="0" fillId="0" borderId="3" xfId="0" applyNumberFormat="1" applyBorder="1"/>
    <xf numFmtId="170" fontId="0" fillId="0" borderId="0" xfId="0" applyNumberFormat="1" applyBorder="1"/>
    <xf numFmtId="165" fontId="0" fillId="0" borderId="0" xfId="0" applyNumberFormat="1" applyBorder="1"/>
    <xf numFmtId="2" fontId="0" fillId="0" borderId="0" xfId="0" applyNumberFormat="1" applyBorder="1"/>
    <xf numFmtId="166" fontId="0" fillId="0" borderId="3" xfId="0" applyNumberFormat="1" applyBorder="1"/>
    <xf numFmtId="166" fontId="0" fillId="0" borderId="7" xfId="0" applyNumberFormat="1" applyBorder="1"/>
    <xf numFmtId="166" fontId="0" fillId="0" borderId="0" xfId="0" applyNumberFormat="1" applyBorder="1"/>
    <xf numFmtId="11" fontId="0" fillId="0" borderId="3" xfId="0" applyNumberFormat="1" applyBorder="1"/>
    <xf numFmtId="11" fontId="0" fillId="0" borderId="2" xfId="0" applyNumberFormat="1" applyBorder="1"/>
    <xf numFmtId="166" fontId="0" fillId="0" borderId="8" xfId="0" applyNumberFormat="1" applyBorder="1"/>
    <xf numFmtId="0" fontId="0" fillId="0" borderId="20" xfId="0" applyBorder="1"/>
    <xf numFmtId="0" fontId="1" fillId="0" borderId="21" xfId="0" applyFont="1" applyBorder="1"/>
    <xf numFmtId="0" fontId="1" fillId="0" borderId="22" xfId="0" applyFont="1" applyBorder="1"/>
    <xf numFmtId="0" fontId="0" fillId="0" borderId="21" xfId="0" applyBorder="1"/>
    <xf numFmtId="0" fontId="0" fillId="0" borderId="23" xfId="0" applyBorder="1"/>
    <xf numFmtId="0" fontId="1" fillId="0" borderId="20" xfId="0" applyFont="1" applyFill="1" applyBorder="1"/>
    <xf numFmtId="0" fontId="1" fillId="0" borderId="24" xfId="0" applyFont="1" applyBorder="1"/>
    <xf numFmtId="171" fontId="0" fillId="0" borderId="2" xfId="0" applyNumberFormat="1" applyBorder="1"/>
    <xf numFmtId="0" fontId="0" fillId="2" borderId="0" xfId="0" applyNumberFormat="1" applyFill="1"/>
    <xf numFmtId="14" fontId="0" fillId="0" borderId="0" xfId="0" applyNumberFormat="1"/>
    <xf numFmtId="0" fontId="0" fillId="0" borderId="16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5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abSelected="1" topLeftCell="K1" workbookViewId="0">
      <selection activeCell="Y5" sqref="Y5"/>
    </sheetView>
  </sheetViews>
  <sheetFormatPr defaultRowHeight="15" x14ac:dyDescent="0.25"/>
  <cols>
    <col min="1" max="1" width="15.5703125" customWidth="1"/>
    <col min="2" max="2" width="11.85546875" customWidth="1"/>
    <col min="3" max="3" width="10.42578125" customWidth="1"/>
    <col min="4" max="4" width="8.7109375" customWidth="1"/>
    <col min="5" max="5" width="10.140625" customWidth="1"/>
    <col min="6" max="6" width="10" customWidth="1"/>
    <col min="7" max="7" width="5.7109375" customWidth="1"/>
    <col min="8" max="8" width="11.85546875" customWidth="1"/>
    <col min="9" max="9" width="10.5703125" bestFit="1" customWidth="1"/>
    <col min="10" max="10" width="12" customWidth="1"/>
    <col min="11" max="11" width="10.28515625" customWidth="1"/>
    <col min="12" max="12" width="8.7109375" customWidth="1"/>
    <col min="13" max="13" width="9.140625" customWidth="1"/>
    <col min="14" max="14" width="8.85546875" customWidth="1"/>
    <col min="15" max="15" width="7.85546875" customWidth="1"/>
    <col min="16" max="16" width="8.42578125" customWidth="1"/>
    <col min="17" max="17" width="8.5703125" customWidth="1"/>
    <col min="18" max="18" width="9.140625" customWidth="1"/>
    <col min="20" max="20" width="11.42578125" customWidth="1"/>
    <col min="21" max="21" width="9" bestFit="1" customWidth="1"/>
    <col min="22" max="23" width="12" bestFit="1" customWidth="1"/>
    <col min="24" max="24" width="10.7109375" bestFit="1" customWidth="1"/>
    <col min="25" max="25" width="9.7109375" bestFit="1" customWidth="1"/>
  </cols>
  <sheetData>
    <row r="1" spans="1:28" ht="75" x14ac:dyDescent="0.25">
      <c r="A1" t="s">
        <v>6</v>
      </c>
      <c r="B1">
        <v>137</v>
      </c>
      <c r="C1" s="2" t="s">
        <v>2</v>
      </c>
      <c r="D1">
        <v>138</v>
      </c>
      <c r="E1" s="2" t="s">
        <v>2</v>
      </c>
      <c r="F1" s="2" t="s">
        <v>7</v>
      </c>
      <c r="G1" s="2" t="s">
        <v>2</v>
      </c>
      <c r="H1" s="3" t="s">
        <v>8</v>
      </c>
      <c r="I1" s="2" t="s">
        <v>2</v>
      </c>
      <c r="J1" s="10" t="s">
        <v>10</v>
      </c>
      <c r="K1" s="10" t="s">
        <v>11</v>
      </c>
      <c r="L1" s="10" t="s">
        <v>12</v>
      </c>
      <c r="M1" s="11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51</v>
      </c>
      <c r="W1" s="12" t="s">
        <v>52</v>
      </c>
      <c r="X1" s="12" t="s">
        <v>69</v>
      </c>
      <c r="Y1" s="12" t="s">
        <v>70</v>
      </c>
      <c r="Z1" s="12" t="s">
        <v>71</v>
      </c>
      <c r="AA1" s="12" t="s">
        <v>72</v>
      </c>
      <c r="AB1" s="12" t="s">
        <v>73</v>
      </c>
    </row>
    <row r="2" spans="1:28" x14ac:dyDescent="0.25">
      <c r="A2" t="s">
        <v>5</v>
      </c>
      <c r="B2" s="9">
        <v>37988.080000000002</v>
      </c>
      <c r="C2" s="9">
        <f>B2^0.5</f>
        <v>194.9053103432536</v>
      </c>
      <c r="D2" s="20">
        <v>63047.6</v>
      </c>
      <c r="E2" s="9">
        <f>D2^0.5</f>
        <v>251.09281152593755</v>
      </c>
      <c r="F2" s="9">
        <f>B2-D2*(11.232/71.698)</f>
        <v>28111.226486652347</v>
      </c>
      <c r="G2">
        <f>(C2^2+E2^2)^0.5</f>
        <v>317.86110174099628</v>
      </c>
      <c r="H2" s="6">
        <f>1.058417/Notes!B1</f>
        <v>1.1770117637011131E-5</v>
      </c>
      <c r="I2">
        <f>(((1.058417/(Notes!B1^2))^2)*Notes!C1^2)^0.5</f>
        <v>2.7754141871653313E-8</v>
      </c>
      <c r="J2">
        <v>4.4299999999999999E-2</v>
      </c>
      <c r="K2">
        <v>4.9031000000000002</v>
      </c>
      <c r="L2" s="7">
        <v>110.67945823927766</v>
      </c>
      <c r="M2">
        <v>0.5</v>
      </c>
      <c r="N2">
        <v>50</v>
      </c>
      <c r="O2">
        <v>5.0000000000000002E-5</v>
      </c>
      <c r="P2">
        <v>4</v>
      </c>
      <c r="Q2">
        <v>0</v>
      </c>
      <c r="R2" s="34">
        <v>1.1062148216671805</v>
      </c>
      <c r="S2" s="33">
        <v>4.0046471202795225E-2</v>
      </c>
      <c r="T2" s="7">
        <v>12.485494601209712</v>
      </c>
      <c r="U2">
        <v>1</v>
      </c>
      <c r="V2" s="16">
        <v>136.9070835</v>
      </c>
      <c r="W2">
        <f>6.0221413E+23</f>
        <v>6.0221413000000002E+23</v>
      </c>
      <c r="X2" s="55">
        <v>41964</v>
      </c>
      <c r="Y2" s="55">
        <v>42060</v>
      </c>
      <c r="Z2">
        <f>Y2-X2</f>
        <v>96</v>
      </c>
      <c r="AA2">
        <f>Z2*24*3600</f>
        <v>8294400</v>
      </c>
      <c r="AB2">
        <f>EXP(-AA2*T8)</f>
        <v>0.99395558109853988</v>
      </c>
    </row>
    <row r="3" spans="1:28" x14ac:dyDescent="0.25">
      <c r="A3" t="s">
        <v>4</v>
      </c>
      <c r="B3" s="9">
        <v>57047.58</v>
      </c>
      <c r="C3" s="9">
        <f>B3^0.5</f>
        <v>238.84635228531334</v>
      </c>
      <c r="D3" s="20">
        <v>222543.04</v>
      </c>
      <c r="E3" s="9">
        <f>D3^0.5</f>
        <v>471.74467670552468</v>
      </c>
      <c r="F3" s="9">
        <f>B3-D3*(11.232/71.698)</f>
        <v>22184.635074339596</v>
      </c>
      <c r="G3">
        <f>(C3^2+E3^2)^0.5</f>
        <v>528.76329297711277</v>
      </c>
      <c r="H3">
        <f>1.058417/Notes!B1</f>
        <v>1.1770117637011131E-5</v>
      </c>
      <c r="I3">
        <f>(((1.058417/(Notes!B1^2))^2)*Notes!C1^2)^0.5</f>
        <v>2.7754141871653313E-8</v>
      </c>
      <c r="J3">
        <v>2.7699999999999999E-2</v>
      </c>
      <c r="K3">
        <v>4.9138999999999999</v>
      </c>
      <c r="L3" s="7">
        <v>177.39711191335741</v>
      </c>
      <c r="M3">
        <v>0.5</v>
      </c>
      <c r="N3">
        <v>50</v>
      </c>
      <c r="O3">
        <v>5.0000000000000002E-5</v>
      </c>
      <c r="P3">
        <v>4</v>
      </c>
      <c r="Q3">
        <v>0</v>
      </c>
      <c r="R3" s="34">
        <v>1.1062148216671805</v>
      </c>
      <c r="S3" s="33">
        <v>2.5040344296104463E-2</v>
      </c>
      <c r="T3" s="7">
        <v>19.967776564389542</v>
      </c>
      <c r="U3">
        <v>1</v>
      </c>
      <c r="V3" s="16">
        <v>136.9070835</v>
      </c>
      <c r="W3">
        <f>6.0221413E+23</f>
        <v>6.0221413000000002E+23</v>
      </c>
      <c r="X3" s="55">
        <f>X2</f>
        <v>41964</v>
      </c>
      <c r="Y3" s="55">
        <f>Y2</f>
        <v>42060</v>
      </c>
      <c r="Z3">
        <f t="shared" ref="Z3:Z4" si="0">Y3-X3</f>
        <v>96</v>
      </c>
      <c r="AA3">
        <f t="shared" ref="AA3:AA4" si="1">Z3*24*3600</f>
        <v>8294400</v>
      </c>
      <c r="AB3">
        <f t="shared" ref="AB3:AB4" si="2">EXP(-AA3*T9)</f>
        <v>0.99395558109853988</v>
      </c>
    </row>
    <row r="4" spans="1:28" x14ac:dyDescent="0.25">
      <c r="A4" t="s">
        <v>58</v>
      </c>
      <c r="B4" s="9">
        <v>19125.820000000003</v>
      </c>
      <c r="C4" s="9">
        <f>B4^0.5</f>
        <v>138.29613154387221</v>
      </c>
      <c r="D4">
        <v>122212.58</v>
      </c>
      <c r="E4" s="9">
        <f>D4^0.5</f>
        <v>349.5891588708094</v>
      </c>
      <c r="F4" s="9">
        <f>B4</f>
        <v>19125.820000000003</v>
      </c>
      <c r="G4">
        <f>(C4^2+E4^2)^0.5</f>
        <v>375.94999667508978</v>
      </c>
      <c r="H4">
        <f>1.058417/Notes!B1</f>
        <v>1.1770117637011131E-5</v>
      </c>
      <c r="I4">
        <f>(((1.058417/(Notes!B2^2))^2)*Notes!C2^2)^0.5</f>
        <v>4.3067982658773383E-8</v>
      </c>
      <c r="J4">
        <v>3.9E-2</v>
      </c>
      <c r="K4">
        <v>4.9492000000000003</v>
      </c>
      <c r="L4">
        <v>126.90256410256411</v>
      </c>
      <c r="M4">
        <v>6</v>
      </c>
      <c r="N4">
        <v>50</v>
      </c>
      <c r="O4">
        <v>5.0000000000000002E-5</v>
      </c>
      <c r="P4">
        <v>4</v>
      </c>
      <c r="Q4">
        <v>2.4E-2</v>
      </c>
      <c r="R4">
        <v>1.1105727712762161</v>
      </c>
      <c r="S4">
        <v>3.5117014398960186E-2</v>
      </c>
      <c r="T4">
        <v>170.85734942711017</v>
      </c>
      <c r="U4">
        <v>1</v>
      </c>
      <c r="V4" s="16">
        <v>136.9070835</v>
      </c>
      <c r="W4">
        <f>6.0221413E+23</f>
        <v>6.0221413000000002E+23</v>
      </c>
      <c r="X4" s="55">
        <f>X3</f>
        <v>41964</v>
      </c>
      <c r="Y4" s="55">
        <f>Y3</f>
        <v>42060</v>
      </c>
      <c r="Z4">
        <f t="shared" si="0"/>
        <v>96</v>
      </c>
      <c r="AA4">
        <f t="shared" si="1"/>
        <v>8294400</v>
      </c>
      <c r="AB4">
        <f t="shared" si="2"/>
        <v>0.99395558109853988</v>
      </c>
    </row>
    <row r="5" spans="1:28" x14ac:dyDescent="0.25">
      <c r="B5" s="9"/>
      <c r="C5" s="9"/>
      <c r="D5" s="9"/>
      <c r="E5" s="9"/>
      <c r="F5" s="9"/>
    </row>
    <row r="6" spans="1:28" x14ac:dyDescent="0.25">
      <c r="D6" s="18"/>
    </row>
    <row r="7" spans="1:28" ht="60" x14ac:dyDescent="0.25">
      <c r="B7" s="13" t="s">
        <v>49</v>
      </c>
      <c r="C7" s="15" t="s">
        <v>3</v>
      </c>
      <c r="D7" s="17" t="s">
        <v>25</v>
      </c>
      <c r="E7" s="17" t="s">
        <v>26</v>
      </c>
      <c r="F7" s="3" t="s">
        <v>22</v>
      </c>
      <c r="G7" s="2" t="s">
        <v>2</v>
      </c>
      <c r="H7" s="4" t="s">
        <v>48</v>
      </c>
      <c r="I7" s="2" t="s">
        <v>2</v>
      </c>
      <c r="J7" t="s">
        <v>27</v>
      </c>
      <c r="K7" s="2" t="s">
        <v>2</v>
      </c>
      <c r="L7" s="4" t="s">
        <v>28</v>
      </c>
      <c r="M7" s="2" t="s">
        <v>2</v>
      </c>
      <c r="N7" s="13" t="s">
        <v>29</v>
      </c>
      <c r="O7" s="2" t="s">
        <v>2</v>
      </c>
      <c r="P7" s="13" t="s">
        <v>30</v>
      </c>
      <c r="Q7" s="2" t="s">
        <v>2</v>
      </c>
      <c r="R7" s="4" t="s">
        <v>31</v>
      </c>
      <c r="S7" s="2" t="s">
        <v>2</v>
      </c>
      <c r="T7" s="2" t="s">
        <v>0</v>
      </c>
      <c r="U7" t="s">
        <v>1</v>
      </c>
      <c r="V7" t="s">
        <v>43</v>
      </c>
      <c r="W7" t="s">
        <v>56</v>
      </c>
    </row>
    <row r="8" spans="1:28" x14ac:dyDescent="0.25">
      <c r="A8" t="s">
        <v>5</v>
      </c>
      <c r="B8">
        <f>R2*M2</f>
        <v>0.55310741083359027</v>
      </c>
      <c r="C8" s="16">
        <v>5.1669999999999998</v>
      </c>
      <c r="D8" s="16">
        <f>(5.167/0.5)*(4.5/0.5)</f>
        <v>93.006</v>
      </c>
      <c r="E8" s="16">
        <f>(5.167/0.5)*(5/0.5)</f>
        <v>103.34</v>
      </c>
      <c r="F8" s="9">
        <f>F2*H2</f>
        <v>0.33087244266856125</v>
      </c>
      <c r="G8">
        <f>((F2^2)*(I2^2)+(H2^2)*(G2^2))^0.5</f>
        <v>3.8217485804538129E-3</v>
      </c>
      <c r="H8" s="9">
        <f>F8*L2</f>
        <v>36.620782700862819</v>
      </c>
      <c r="I8" s="9">
        <f>G8*L2</f>
        <v>0.42298906241135648</v>
      </c>
      <c r="J8" s="19">
        <v>0.99558000000000002</v>
      </c>
      <c r="K8">
        <f>J8*0.1</f>
        <v>9.9558000000000008E-2</v>
      </c>
      <c r="L8" s="8">
        <f>H8*J8</f>
        <v>36.458918841325008</v>
      </c>
      <c r="M8" s="7">
        <f>((H8^2)*(K8)^2+(J8^2)*(I8^2))^0.5</f>
        <v>3.6701320442986582</v>
      </c>
      <c r="N8" s="8">
        <f>L8*B8</f>
        <v>20.165698202117277</v>
      </c>
      <c r="O8" s="5">
        <f>M8*B8</f>
        <v>2.0299772324394225</v>
      </c>
      <c r="P8" s="16">
        <f>N8*E8</f>
        <v>2083.9232522067996</v>
      </c>
      <c r="Q8" s="8">
        <f>E8*O8</f>
        <v>209.77784720028993</v>
      </c>
      <c r="R8" s="1">
        <f t="shared" ref="R8:S10" si="3">(P8*6.0221413E+23)/(10^9*136.9070835)</f>
        <v>9166567545166416</v>
      </c>
      <c r="S8">
        <f t="shared" si="3"/>
        <v>922751259579607.75</v>
      </c>
      <c r="T8" s="16">
        <f>(LN(2))/(30.07*365*24*3600)</f>
        <v>7.3094622247052809E-10</v>
      </c>
      <c r="U8" s="54">
        <v>6.5799999999999997E-2</v>
      </c>
      <c r="V8" s="16">
        <v>0.85</v>
      </c>
      <c r="W8" s="1">
        <v>37000</v>
      </c>
    </row>
    <row r="9" spans="1:28" x14ac:dyDescent="0.25">
      <c r="A9" t="s">
        <v>4</v>
      </c>
      <c r="B9">
        <f>R3*M3</f>
        <v>0.55310741083359027</v>
      </c>
      <c r="C9" s="16">
        <v>5.1669999999999998</v>
      </c>
      <c r="D9" s="16">
        <f>(5.167/0.5)*(4.5/0.5)</f>
        <v>93.006</v>
      </c>
      <c r="E9" s="16">
        <f>D9</f>
        <v>93.006</v>
      </c>
      <c r="F9" s="9">
        <f>F3*H3</f>
        <v>0.26111576455914021</v>
      </c>
      <c r="G9">
        <f>((F3^2)*(I3^2)+(H3^2)*(G3^2))^0.5</f>
        <v>6.2539890653077563E-3</v>
      </c>
      <c r="H9" s="9">
        <f>F9*L3</f>
        <v>46.32118250783968</v>
      </c>
      <c r="I9" s="9">
        <f>G9*L3</f>
        <v>1.1094395981233136</v>
      </c>
      <c r="J9" s="19">
        <v>0.99558000000000002</v>
      </c>
      <c r="K9">
        <f>J9*0.1</f>
        <v>9.9558000000000008E-2</v>
      </c>
      <c r="L9" s="8">
        <f>H9*J9</f>
        <v>46.116442881155031</v>
      </c>
      <c r="M9" s="7">
        <f>((H9^2)*(K9)^2+(J9^2)*(I9^2))^0.5</f>
        <v>4.7420736539503903</v>
      </c>
      <c r="N9" s="8">
        <f>L9*B9</f>
        <v>25.507346318850814</v>
      </c>
      <c r="O9" s="5">
        <f>M9*B9</f>
        <v>2.6228760807186831</v>
      </c>
      <c r="P9" s="16">
        <f>N9*D9</f>
        <v>2372.3362517310388</v>
      </c>
      <c r="Q9" s="8">
        <f>O9*D9</f>
        <v>243.94321276332184</v>
      </c>
      <c r="R9" s="1">
        <f t="shared" si="3"/>
        <v>1.0435211790218792E+16</v>
      </c>
      <c r="S9">
        <f t="shared" si="3"/>
        <v>1073034688111435.6</v>
      </c>
      <c r="T9" s="16">
        <f t="shared" ref="T9:T10" si="4">(LN(2))/(30.07*365*24*3600)</f>
        <v>7.3094622247052809E-10</v>
      </c>
      <c r="U9" s="54">
        <v>6.5799999999999997E-2</v>
      </c>
      <c r="V9" s="16">
        <v>0.85</v>
      </c>
      <c r="W9" s="1">
        <v>37000</v>
      </c>
    </row>
    <row r="10" spans="1:28" x14ac:dyDescent="0.25">
      <c r="A10" t="s">
        <v>58</v>
      </c>
      <c r="B10">
        <f>R4*M4</f>
        <v>6.6634366276572967</v>
      </c>
      <c r="C10" s="16">
        <v>5.1669999999999998</v>
      </c>
      <c r="D10" s="16"/>
      <c r="E10" s="16">
        <f>(5.167/0.5)*(5/0.5)</f>
        <v>103.34</v>
      </c>
      <c r="F10" s="9">
        <f>F4*H4</f>
        <v>0.22511315130430026</v>
      </c>
      <c r="G10">
        <f>((F4^2)*(I4^2)+(H4^2)*(G4^2))^0.5</f>
        <v>4.5009897564559798E-3</v>
      </c>
      <c r="H10" s="9">
        <f>F10*L4-222*0.1123</f>
        <v>3.6368361137241791</v>
      </c>
      <c r="I10" s="9">
        <f>G10*L4</f>
        <v>0.57118714109363944</v>
      </c>
      <c r="J10" s="19">
        <v>0.99558000000000002</v>
      </c>
      <c r="K10">
        <f>J10*0.1</f>
        <v>9.9558000000000008E-2</v>
      </c>
      <c r="L10" s="8">
        <f>H10*J10</f>
        <v>3.6207612981015185</v>
      </c>
      <c r="M10" s="7">
        <f>((H10^2)*(K10)^2+(J10^2)*(I10^2))^0.5</f>
        <v>0.67414846716505372</v>
      </c>
      <c r="N10" s="8">
        <f>L10*B10</f>
        <v>24.12671345377364</v>
      </c>
      <c r="O10" s="5">
        <f>M10*B10</f>
        <v>4.4921455885866415</v>
      </c>
      <c r="P10" s="16">
        <f>N10*E10</f>
        <v>2493.2545683129679</v>
      </c>
      <c r="Q10" s="8">
        <f>O10*E10</f>
        <v>464.21832512454353</v>
      </c>
      <c r="R10" s="1">
        <f t="shared" si="3"/>
        <v>1.0967096021186658E+16</v>
      </c>
      <c r="S10">
        <f t="shared" si="3"/>
        <v>2041960340167016.5</v>
      </c>
      <c r="T10" s="16">
        <f t="shared" si="4"/>
        <v>7.3094622247052809E-10</v>
      </c>
      <c r="U10" s="54">
        <v>6.5799999999999997E-2</v>
      </c>
      <c r="V10" s="16">
        <v>0.85</v>
      </c>
      <c r="W10" s="1">
        <v>37000</v>
      </c>
    </row>
    <row r="11" spans="1:28" x14ac:dyDescent="0.25">
      <c r="C11" s="16"/>
      <c r="D11" s="16"/>
      <c r="E11" s="16"/>
      <c r="F11" s="9"/>
      <c r="H11" s="9"/>
      <c r="I11" s="9"/>
      <c r="J11" s="19"/>
      <c r="L11" s="8"/>
      <c r="M11" s="7"/>
      <c r="N11" s="8"/>
      <c r="O11" s="5"/>
      <c r="P11" s="16"/>
      <c r="Q11" s="8"/>
      <c r="R11" s="1"/>
      <c r="U11" s="5"/>
    </row>
    <row r="12" spans="1:28" x14ac:dyDescent="0.25">
      <c r="C12" s="16"/>
      <c r="D12" s="16"/>
      <c r="E12" s="16"/>
      <c r="F12" s="9"/>
      <c r="H12" s="9"/>
      <c r="I12" s="9"/>
      <c r="J12" s="19"/>
      <c r="L12" s="8"/>
      <c r="M12" s="7"/>
      <c r="N12" s="8"/>
      <c r="O12" s="5"/>
      <c r="P12" s="16"/>
      <c r="Q12" s="8"/>
      <c r="R12" s="1"/>
      <c r="U12" s="5"/>
    </row>
    <row r="13" spans="1:28" ht="15.75" thickBot="1" x14ac:dyDescent="0.3">
      <c r="E13" s="63" t="s">
        <v>74</v>
      </c>
      <c r="F13" s="64"/>
      <c r="G13" s="64"/>
      <c r="H13" s="64"/>
      <c r="I13" s="64"/>
      <c r="J13" s="64"/>
      <c r="L13" s="1"/>
    </row>
    <row r="14" spans="1:28" ht="15" customHeight="1" x14ac:dyDescent="0.25">
      <c r="A14" s="24"/>
      <c r="B14" s="62" t="s">
        <v>54</v>
      </c>
      <c r="C14" s="57"/>
      <c r="D14" s="57"/>
      <c r="E14" s="57"/>
      <c r="F14" s="57"/>
      <c r="G14" s="57"/>
      <c r="H14" s="57"/>
      <c r="I14" s="58"/>
      <c r="J14" s="56" t="s">
        <v>75</v>
      </c>
      <c r="K14" s="57"/>
      <c r="L14" s="57"/>
      <c r="M14" s="57"/>
      <c r="N14" s="57"/>
      <c r="O14" s="57"/>
      <c r="P14" s="57"/>
      <c r="Q14" s="57"/>
      <c r="R14" s="56" t="s">
        <v>55</v>
      </c>
      <c r="S14" s="57"/>
      <c r="T14" s="57"/>
      <c r="U14" s="57"/>
      <c r="V14" s="57"/>
      <c r="W14" s="57"/>
      <c r="X14" s="57"/>
      <c r="Y14" s="58"/>
    </row>
    <row r="15" spans="1:28" x14ac:dyDescent="0.25">
      <c r="A15" s="25"/>
      <c r="B15" s="46" t="s">
        <v>44</v>
      </c>
      <c r="C15" s="47" t="s">
        <v>2</v>
      </c>
      <c r="D15" s="46" t="s">
        <v>50</v>
      </c>
      <c r="E15" s="47" t="s">
        <v>2</v>
      </c>
      <c r="F15" s="46" t="s">
        <v>45</v>
      </c>
      <c r="G15" s="48" t="s">
        <v>2</v>
      </c>
      <c r="H15" s="49" t="s">
        <v>53</v>
      </c>
      <c r="I15" s="47" t="s">
        <v>2</v>
      </c>
      <c r="J15" s="50" t="s">
        <v>44</v>
      </c>
      <c r="K15" s="47" t="s">
        <v>2</v>
      </c>
      <c r="L15" s="51" t="s">
        <v>50</v>
      </c>
      <c r="M15" s="47" t="s">
        <v>2</v>
      </c>
      <c r="N15" s="46" t="s">
        <v>45</v>
      </c>
      <c r="O15" s="48" t="s">
        <v>2</v>
      </c>
      <c r="P15" s="49" t="s">
        <v>46</v>
      </c>
      <c r="Q15" s="47" t="s">
        <v>2</v>
      </c>
      <c r="R15" s="50" t="s">
        <v>44</v>
      </c>
      <c r="S15" s="47" t="s">
        <v>2</v>
      </c>
      <c r="T15" s="51" t="s">
        <v>50</v>
      </c>
      <c r="U15" s="47" t="s">
        <v>2</v>
      </c>
      <c r="V15" s="46" t="s">
        <v>45</v>
      </c>
      <c r="W15" s="48" t="s">
        <v>2</v>
      </c>
      <c r="X15" s="49" t="s">
        <v>46</v>
      </c>
      <c r="Y15" s="52" t="s">
        <v>2</v>
      </c>
    </row>
    <row r="16" spans="1:28" x14ac:dyDescent="0.25">
      <c r="A16" s="25" t="s">
        <v>5</v>
      </c>
      <c r="B16" s="36">
        <f>H8*J8</f>
        <v>36.458918841325008</v>
      </c>
      <c r="C16" s="39">
        <f>I8*J8</f>
        <v>0.42111945075549828</v>
      </c>
      <c r="D16" s="40">
        <f>B16*B8</f>
        <v>20.165698202117277</v>
      </c>
      <c r="E16" s="39">
        <f>C16*B8</f>
        <v>0.23292428905903728</v>
      </c>
      <c r="F16" s="21">
        <f>(D16*10^-9)*(W2/V2)</f>
        <v>88702995405132.719</v>
      </c>
      <c r="G16" s="23">
        <f>(E16*10^-9)*(W2/V2)</f>
        <v>1024565672612.233</v>
      </c>
      <c r="H16" s="39">
        <f>(F16*T8)/(W8)</f>
        <v>1.7523545787351993</v>
      </c>
      <c r="I16" s="37">
        <f>(G16*T8)/(W8)</f>
        <v>2.0240605623483447E-2</v>
      </c>
      <c r="J16" s="41">
        <f>B16*(E8/100)</f>
        <v>37.676646730625265</v>
      </c>
      <c r="K16" s="39">
        <f>C16*(E8/100)</f>
        <v>0.43518484041073197</v>
      </c>
      <c r="L16" s="40">
        <f>D16*(E8/100)</f>
        <v>20.839232522067995</v>
      </c>
      <c r="M16" s="42">
        <f>E16*(E8/100)</f>
        <v>0.24070396031360916</v>
      </c>
      <c r="N16" s="21">
        <f>F16*(E8/100)</f>
        <v>91665675451664.156</v>
      </c>
      <c r="O16" s="23">
        <f>G16*(E8/100)</f>
        <v>1058786166077.4817</v>
      </c>
      <c r="P16" s="38">
        <f>H16*(E8/100)</f>
        <v>1.8108832216649551</v>
      </c>
      <c r="Q16" s="38">
        <f>I16*(E8/100)</f>
        <v>2.0916641851307795E-2</v>
      </c>
      <c r="R16" s="41">
        <f t="shared" ref="R16:S18" si="5">J16</f>
        <v>37.676646730625265</v>
      </c>
      <c r="S16" s="39">
        <f t="shared" si="5"/>
        <v>0.43518484041073197</v>
      </c>
      <c r="T16" s="40">
        <f t="shared" ref="T16:Y18" si="6">L16*100</f>
        <v>2083.9232522067996</v>
      </c>
      <c r="U16" s="42">
        <f t="shared" si="6"/>
        <v>24.070396031360914</v>
      </c>
      <c r="V16" s="43">
        <f t="shared" si="6"/>
        <v>9166567545166416</v>
      </c>
      <c r="W16" s="44">
        <f t="shared" si="6"/>
        <v>105878616607748.17</v>
      </c>
      <c r="X16" s="42">
        <f t="shared" si="6"/>
        <v>181.08832216649552</v>
      </c>
      <c r="Y16" s="45">
        <f t="shared" si="6"/>
        <v>2.0916641851307793</v>
      </c>
    </row>
    <row r="17" spans="1:25" x14ac:dyDescent="0.25">
      <c r="A17" s="25" t="s">
        <v>4</v>
      </c>
      <c r="B17" s="36">
        <f>H9*J9</f>
        <v>46.116442881155031</v>
      </c>
      <c r="C17" s="39">
        <f>I9*J9</f>
        <v>1.1045358750996086</v>
      </c>
      <c r="D17" s="40">
        <f>B17*B9</f>
        <v>25.507346318850814</v>
      </c>
      <c r="E17" s="39">
        <f>C17*B9</f>
        <v>0.61092697804915841</v>
      </c>
      <c r="F17" s="21">
        <f>(D17*10^-9)*(W3/V3)</f>
        <v>112199339722370.52</v>
      </c>
      <c r="G17" s="23">
        <f>(E17*10^-9)*(W3/V3)</f>
        <v>2687288701021.8364</v>
      </c>
      <c r="H17" s="39">
        <f>(F17*T9)/(W9)</f>
        <v>2.2165319873987621</v>
      </c>
      <c r="I17" s="37">
        <f t="shared" ref="I17:I18" si="7">(G17*T9)/(W9)</f>
        <v>5.3088203370260642E-2</v>
      </c>
      <c r="J17" s="41">
        <f>B17*(E9/100)</f>
        <v>42.891058866047047</v>
      </c>
      <c r="K17" s="39">
        <f>C17*(E9/100)</f>
        <v>1.027284635995142</v>
      </c>
      <c r="L17" s="40">
        <f>D17*(E9/100)</f>
        <v>23.723362517310388</v>
      </c>
      <c r="M17" s="42">
        <f>E17*(E9/100)</f>
        <v>0.56819874520440028</v>
      </c>
      <c r="N17" s="21">
        <f>F17*(E9/100)</f>
        <v>104352117902187.92</v>
      </c>
      <c r="O17" s="23">
        <f>G17*(E9/100)</f>
        <v>2499339729272.3691</v>
      </c>
      <c r="P17" s="38">
        <f>H17*(E9/100)</f>
        <v>2.0615077402000925</v>
      </c>
      <c r="Q17" s="38">
        <f>I17*(E9/100)</f>
        <v>4.9375214426544613E-2</v>
      </c>
      <c r="R17" s="41">
        <f t="shared" si="5"/>
        <v>42.891058866047047</v>
      </c>
      <c r="S17" s="39">
        <f t="shared" si="5"/>
        <v>1.027284635995142</v>
      </c>
      <c r="T17" s="40">
        <f t="shared" si="6"/>
        <v>2372.3362517310388</v>
      </c>
      <c r="U17" s="42">
        <f t="shared" si="6"/>
        <v>56.819874520440031</v>
      </c>
      <c r="V17" s="43">
        <f t="shared" si="6"/>
        <v>1.0435211790218792E+16</v>
      </c>
      <c r="W17" s="44">
        <f t="shared" si="6"/>
        <v>249933972927236.91</v>
      </c>
      <c r="X17" s="42">
        <f t="shared" si="6"/>
        <v>206.15077402000927</v>
      </c>
      <c r="Y17" s="45">
        <f t="shared" si="6"/>
        <v>4.9375214426544609</v>
      </c>
    </row>
    <row r="18" spans="1:25" x14ac:dyDescent="0.25">
      <c r="A18" s="25" t="s">
        <v>58</v>
      </c>
      <c r="B18" s="36">
        <f>H10*J10</f>
        <v>3.6207612981015185</v>
      </c>
      <c r="C18" s="39">
        <f>I10*J10</f>
        <v>0.56866249393000556</v>
      </c>
      <c r="D18" s="40">
        <f>B18*B10</f>
        <v>24.12671345377364</v>
      </c>
      <c r="E18" s="39">
        <f>C18*B10</f>
        <v>3.7892464908281442</v>
      </c>
      <c r="F18" s="21">
        <f>(D18*10^-9)*(W4/V4)</f>
        <v>106126340441132.75</v>
      </c>
      <c r="G18" s="23">
        <f>(E18*10^-9)*(W4/V4)</f>
        <v>16667784606116.631</v>
      </c>
      <c r="H18" s="39">
        <f>(F18*T10)/(W10)</f>
        <v>2.0965580445964114</v>
      </c>
      <c r="I18" s="37">
        <f t="shared" si="7"/>
        <v>0.32927714039982081</v>
      </c>
      <c r="J18" s="41">
        <f>B18*(E10/100)</f>
        <v>3.7416947254581094</v>
      </c>
      <c r="K18" s="39">
        <f>C18*(E10/100)</f>
        <v>0.58765582122726778</v>
      </c>
      <c r="L18" s="40">
        <f>D18*(E10/100)</f>
        <v>24.932545683129682</v>
      </c>
      <c r="M18" s="42">
        <f>E18*(E10/100)</f>
        <v>3.9158073236218045</v>
      </c>
      <c r="N18" s="21">
        <f>F18*(E10/100)</f>
        <v>109670960211866.59</v>
      </c>
      <c r="O18" s="23">
        <f>G18*(E10/100)</f>
        <v>17224488611960.928</v>
      </c>
      <c r="P18" s="38">
        <f>H18*(E10/100)</f>
        <v>2.1665830832859316</v>
      </c>
      <c r="Q18" s="38">
        <f>I18*(E10/100)</f>
        <v>0.34027499688917484</v>
      </c>
      <c r="R18" s="41">
        <f t="shared" si="5"/>
        <v>3.7416947254581094</v>
      </c>
      <c r="S18" s="39">
        <f t="shared" si="5"/>
        <v>0.58765582122726778</v>
      </c>
      <c r="T18" s="40">
        <f t="shared" si="6"/>
        <v>2493.2545683129683</v>
      </c>
      <c r="U18" s="42">
        <f t="shared" si="6"/>
        <v>391.58073236218047</v>
      </c>
      <c r="V18" s="43">
        <f t="shared" si="6"/>
        <v>1.096709602118666E+16</v>
      </c>
      <c r="W18" s="44">
        <f t="shared" si="6"/>
        <v>1722448861196092.7</v>
      </c>
      <c r="X18" s="42">
        <f t="shared" si="6"/>
        <v>216.65830832859317</v>
      </c>
      <c r="Y18" s="45">
        <f t="shared" si="6"/>
        <v>34.027499688917487</v>
      </c>
    </row>
    <row r="19" spans="1:25" x14ac:dyDescent="0.25">
      <c r="A19" s="25"/>
      <c r="B19" s="32"/>
      <c r="C19" s="22"/>
      <c r="D19" s="21"/>
      <c r="E19" s="22"/>
      <c r="F19" s="21"/>
      <c r="G19" s="23"/>
      <c r="H19" s="22"/>
      <c r="I19" s="22"/>
      <c r="J19" s="25"/>
      <c r="K19" s="22"/>
      <c r="L19" s="21"/>
      <c r="M19" s="22"/>
      <c r="N19" s="21"/>
      <c r="O19" s="23"/>
      <c r="P19" s="22"/>
      <c r="Q19" s="22"/>
      <c r="R19" s="25"/>
      <c r="S19" s="22"/>
      <c r="T19" s="21"/>
      <c r="U19" s="22"/>
      <c r="V19" s="21"/>
      <c r="W19" s="23"/>
      <c r="X19" s="22"/>
      <c r="Y19" s="26"/>
    </row>
    <row r="20" spans="1:25" ht="15.75" thickBot="1" x14ac:dyDescent="0.3">
      <c r="A20" s="27"/>
      <c r="B20" s="29"/>
      <c r="C20" s="28"/>
      <c r="D20" s="29"/>
      <c r="E20" s="28"/>
      <c r="F20" s="29"/>
      <c r="G20" s="30"/>
      <c r="H20" s="28"/>
      <c r="I20" s="28"/>
      <c r="J20" s="27"/>
      <c r="K20" s="28"/>
      <c r="L20" s="29"/>
      <c r="M20" s="28"/>
      <c r="N20" s="29"/>
      <c r="O20" s="30"/>
      <c r="P20" s="28"/>
      <c r="Q20" s="28"/>
      <c r="R20" s="27"/>
      <c r="S20" s="28"/>
      <c r="T20" s="29"/>
      <c r="U20" s="28"/>
      <c r="V20" s="29"/>
      <c r="W20" s="30"/>
      <c r="X20" s="28"/>
      <c r="Y20" s="31"/>
    </row>
    <row r="21" spans="1:25" ht="15" customHeight="1" x14ac:dyDescent="0.25">
      <c r="A21" s="35"/>
      <c r="B21" s="62" t="s">
        <v>57</v>
      </c>
      <c r="C21" s="57"/>
      <c r="D21" s="57"/>
      <c r="E21" s="57"/>
      <c r="F21" s="57"/>
      <c r="G21" s="57"/>
      <c r="H21" s="57"/>
      <c r="I21" s="58"/>
      <c r="J21" s="59" t="s">
        <v>47</v>
      </c>
      <c r="K21" s="60"/>
      <c r="L21" s="60"/>
      <c r="M21" s="60"/>
      <c r="N21" s="60"/>
      <c r="O21" s="60"/>
      <c r="P21" s="60"/>
      <c r="Q21" s="61"/>
    </row>
    <row r="22" spans="1:25" x14ac:dyDescent="0.25">
      <c r="B22" s="46" t="s">
        <v>44</v>
      </c>
      <c r="C22" s="47" t="s">
        <v>2</v>
      </c>
      <c r="D22" s="46" t="s">
        <v>50</v>
      </c>
      <c r="E22" s="47" t="s">
        <v>2</v>
      </c>
      <c r="F22" s="46" t="s">
        <v>45</v>
      </c>
      <c r="G22" s="48" t="s">
        <v>2</v>
      </c>
      <c r="H22" s="49" t="s">
        <v>46</v>
      </c>
      <c r="I22" s="47" t="s">
        <v>2</v>
      </c>
      <c r="J22" s="50" t="s">
        <v>44</v>
      </c>
      <c r="K22" s="47" t="s">
        <v>2</v>
      </c>
      <c r="L22" s="46" t="s">
        <v>50</v>
      </c>
      <c r="M22" s="47" t="s">
        <v>2</v>
      </c>
      <c r="N22" s="46" t="s">
        <v>45</v>
      </c>
      <c r="O22" s="48" t="s">
        <v>2</v>
      </c>
      <c r="P22" s="49" t="s">
        <v>46</v>
      </c>
      <c r="Q22" s="52" t="s">
        <v>2</v>
      </c>
    </row>
    <row r="23" spans="1:25" x14ac:dyDescent="0.25">
      <c r="A23" s="23" t="s">
        <v>5</v>
      </c>
      <c r="B23" s="39">
        <f>J16*U2</f>
        <v>37.676646730625265</v>
      </c>
      <c r="C23" s="39">
        <f>K16*U2</f>
        <v>0.43518484041073197</v>
      </c>
      <c r="D23" s="36">
        <f>L16*U2</f>
        <v>20.839232522067995</v>
      </c>
      <c r="E23" s="39">
        <f>M16*U2</f>
        <v>0.24070396031360916</v>
      </c>
      <c r="F23" s="21">
        <f>N16*U2</f>
        <v>91665675451664.156</v>
      </c>
      <c r="G23" s="23">
        <f>O16*U2</f>
        <v>1058786166077.4817</v>
      </c>
      <c r="H23" s="38">
        <f>P16*U2</f>
        <v>1.8108832216649551</v>
      </c>
      <c r="I23" s="38">
        <f>Q16*U2</f>
        <v>2.0916641851307795E-2</v>
      </c>
      <c r="J23" s="41">
        <f>R16*U2</f>
        <v>37.676646730625265</v>
      </c>
      <c r="K23" s="42">
        <f>S16*U2</f>
        <v>0.43518484041073197</v>
      </c>
      <c r="L23" s="40">
        <f>T16*U2</f>
        <v>2083.9232522067996</v>
      </c>
      <c r="M23" s="42">
        <f>U16*U2</f>
        <v>24.070396031360914</v>
      </c>
      <c r="N23" s="43">
        <f>V16*U2</f>
        <v>9166567545166416</v>
      </c>
      <c r="O23" s="53">
        <f>W16*U2</f>
        <v>105878616607748.17</v>
      </c>
      <c r="P23" s="42">
        <f>X16*U2</f>
        <v>181.08832216649552</v>
      </c>
      <c r="Q23" s="45">
        <f>Y16*U2</f>
        <v>2.0916641851307793</v>
      </c>
    </row>
    <row r="24" spans="1:25" x14ac:dyDescent="0.25">
      <c r="A24" s="23" t="s">
        <v>4</v>
      </c>
      <c r="B24" s="39">
        <f>J17*U3</f>
        <v>42.891058866047047</v>
      </c>
      <c r="C24" s="39">
        <f>K17*U3</f>
        <v>1.027284635995142</v>
      </c>
      <c r="D24" s="36">
        <f>L17*U3</f>
        <v>23.723362517310388</v>
      </c>
      <c r="E24" s="39">
        <f>M17*U3</f>
        <v>0.56819874520440028</v>
      </c>
      <c r="F24" s="21">
        <f>N17*U3</f>
        <v>104352117902187.92</v>
      </c>
      <c r="G24" s="23">
        <f>O17*U3</f>
        <v>2499339729272.3691</v>
      </c>
      <c r="H24" s="38">
        <f>P17*U3</f>
        <v>2.0615077402000925</v>
      </c>
      <c r="I24" s="38">
        <f>Q17*U3</f>
        <v>4.9375214426544613E-2</v>
      </c>
      <c r="J24" s="41">
        <f>R17*U3</f>
        <v>42.891058866047047</v>
      </c>
      <c r="K24" s="42">
        <f>S17*U3</f>
        <v>1.027284635995142</v>
      </c>
      <c r="L24" s="40">
        <f>T17*U3</f>
        <v>2372.3362517310388</v>
      </c>
      <c r="M24" s="42">
        <f>U17*U3</f>
        <v>56.819874520440031</v>
      </c>
      <c r="N24" s="43">
        <f>V17*U3</f>
        <v>1.0435211790218792E+16</v>
      </c>
      <c r="O24" s="53">
        <f>W17*U3</f>
        <v>249933972927236.91</v>
      </c>
      <c r="P24" s="42">
        <f>X17*U3</f>
        <v>206.15077402000927</v>
      </c>
      <c r="Q24" s="45">
        <f>Y17*U3</f>
        <v>4.9375214426544609</v>
      </c>
    </row>
    <row r="25" spans="1:25" x14ac:dyDescent="0.25">
      <c r="A25" s="23" t="s">
        <v>58</v>
      </c>
      <c r="B25" s="39">
        <f>J18*U4</f>
        <v>3.7416947254581094</v>
      </c>
      <c r="C25" s="39">
        <f>K18*U4</f>
        <v>0.58765582122726778</v>
      </c>
      <c r="D25" s="36">
        <f>L18*U4</f>
        <v>24.932545683129682</v>
      </c>
      <c r="E25" s="39">
        <f>M18*U4</f>
        <v>3.9158073236218045</v>
      </c>
      <c r="F25" s="21">
        <f>N18*U4</f>
        <v>109670960211866.59</v>
      </c>
      <c r="G25" s="23">
        <f>O18*U4</f>
        <v>17224488611960.928</v>
      </c>
      <c r="H25" s="38">
        <f>P18*U4</f>
        <v>2.1665830832859316</v>
      </c>
      <c r="I25" s="38">
        <f>Q18*U4</f>
        <v>0.34027499688917484</v>
      </c>
      <c r="J25" s="41">
        <f>R18*U4</f>
        <v>3.7416947254581094</v>
      </c>
      <c r="K25" s="42">
        <f>S18*U4</f>
        <v>0.58765582122726778</v>
      </c>
      <c r="L25" s="40">
        <f>T18*U4</f>
        <v>2493.2545683129683</v>
      </c>
      <c r="M25" s="42">
        <f>U18*U4</f>
        <v>391.58073236218047</v>
      </c>
      <c r="N25" s="43">
        <f>V18*U4</f>
        <v>1.096709602118666E+16</v>
      </c>
      <c r="O25" s="53">
        <f>W18*U4</f>
        <v>1722448861196092.7</v>
      </c>
      <c r="P25" s="42">
        <f>X18*U4</f>
        <v>216.65830832859317</v>
      </c>
      <c r="Q25" s="45">
        <f>Y18*U4</f>
        <v>34.027499688917487</v>
      </c>
    </row>
    <row r="26" spans="1:25" ht="15.75" thickBot="1" x14ac:dyDescent="0.3">
      <c r="A26" s="30"/>
      <c r="B26" s="28"/>
      <c r="C26" s="28"/>
      <c r="D26" s="29"/>
      <c r="E26" s="28"/>
      <c r="F26" s="29"/>
      <c r="G26" s="30"/>
      <c r="H26" s="28"/>
      <c r="I26" s="28"/>
      <c r="J26" s="27"/>
      <c r="K26" s="28"/>
      <c r="L26" s="29"/>
      <c r="M26" s="28"/>
      <c r="N26" s="29"/>
      <c r="O26" s="30"/>
      <c r="P26" s="28"/>
      <c r="Q26" s="31"/>
    </row>
    <row r="30" spans="1:25" x14ac:dyDescent="0.25">
      <c r="A30" s="65"/>
      <c r="B30" s="65"/>
      <c r="C30" s="65"/>
      <c r="D30" s="65"/>
      <c r="E30" s="65"/>
    </row>
    <row r="31" spans="1:25" x14ac:dyDescent="0.25">
      <c r="A31" s="65"/>
      <c r="B31" s="65"/>
      <c r="C31" s="65"/>
      <c r="D31" s="65"/>
      <c r="E31" s="65"/>
    </row>
    <row r="32" spans="1:25" x14ac:dyDescent="0.25">
      <c r="A32" s="65"/>
      <c r="B32" s="65"/>
      <c r="C32" s="65"/>
      <c r="D32" s="65"/>
      <c r="E32" s="65"/>
      <c r="K32" s="18"/>
    </row>
    <row r="33" spans="1:11" x14ac:dyDescent="0.25">
      <c r="A33" s="4"/>
      <c r="K33" s="18"/>
    </row>
    <row r="34" spans="1:11" x14ac:dyDescent="0.25">
      <c r="A34" s="4"/>
      <c r="B34" s="9"/>
      <c r="C34" s="9"/>
    </row>
    <row r="36" spans="1:11" x14ac:dyDescent="0.25">
      <c r="A36" s="1"/>
      <c r="B36" s="9"/>
      <c r="C36" s="9"/>
    </row>
    <row r="37" spans="1:11" x14ac:dyDescent="0.25">
      <c r="B37" s="14"/>
      <c r="C37" s="14"/>
    </row>
    <row r="39" spans="1:11" x14ac:dyDescent="0.25">
      <c r="B39" s="9"/>
    </row>
    <row r="43" spans="1:11" x14ac:dyDescent="0.25">
      <c r="B43" s="18"/>
      <c r="C43" s="18"/>
    </row>
    <row r="45" spans="1:11" x14ac:dyDescent="0.25">
      <c r="B45" s="9"/>
      <c r="C45" s="9"/>
    </row>
    <row r="46" spans="1:11" x14ac:dyDescent="0.25">
      <c r="A46" s="4"/>
      <c r="B46" s="9"/>
      <c r="C46" s="9"/>
    </row>
    <row r="47" spans="1:11" x14ac:dyDescent="0.25">
      <c r="A47" s="13"/>
      <c r="B47" s="9"/>
      <c r="C47" s="9"/>
    </row>
    <row r="48" spans="1:11" x14ac:dyDescent="0.25">
      <c r="A48" s="13"/>
      <c r="B48" s="9"/>
      <c r="C48" s="9"/>
    </row>
    <row r="51" spans="1:3" x14ac:dyDescent="0.25">
      <c r="A51" s="13"/>
      <c r="B51" s="9"/>
      <c r="C51" s="9"/>
    </row>
    <row r="52" spans="1:3" x14ac:dyDescent="0.25">
      <c r="A52" s="13"/>
      <c r="B52" s="9"/>
      <c r="C52" s="9"/>
    </row>
    <row r="54" spans="1:3" x14ac:dyDescent="0.25">
      <c r="A54" s="4"/>
    </row>
    <row r="55" spans="1:3" x14ac:dyDescent="0.25">
      <c r="A55" s="4"/>
    </row>
  </sheetData>
  <mergeCells count="9">
    <mergeCell ref="E13:J13"/>
    <mergeCell ref="A31:E31"/>
    <mergeCell ref="A32:E32"/>
    <mergeCell ref="A30:E30"/>
    <mergeCell ref="J14:Q14"/>
    <mergeCell ref="R14:Y14"/>
    <mergeCell ref="J21:Q21"/>
    <mergeCell ref="B14:I14"/>
    <mergeCell ref="B21:I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I11" sqref="I11"/>
    </sheetView>
  </sheetViews>
  <sheetFormatPr defaultRowHeight="15" x14ac:dyDescent="0.25"/>
  <cols>
    <col min="1" max="1" width="11.7109375" customWidth="1"/>
    <col min="2" max="2" width="9" bestFit="1" customWidth="1"/>
    <col min="4" max="4" width="10" bestFit="1" customWidth="1"/>
    <col min="5" max="5" width="12" customWidth="1"/>
    <col min="6" max="6" width="13" customWidth="1"/>
    <col min="7" max="7" width="14.28515625" customWidth="1"/>
    <col min="9" max="9" width="10" bestFit="1" customWidth="1"/>
  </cols>
  <sheetData>
    <row r="1" spans="1:18" ht="105" x14ac:dyDescent="0.25">
      <c r="A1" s="4" t="s">
        <v>9</v>
      </c>
      <c r="B1">
        <f>(B2+B3)/2</f>
        <v>89924.08</v>
      </c>
      <c r="C1">
        <f>(1/2)*((C2^2+C3^2)^0.5)</f>
        <v>212.04254290118291</v>
      </c>
      <c r="H1" s="69" t="s">
        <v>32</v>
      </c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x14ac:dyDescent="0.25">
      <c r="A2" t="s">
        <v>23</v>
      </c>
      <c r="B2" s="4">
        <v>84528.18</v>
      </c>
      <c r="C2" s="4">
        <f>B2^0.5</f>
        <v>290.73730410802119</v>
      </c>
      <c r="H2" s="69" t="s">
        <v>33</v>
      </c>
      <c r="I2" s="69"/>
      <c r="J2" s="69"/>
      <c r="K2" s="69"/>
      <c r="L2" s="69"/>
      <c r="M2" s="69"/>
      <c r="N2" s="69"/>
      <c r="O2" s="69"/>
      <c r="P2" s="69"/>
      <c r="Q2" s="69"/>
      <c r="R2" s="69"/>
    </row>
    <row r="3" spans="1:18" x14ac:dyDescent="0.25">
      <c r="A3" t="s">
        <v>24</v>
      </c>
      <c r="B3">
        <v>95319.98000000001</v>
      </c>
      <c r="C3">
        <f>B3^0.5</f>
        <v>308.73933989694285</v>
      </c>
      <c r="H3" s="69" t="s">
        <v>34</v>
      </c>
      <c r="I3" s="69"/>
      <c r="J3" s="69"/>
      <c r="K3" s="69"/>
      <c r="L3" s="69"/>
      <c r="M3" s="69"/>
      <c r="N3" s="69"/>
      <c r="O3" s="69"/>
      <c r="P3" s="69"/>
      <c r="Q3" s="69"/>
      <c r="R3" s="69"/>
    </row>
    <row r="4" spans="1:18" x14ac:dyDescent="0.25">
      <c r="H4" s="69" t="s">
        <v>35</v>
      </c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18" x14ac:dyDescent="0.25">
      <c r="A5" s="65" t="s">
        <v>38</v>
      </c>
      <c r="B5" s="65"/>
      <c r="C5" s="65"/>
      <c r="D5" s="65"/>
      <c r="E5" s="65"/>
      <c r="H5" s="70" t="s">
        <v>36</v>
      </c>
      <c r="I5" s="70"/>
      <c r="J5" s="70"/>
      <c r="K5" s="70"/>
      <c r="L5" s="70"/>
      <c r="M5" s="70"/>
      <c r="N5" s="70"/>
      <c r="O5" s="70"/>
      <c r="P5" s="70"/>
      <c r="Q5" s="70"/>
      <c r="R5" s="70"/>
    </row>
    <row r="6" spans="1:18" x14ac:dyDescent="0.25">
      <c r="A6" s="66" t="s">
        <v>39</v>
      </c>
      <c r="B6" s="66"/>
      <c r="C6" s="66"/>
      <c r="D6" s="66"/>
      <c r="E6" s="66"/>
      <c r="H6" s="68" t="s">
        <v>37</v>
      </c>
      <c r="I6" s="68"/>
      <c r="J6" s="68"/>
      <c r="K6" s="68"/>
      <c r="L6" s="68"/>
      <c r="M6" s="68"/>
      <c r="N6" s="68"/>
      <c r="O6" s="68"/>
      <c r="P6" s="68"/>
      <c r="Q6" s="68"/>
      <c r="R6" s="68"/>
    </row>
    <row r="7" spans="1:18" x14ac:dyDescent="0.25">
      <c r="A7" s="67" t="s">
        <v>40</v>
      </c>
      <c r="B7" s="67"/>
      <c r="C7" s="67"/>
      <c r="D7" s="67"/>
      <c r="E7" s="67"/>
      <c r="H7" s="65" t="s">
        <v>42</v>
      </c>
      <c r="I7" s="65"/>
      <c r="J7" s="65"/>
      <c r="K7" s="65"/>
      <c r="L7" s="65"/>
      <c r="M7" s="65"/>
      <c r="N7" s="65"/>
      <c r="O7" s="65"/>
      <c r="P7" s="65"/>
      <c r="Q7" s="65"/>
      <c r="R7" s="65"/>
    </row>
    <row r="8" spans="1:18" x14ac:dyDescent="0.25">
      <c r="A8" s="65"/>
      <c r="B8" s="65"/>
      <c r="C8" s="65"/>
      <c r="D8" s="65"/>
      <c r="E8" s="65"/>
    </row>
    <row r="9" spans="1:18" x14ac:dyDescent="0.25">
      <c r="A9" s="65" t="s">
        <v>41</v>
      </c>
      <c r="B9" s="65"/>
      <c r="C9" s="65"/>
      <c r="D9" s="65"/>
      <c r="E9" s="65"/>
    </row>
    <row r="15" spans="1:18" x14ac:dyDescent="0.25">
      <c r="A15" t="s">
        <v>61</v>
      </c>
      <c r="B15" t="s">
        <v>62</v>
      </c>
      <c r="D15" t="s">
        <v>63</v>
      </c>
    </row>
    <row r="16" spans="1:18" ht="45" x14ac:dyDescent="0.25">
      <c r="A16" t="s">
        <v>60</v>
      </c>
      <c r="B16">
        <v>135</v>
      </c>
      <c r="C16">
        <v>136</v>
      </c>
      <c r="D16">
        <v>137</v>
      </c>
      <c r="E16">
        <v>138</v>
      </c>
      <c r="F16" s="4" t="s">
        <v>64</v>
      </c>
      <c r="G16" s="4" t="s">
        <v>65</v>
      </c>
    </row>
    <row r="17" spans="1:9" x14ac:dyDescent="0.25">
      <c r="A17" t="s">
        <v>59</v>
      </c>
      <c r="B17">
        <v>62511.279999999992</v>
      </c>
      <c r="C17">
        <v>76423.62</v>
      </c>
      <c r="D17">
        <v>109871.68000000001</v>
      </c>
      <c r="E17">
        <v>704422.12</v>
      </c>
      <c r="F17">
        <f>(11.48*0.06592)/(B17)</f>
        <v>1.2106000708992044E-5</v>
      </c>
      <c r="G17">
        <f>(11.48*0.11232)/D17</f>
        <v>1.1735813996837039E-5</v>
      </c>
    </row>
    <row r="18" spans="1:9" x14ac:dyDescent="0.25">
      <c r="B18">
        <v>72922.760000000009</v>
      </c>
      <c r="C18">
        <v>86101.1</v>
      </c>
      <c r="D18">
        <v>127701.5</v>
      </c>
      <c r="E18">
        <v>804716.1399999999</v>
      </c>
      <c r="F18">
        <f>(11.48*0.06592)/(B18)</f>
        <v>1.037757759031611E-5</v>
      </c>
      <c r="G18">
        <f>(11.48*0.11232)/D18</f>
        <v>1.00972470957663E-5</v>
      </c>
    </row>
    <row r="19" spans="1:9" x14ac:dyDescent="0.25">
      <c r="I19" t="s">
        <v>66</v>
      </c>
    </row>
    <row r="20" spans="1:9" x14ac:dyDescent="0.25">
      <c r="G20">
        <f>AVERAGE(G17:G18)</f>
        <v>1.091653054630167E-5</v>
      </c>
      <c r="I20">
        <f>((486*0.11232)/G20)/126.9</f>
        <v>39404.616723524021</v>
      </c>
    </row>
    <row r="21" spans="1:9" x14ac:dyDescent="0.25">
      <c r="I21" t="s">
        <v>67</v>
      </c>
    </row>
    <row r="22" spans="1:9" x14ac:dyDescent="0.25">
      <c r="I22">
        <f>(222*0.11232)/G20/110.7</f>
        <v>20633.733358087404</v>
      </c>
    </row>
    <row r="25" spans="1:9" x14ac:dyDescent="0.25">
      <c r="G25" t="s">
        <v>68</v>
      </c>
    </row>
    <row r="26" spans="1:9" x14ac:dyDescent="0.25">
      <c r="E26" s="9">
        <v>19125.820000000003</v>
      </c>
      <c r="F26" t="s">
        <v>58</v>
      </c>
      <c r="G26" s="9">
        <f>E26-I20</f>
        <v>-20278.796723524018</v>
      </c>
    </row>
    <row r="27" spans="1:9" x14ac:dyDescent="0.25">
      <c r="E27" s="9">
        <v>37988.080000000002</v>
      </c>
      <c r="F27" t="s">
        <v>5</v>
      </c>
      <c r="G27" s="9">
        <f>E27-I22</f>
        <v>17354.346641912598</v>
      </c>
      <c r="H27" s="9">
        <f>G27*G17</f>
        <v>0.20366738422611974</v>
      </c>
    </row>
  </sheetData>
  <mergeCells count="12">
    <mergeCell ref="H7:R7"/>
    <mergeCell ref="H6:R6"/>
    <mergeCell ref="H1:R1"/>
    <mergeCell ref="H2:R2"/>
    <mergeCell ref="H3:R3"/>
    <mergeCell ref="H4:R4"/>
    <mergeCell ref="H5:R5"/>
    <mergeCell ref="A5:E5"/>
    <mergeCell ref="A6:E6"/>
    <mergeCell ref="A7:E7"/>
    <mergeCell ref="A8:E8"/>
    <mergeCell ref="A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 137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2014-08-06T18:07:44Z</cp:lastPrinted>
  <dcterms:created xsi:type="dcterms:W3CDTF">2014-07-30T17:02:26Z</dcterms:created>
  <dcterms:modified xsi:type="dcterms:W3CDTF">2015-05-11T17:05:50Z</dcterms:modified>
</cp:coreProperties>
</file>