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Masters Experiment &amp; Research\Results_Cal\Isotopes_Mass_Spec\"/>
    </mc:Choice>
  </mc:AlternateContent>
  <bookViews>
    <workbookView xWindow="0" yWindow="0" windowWidth="19200" windowHeight="11595"/>
  </bookViews>
  <sheets>
    <sheet name="Nd148" sheetId="4" r:id="rId1"/>
    <sheet name="Note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4" l="1"/>
  <c r="Y3" i="4"/>
  <c r="X4" i="4"/>
  <c r="X3" i="4"/>
  <c r="Q8" i="4" l="1"/>
  <c r="Q9" i="4"/>
  <c r="Q7" i="4"/>
  <c r="F15" i="4"/>
  <c r="F14" i="4"/>
  <c r="B14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15" i="4"/>
  <c r="C15" i="4"/>
  <c r="D15" i="4"/>
  <c r="E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T14" i="4"/>
  <c r="S14" i="4"/>
  <c r="R14" i="4"/>
  <c r="Q14" i="4"/>
  <c r="P14" i="4"/>
  <c r="O14" i="4"/>
  <c r="N14" i="4"/>
  <c r="M14" i="4"/>
  <c r="L14" i="4"/>
  <c r="K14" i="4"/>
  <c r="J14" i="4"/>
  <c r="E8" i="4"/>
  <c r="I14" i="4"/>
  <c r="H14" i="4"/>
  <c r="G14" i="4"/>
  <c r="E14" i="4"/>
  <c r="D14" i="4"/>
  <c r="C14" i="4"/>
  <c r="F7" i="4"/>
  <c r="Z3" i="4" l="1"/>
  <c r="Z4" i="4"/>
  <c r="AA4" i="4" s="1"/>
  <c r="AB4" i="4" s="1"/>
  <c r="AA3" i="4"/>
  <c r="AB3" i="4" s="1"/>
  <c r="Z2" i="4"/>
  <c r="AA2" i="4" s="1"/>
  <c r="AB2" i="4" s="1"/>
  <c r="W4" i="4" l="1"/>
  <c r="W3" i="4"/>
  <c r="W2" i="4"/>
  <c r="O18" i="5"/>
  <c r="N18" i="5"/>
  <c r="M18" i="5"/>
  <c r="L18" i="5"/>
  <c r="K18" i="5"/>
  <c r="J18" i="5"/>
  <c r="I18" i="5"/>
  <c r="I19" i="5" s="1"/>
  <c r="I20" i="5" s="1"/>
  <c r="U2" i="5"/>
  <c r="T2" i="5"/>
  <c r="S2" i="5"/>
  <c r="U3" i="5" s="1"/>
  <c r="R2" i="5"/>
  <c r="T3" i="5" s="1"/>
  <c r="Q2" i="5"/>
  <c r="P2" i="5"/>
  <c r="O2" i="5"/>
  <c r="Q3" i="5" s="1"/>
  <c r="N2" i="5"/>
  <c r="P3" i="5" s="1"/>
  <c r="B9" i="4" l="1"/>
  <c r="B8" i="4"/>
  <c r="V14" i="4" l="1"/>
  <c r="U14" i="4"/>
  <c r="X14" i="4"/>
  <c r="C4" i="4"/>
  <c r="Y14" i="4" l="1"/>
  <c r="W14" i="4"/>
  <c r="H2" i="4"/>
  <c r="H7" i="4" l="1"/>
  <c r="I2" i="4"/>
  <c r="I3" i="4" s="1"/>
  <c r="H3" i="4"/>
  <c r="I4" i="4" l="1"/>
  <c r="F8" i="4"/>
  <c r="H8" i="4" s="1"/>
  <c r="H4" i="4"/>
  <c r="F9" i="4" s="1"/>
  <c r="H9" i="4" s="1"/>
  <c r="K9" i="4" s="1"/>
  <c r="M9" i="4" s="1"/>
  <c r="O9" i="4" s="1"/>
  <c r="C2" i="4"/>
  <c r="G7" i="4" s="1"/>
  <c r="I7" i="4" s="1"/>
  <c r="L7" i="4" l="1"/>
  <c r="K8" i="4"/>
  <c r="M8" i="4" s="1"/>
  <c r="G9" i="4"/>
  <c r="I9" i="4" s="1"/>
  <c r="L9" i="4" s="1"/>
  <c r="N9" i="4" s="1"/>
  <c r="P9" i="4" s="1"/>
  <c r="R9" i="4" s="1"/>
  <c r="D8" i="4"/>
  <c r="O8" i="4" s="1"/>
  <c r="E7" i="4"/>
  <c r="D7" i="4"/>
  <c r="B7" i="4"/>
  <c r="C3" i="4"/>
  <c r="G8" i="4" s="1"/>
  <c r="I8" i="4" s="1"/>
  <c r="K7" i="4" l="1"/>
  <c r="M7" i="4" s="1"/>
  <c r="N7" i="4"/>
  <c r="P7" i="4" s="1"/>
  <c r="R7" i="4" s="1"/>
  <c r="L8" i="4"/>
  <c r="N8" i="4" s="1"/>
  <c r="P8" i="4" l="1"/>
  <c r="R8" i="4" s="1"/>
  <c r="O7" i="4"/>
</calcChain>
</file>

<file path=xl/sharedStrings.xml><?xml version="1.0" encoding="utf-8"?>
<sst xmlns="http://schemas.openxmlformats.org/spreadsheetml/2006/main" count="142" uniqueCount="87">
  <si>
    <t>±</t>
  </si>
  <si>
    <t>Volume Correction (ml)</t>
  </si>
  <si>
    <t>24G</t>
  </si>
  <si>
    <t>30G</t>
  </si>
  <si>
    <t>Vial</t>
  </si>
  <si>
    <t>Ce</t>
  </si>
  <si>
    <t>ppb/cps Estimate</t>
  </si>
  <si>
    <t>Total aliquot (g)</t>
  </si>
  <si>
    <t>Total dilution mass (g)</t>
  </si>
  <si>
    <t>DF initial</t>
  </si>
  <si>
    <t>volume total of tube (ml)</t>
  </si>
  <si>
    <t>Volume Sent (µL)</t>
  </si>
  <si>
    <t>Volume sent (L)</t>
  </si>
  <si>
    <t>Nitric Acid</t>
  </si>
  <si>
    <t>Iron Sulfamate</t>
  </si>
  <si>
    <t>density estimate (g/cc)</t>
  </si>
  <si>
    <t>volume estimate measured (ml)</t>
  </si>
  <si>
    <t>Multiplying Factor  to tube estimate</t>
  </si>
  <si>
    <t>Multiplying Factor to Original Aliquot</t>
  </si>
  <si>
    <t>Dilution by James</t>
  </si>
  <si>
    <t>total grams</t>
  </si>
  <si>
    <t>[to 4.5] Initial (Paul)</t>
  </si>
  <si>
    <t>[to 5] Initial (Second)</t>
  </si>
  <si>
    <t>V2/V1</t>
  </si>
  <si>
    <t>Original Concentration (ppb)</t>
  </si>
  <si>
    <t>Mass per Aliquot (ng)</t>
  </si>
  <si>
    <t>total in sample (ng)</t>
  </si>
  <si>
    <t>total atoms</t>
  </si>
  <si>
    <t>1. Assuming No Error in Volume Estimate (Consequently Mass Estimate)</t>
  </si>
  <si>
    <t>2. Assuming all losses in 30G were from evaporation</t>
  </si>
  <si>
    <t>3. Assuming loss of 0.01 g of 24 G from centrifuge (changes concentration change)</t>
  </si>
  <si>
    <t>5. Didn't consider Matts Corrections (some of this mass is decayed Ba 137)</t>
  </si>
  <si>
    <t>Notes</t>
  </si>
  <si>
    <r>
      <t>Mass Chain: Sm148,Pm148</t>
    </r>
    <r>
      <rPr>
        <sz val="11"/>
        <color rgb="FFFF0000"/>
        <rFont val="Calibri"/>
        <family val="2"/>
        <scheme val="minor"/>
      </rPr>
      <t>,Nd148</t>
    </r>
    <r>
      <rPr>
        <sz val="11"/>
        <color theme="1"/>
        <rFont val="Calibri"/>
        <family val="2"/>
        <scheme val="minor"/>
      </rPr>
      <t>,Pr148</t>
    </r>
  </si>
  <si>
    <t>Sm148 Has very small direct fission yeild</t>
  </si>
  <si>
    <t>Pm 148 as well (all decayed away)</t>
  </si>
  <si>
    <t>Nd is the isotope in question</t>
  </si>
  <si>
    <t xml:space="preserve">Pr148 small half life, decays to Nd. </t>
  </si>
  <si>
    <t>Other masses with less protons are more unstable.</t>
  </si>
  <si>
    <t>They decay more quickly.</t>
  </si>
  <si>
    <t>Contaminates:</t>
  </si>
  <si>
    <t>Nd Itself is a contaminate (up to 5 ppb - total Nd)</t>
  </si>
  <si>
    <t xml:space="preserve">Sm doesn't have much contaminate </t>
  </si>
  <si>
    <t>Results could be messed up based on neutron absorption</t>
  </si>
  <si>
    <r>
      <t xml:space="preserve">MS-B </t>
    </r>
    <r>
      <rPr>
        <sz val="11"/>
        <color rgb="FFFF0000"/>
        <rFont val="Calibri"/>
        <family val="2"/>
        <scheme val="minor"/>
      </rPr>
      <t>Nd, Sm,</t>
    </r>
    <r>
      <rPr>
        <sz val="11"/>
        <color theme="1"/>
        <rFont val="Calibri"/>
        <family val="2"/>
        <scheme val="minor"/>
      </rPr>
      <t xml:space="preserve"> 10.19 ppb</t>
    </r>
  </si>
  <si>
    <t>Nd Part</t>
  </si>
  <si>
    <t>Sm Part</t>
  </si>
  <si>
    <t>???</t>
  </si>
  <si>
    <t>Nd 148 G1</t>
  </si>
  <si>
    <t>Nd 148 G2</t>
  </si>
  <si>
    <t>Nd 148 G3</t>
  </si>
  <si>
    <t>Nd 148 G4</t>
  </si>
  <si>
    <t>Avg1</t>
  </si>
  <si>
    <t>Avg2</t>
  </si>
  <si>
    <t>4. Assuming no error in mass of isotopes…I am not doing that propagation</t>
  </si>
  <si>
    <t>total</t>
  </si>
  <si>
    <t>sum</t>
  </si>
  <si>
    <t>148 part</t>
  </si>
  <si>
    <t>Atomic Mass</t>
  </si>
  <si>
    <t>Atomic % Abundance</t>
  </si>
  <si>
    <t>Mass Number</t>
  </si>
  <si>
    <t>ppb Nd 148</t>
  </si>
  <si>
    <t>6. Ignore capture from Nd 147</t>
  </si>
  <si>
    <t xml:space="preserve">Can ignore capture from other isotopes in chain, short lived and low half lives. </t>
  </si>
  <si>
    <t>Ignored capture from Nd148…which is slightly wrong…but not terribly, equation gets hard to solve quickly if not</t>
  </si>
  <si>
    <t>87G</t>
  </si>
  <si>
    <t>Mass</t>
  </si>
  <si>
    <t>Avogadro</t>
  </si>
  <si>
    <t>λ (s)</t>
  </si>
  <si>
    <t>BR</t>
  </si>
  <si>
    <r>
      <t xml:space="preserve">DPS to </t>
    </r>
    <r>
      <rPr>
        <sz val="11"/>
        <color theme="1"/>
        <rFont val="Calibri"/>
        <family val="2"/>
      </rPr>
      <t>μCi</t>
    </r>
  </si>
  <si>
    <t>Yield % (corrected)</t>
  </si>
  <si>
    <t>Original Vial (Evaporation Corrected)</t>
  </si>
  <si>
    <t>ppb</t>
  </si>
  <si>
    <t>ng</t>
  </si>
  <si>
    <t>#atoms</t>
  </si>
  <si>
    <t>activity</t>
  </si>
  <si>
    <t>To Original Stock (0.5 ml) (1/100th corrected, Evap Corrected)</t>
  </si>
  <si>
    <t>Estimated total (corrected to all of stock)</t>
  </si>
  <si>
    <r>
      <t>activity (</t>
    </r>
    <r>
      <rPr>
        <sz val="11"/>
        <color rgb="FF000000"/>
        <rFont val="Calibri"/>
        <family val="2"/>
      </rPr>
      <t>μ</t>
    </r>
    <r>
      <rPr>
        <sz val="11"/>
        <color theme="1"/>
        <rFont val="Calibri"/>
        <family val="2"/>
        <scheme val="minor"/>
      </rPr>
      <t>Ci)</t>
    </r>
  </si>
  <si>
    <t>Decay to Date</t>
  </si>
  <si>
    <t>Date Assy</t>
  </si>
  <si>
    <t>Days Passed</t>
  </si>
  <si>
    <t>Seconds Passed</t>
  </si>
  <si>
    <t>Decay Correction</t>
  </si>
  <si>
    <t>Estimated total (vial to all of stock) (1/100th corrected) (Evap Corrected)</t>
  </si>
  <si>
    <t>Corrected 1/100th vial (Evaporation Corrected) (TK Dillution 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</si>
</sst>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"/>
    <numFmt numFmtId="167" formatCode="&quot;$&quot;#,##0.00"/>
    <numFmt numFmtId="168" formatCode="0.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164" fontId="0" fillId="2" borderId="0" xfId="0" applyNumberFormat="1" applyFill="1"/>
    <xf numFmtId="165" fontId="0" fillId="2" borderId="0" xfId="0" applyNumberFormat="1" applyFill="1"/>
    <xf numFmtId="0" fontId="5" fillId="0" borderId="0" xfId="0" applyFont="1"/>
    <xf numFmtId="0" fontId="2" fillId="0" borderId="0" xfId="0" applyFont="1"/>
    <xf numFmtId="0" fontId="3" fillId="2" borderId="0" xfId="0" applyFont="1" applyFill="1"/>
    <xf numFmtId="2" fontId="0" fillId="2" borderId="0" xfId="0" applyNumberFormat="1" applyFill="1"/>
    <xf numFmtId="0" fontId="0" fillId="2" borderId="0" xfId="0" applyNumberFormat="1" applyFill="1"/>
    <xf numFmtId="0" fontId="1" fillId="0" borderId="7" xfId="0" applyFont="1" applyFill="1" applyBorder="1"/>
    <xf numFmtId="0" fontId="1" fillId="0" borderId="23" xfId="0" applyFont="1" applyFill="1" applyBorder="1"/>
    <xf numFmtId="0" fontId="1" fillId="0" borderId="13" xfId="0" applyFont="1" applyFill="1" applyBorder="1"/>
    <xf numFmtId="0" fontId="7" fillId="0" borderId="8" xfId="0" applyFont="1" applyFill="1" applyBorder="1"/>
    <xf numFmtId="0" fontId="7" fillId="0" borderId="9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0" fontId="7" fillId="0" borderId="7" xfId="0" applyFont="1" applyFill="1" applyBorder="1"/>
    <xf numFmtId="2" fontId="1" fillId="0" borderId="12" xfId="0" applyNumberFormat="1" applyFont="1" applyFill="1" applyBorder="1"/>
    <xf numFmtId="2" fontId="1" fillId="0" borderId="0" xfId="0" applyNumberFormat="1" applyFont="1" applyFill="1" applyBorder="1"/>
    <xf numFmtId="166" fontId="1" fillId="0" borderId="12" xfId="0" applyNumberFormat="1" applyFont="1" applyFill="1" applyBorder="1"/>
    <xf numFmtId="0" fontId="1" fillId="0" borderId="12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166" fontId="1" fillId="0" borderId="13" xfId="0" applyNumberFormat="1" applyFont="1" applyFill="1" applyBorder="1"/>
    <xf numFmtId="166" fontId="1" fillId="0" borderId="0" xfId="0" applyNumberFormat="1" applyFont="1" applyFill="1" applyBorder="1"/>
    <xf numFmtId="165" fontId="1" fillId="0" borderId="0" xfId="0" applyNumberFormat="1" applyFont="1" applyFill="1" applyBorder="1"/>
    <xf numFmtId="167" fontId="1" fillId="0" borderId="12" xfId="0" applyNumberFormat="1" applyFont="1" applyFill="1" applyBorder="1"/>
    <xf numFmtId="0" fontId="1" fillId="0" borderId="18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24" xfId="0" applyFont="1" applyFill="1" applyBorder="1"/>
    <xf numFmtId="0" fontId="7" fillId="0" borderId="11" xfId="0" applyFont="1" applyFill="1" applyBorder="1"/>
    <xf numFmtId="11" fontId="1" fillId="0" borderId="12" xfId="0" applyNumberFormat="1" applyFont="1" applyFill="1" applyBorder="1"/>
    <xf numFmtId="168" fontId="1" fillId="0" borderId="2" xfId="0" applyNumberFormat="1" applyFont="1" applyFill="1" applyBorder="1"/>
    <xf numFmtId="166" fontId="1" fillId="0" borderId="14" xfId="0" applyNumberFormat="1" applyFont="1" applyFill="1" applyBorder="1"/>
    <xf numFmtId="0" fontId="1" fillId="0" borderId="14" xfId="0" applyFont="1" applyFill="1" applyBorder="1"/>
    <xf numFmtId="0" fontId="1" fillId="0" borderId="19" xfId="0" applyFont="1" applyFill="1" applyBorder="1"/>
    <xf numFmtId="14" fontId="0" fillId="0" borderId="0" xfId="0" applyNumberFormat="1"/>
    <xf numFmtId="11" fontId="1" fillId="0" borderId="2" xfId="0" applyNumberFormat="1" applyFont="1" applyFill="1" applyBorder="1"/>
    <xf numFmtId="11" fontId="1" fillId="0" borderId="0" xfId="0" applyNumberFormat="1" applyFont="1" applyFill="1" applyBorder="1"/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20" xfId="0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 wrapText="1"/>
    </xf>
    <xf numFmtId="0" fontId="1" fillId="0" borderId="22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abSelected="1" topLeftCell="E1" zoomScale="85" zoomScaleNormal="85" workbookViewId="0">
      <selection activeCell="Y5" sqref="Y5"/>
    </sheetView>
  </sheetViews>
  <sheetFormatPr defaultRowHeight="15" x14ac:dyDescent="0.25"/>
  <cols>
    <col min="1" max="1" width="21.7109375" customWidth="1"/>
    <col min="2" max="2" width="12" bestFit="1" customWidth="1"/>
    <col min="4" max="4" width="11.140625" bestFit="1" customWidth="1"/>
    <col min="6" max="9" width="12" bestFit="1" customWidth="1"/>
    <col min="14" max="15" width="12" bestFit="1" customWidth="1"/>
    <col min="17" max="18" width="12" bestFit="1" customWidth="1"/>
    <col min="24" max="24" width="10.7109375" bestFit="1" customWidth="1"/>
    <col min="25" max="25" width="9.7109375" bestFit="1" customWidth="1"/>
  </cols>
  <sheetData>
    <row r="1" spans="1:28" ht="75" x14ac:dyDescent="0.25">
      <c r="A1" t="s">
        <v>4</v>
      </c>
      <c r="B1">
        <v>148</v>
      </c>
      <c r="C1" s="2" t="s">
        <v>0</v>
      </c>
      <c r="E1" s="2"/>
      <c r="F1" s="2"/>
      <c r="G1" s="2"/>
      <c r="H1" s="3" t="s">
        <v>6</v>
      </c>
      <c r="I1" s="2" t="s">
        <v>0</v>
      </c>
      <c r="J1" s="9" t="s">
        <v>7</v>
      </c>
      <c r="K1" s="9" t="s">
        <v>8</v>
      </c>
      <c r="L1" s="9" t="s">
        <v>9</v>
      </c>
      <c r="M1" s="10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66</v>
      </c>
      <c r="W1" s="11" t="s">
        <v>67</v>
      </c>
      <c r="X1" s="11" t="s">
        <v>80</v>
      </c>
      <c r="Y1" s="11" t="s">
        <v>81</v>
      </c>
      <c r="Z1" s="11" t="s">
        <v>82</v>
      </c>
      <c r="AA1" s="11" t="s">
        <v>83</v>
      </c>
      <c r="AB1" s="11" t="s">
        <v>84</v>
      </c>
    </row>
    <row r="2" spans="1:28" x14ac:dyDescent="0.25">
      <c r="A2" t="s">
        <v>3</v>
      </c>
      <c r="B2" s="14">
        <v>12497.460000000001</v>
      </c>
      <c r="C2" s="8">
        <f>B2^0.5</f>
        <v>111.79203907255651</v>
      </c>
      <c r="D2" s="8"/>
      <c r="E2" s="8"/>
      <c r="F2" s="8"/>
      <c r="H2" s="21">
        <f>(10.19*Notes!I20)/(Notes!R2)</f>
        <v>1.0991468780839178E-5</v>
      </c>
      <c r="I2" s="14">
        <f>((10.19*Notes!I20)*Notes!Q3)/(Notes!P3^2)</f>
        <v>5.8099696803242105E-8</v>
      </c>
      <c r="J2">
        <v>4.4299999999999999E-2</v>
      </c>
      <c r="K2">
        <v>4.9031000000000002</v>
      </c>
      <c r="L2" s="6">
        <v>110.67945823927766</v>
      </c>
      <c r="M2">
        <v>0.5</v>
      </c>
      <c r="N2">
        <v>50</v>
      </c>
      <c r="O2">
        <v>5.0000000000000002E-5</v>
      </c>
      <c r="P2">
        <v>4</v>
      </c>
      <c r="Q2">
        <v>0</v>
      </c>
      <c r="R2" s="17">
        <v>1.1062148216671805</v>
      </c>
      <c r="S2">
        <v>4.0046471202795225E-2</v>
      </c>
      <c r="T2">
        <v>12.485494601209712</v>
      </c>
      <c r="U2">
        <v>1</v>
      </c>
      <c r="V2">
        <v>147.9168885</v>
      </c>
      <c r="W2">
        <f>6.0221413E+23</f>
        <v>6.0221413000000002E+23</v>
      </c>
      <c r="X2" s="53">
        <v>41964</v>
      </c>
      <c r="Y2" s="53">
        <v>42060</v>
      </c>
      <c r="Z2">
        <f>Y2-X2</f>
        <v>96</v>
      </c>
      <c r="AA2">
        <f>Z2*24*3600</f>
        <v>8294400</v>
      </c>
      <c r="AB2">
        <f>EXP(-AA2*S7)</f>
        <v>1</v>
      </c>
    </row>
    <row r="3" spans="1:28" x14ac:dyDescent="0.25">
      <c r="A3" t="s">
        <v>2</v>
      </c>
      <c r="B3" s="14">
        <v>10505.22</v>
      </c>
      <c r="C3" s="8">
        <f>B3^0.5</f>
        <v>102.49497548660617</v>
      </c>
      <c r="D3" s="8"/>
      <c r="E3" s="8"/>
      <c r="F3" s="8"/>
      <c r="H3" s="14">
        <f>H2</f>
        <v>1.0991468780839178E-5</v>
      </c>
      <c r="I3" s="14">
        <f>I2</f>
        <v>5.8099696803242105E-8</v>
      </c>
      <c r="J3">
        <v>2.7699999999999999E-2</v>
      </c>
      <c r="K3">
        <v>4.9138999999999999</v>
      </c>
      <c r="L3" s="6">
        <v>177.39711191335741</v>
      </c>
      <c r="M3">
        <v>0.5</v>
      </c>
      <c r="N3">
        <v>50</v>
      </c>
      <c r="O3">
        <v>5.0000000000000002E-5</v>
      </c>
      <c r="P3">
        <v>4</v>
      </c>
      <c r="Q3">
        <v>0</v>
      </c>
      <c r="R3" s="17">
        <v>1.1062148216671805</v>
      </c>
      <c r="S3">
        <v>2.5040344296104463E-2</v>
      </c>
      <c r="T3">
        <v>19.967776564389542</v>
      </c>
      <c r="U3">
        <v>1</v>
      </c>
      <c r="V3">
        <v>147.9168885</v>
      </c>
      <c r="W3">
        <f>6.0221413E+23</f>
        <v>6.0221413000000002E+23</v>
      </c>
      <c r="X3" s="53">
        <f>X2</f>
        <v>41964</v>
      </c>
      <c r="Y3" s="53">
        <f>Y2</f>
        <v>42060</v>
      </c>
      <c r="Z3">
        <f>Y3-X3</f>
        <v>96</v>
      </c>
      <c r="AA3">
        <f t="shared" ref="AA3:AA4" si="0">Z3*24*3600</f>
        <v>8294400</v>
      </c>
      <c r="AB3">
        <f>EXP(-AA3*S8)</f>
        <v>1</v>
      </c>
    </row>
    <row r="4" spans="1:28" x14ac:dyDescent="0.25">
      <c r="A4" t="s">
        <v>65</v>
      </c>
      <c r="B4" s="8">
        <v>4475.2</v>
      </c>
      <c r="C4" s="8">
        <f>B4^0.5</f>
        <v>66.896935654781672</v>
      </c>
      <c r="D4" s="8"/>
      <c r="E4" s="8"/>
      <c r="F4" s="8"/>
      <c r="H4">
        <f>H3</f>
        <v>1.0991468780839178E-5</v>
      </c>
      <c r="I4">
        <f>I3</f>
        <v>5.8099696803242105E-8</v>
      </c>
      <c r="J4">
        <v>1.34E-2</v>
      </c>
      <c r="K4">
        <v>5.0464000000000002</v>
      </c>
      <c r="L4">
        <v>376.59701492537312</v>
      </c>
      <c r="M4">
        <v>0.5</v>
      </c>
      <c r="N4">
        <v>50</v>
      </c>
      <c r="O4">
        <v>5.0000000000000002E-5</v>
      </c>
      <c r="P4">
        <v>4</v>
      </c>
      <c r="Q4">
        <v>0</v>
      </c>
      <c r="R4">
        <v>1.1062148216671805</v>
      </c>
      <c r="S4">
        <v>1.2113379551184109E-2</v>
      </c>
      <c r="T4">
        <v>41.276672450267931</v>
      </c>
      <c r="U4">
        <v>1</v>
      </c>
      <c r="V4">
        <v>147.9168885</v>
      </c>
      <c r="W4">
        <f>6.0221413E+23</f>
        <v>6.0221413000000002E+23</v>
      </c>
      <c r="X4" s="53">
        <f>X3</f>
        <v>41964</v>
      </c>
      <c r="Y4" s="53">
        <f>Y3</f>
        <v>42060</v>
      </c>
      <c r="Z4">
        <f t="shared" ref="Z4" si="1">Y4-X4</f>
        <v>96</v>
      </c>
      <c r="AA4">
        <f t="shared" si="0"/>
        <v>8294400</v>
      </c>
      <c r="AB4">
        <f>EXP(-AA4*S9)</f>
        <v>1</v>
      </c>
    </row>
    <row r="5" spans="1:28" x14ac:dyDescent="0.25">
      <c r="D5" s="16"/>
    </row>
    <row r="6" spans="1:28" ht="60" x14ac:dyDescent="0.25">
      <c r="B6" s="12" t="s">
        <v>20</v>
      </c>
      <c r="C6" s="13" t="s">
        <v>1</v>
      </c>
      <c r="D6" s="15" t="s">
        <v>21</v>
      </c>
      <c r="E6" s="15" t="s">
        <v>22</v>
      </c>
      <c r="F6" s="3" t="s">
        <v>61</v>
      </c>
      <c r="G6" s="2" t="s">
        <v>0</v>
      </c>
      <c r="H6" s="4" t="s">
        <v>19</v>
      </c>
      <c r="I6" s="2" t="s">
        <v>0</v>
      </c>
      <c r="J6" t="s">
        <v>23</v>
      </c>
      <c r="K6" s="4" t="s">
        <v>24</v>
      </c>
      <c r="L6" s="2" t="s">
        <v>0</v>
      </c>
      <c r="M6" s="12" t="s">
        <v>25</v>
      </c>
      <c r="N6" s="2" t="s">
        <v>0</v>
      </c>
      <c r="O6" s="12" t="s">
        <v>26</v>
      </c>
      <c r="P6" s="2" t="s">
        <v>0</v>
      </c>
      <c r="Q6" s="15" t="s">
        <v>27</v>
      </c>
      <c r="R6" s="2" t="s">
        <v>0</v>
      </c>
      <c r="S6" s="2" t="s">
        <v>68</v>
      </c>
      <c r="T6" t="s">
        <v>71</v>
      </c>
      <c r="U6" t="s">
        <v>69</v>
      </c>
      <c r="V6" t="s">
        <v>70</v>
      </c>
    </row>
    <row r="7" spans="1:28" x14ac:dyDescent="0.25">
      <c r="A7" t="s">
        <v>3</v>
      </c>
      <c r="B7">
        <f>R2*M2</f>
        <v>0.55310741083359027</v>
      </c>
      <c r="C7" s="14">
        <v>5.1669999999999998</v>
      </c>
      <c r="D7" s="14">
        <f>(5.167/0.5)*(4.5/0.5)</f>
        <v>93.006</v>
      </c>
      <c r="E7" s="14">
        <f>(5.167/0.5)*(5/0.5)</f>
        <v>103.34</v>
      </c>
      <c r="F7" s="6">
        <f>B2*H2</f>
        <v>0.13736544142978641</v>
      </c>
      <c r="G7">
        <f>((B2^2)*(I2^2)+(H2^2)*(C2^2))^0.5</f>
        <v>1.4272586280769048E-3</v>
      </c>
      <c r="H7" s="22">
        <f>F7*L2-4.88*0.059067351</f>
        <v>14.915283965367987</v>
      </c>
      <c r="I7" s="6">
        <f>G7*L2</f>
        <v>0.15796821172288653</v>
      </c>
      <c r="J7" s="18">
        <v>0.996</v>
      </c>
      <c r="K7" s="7">
        <f>H7*J7</f>
        <v>14.855622829506515</v>
      </c>
      <c r="L7" s="6">
        <f>I7*J7</f>
        <v>0.15733633887599499</v>
      </c>
      <c r="M7" s="7">
        <f>K7*B7</f>
        <v>8.2167550795487223</v>
      </c>
      <c r="N7" s="5">
        <f>L7*B7</f>
        <v>8.7023895025737943E-2</v>
      </c>
      <c r="O7" s="14">
        <f>M7*E7</f>
        <v>849.11946992056494</v>
      </c>
      <c r="P7" s="7">
        <f>E7*N7</f>
        <v>8.9930493119597585</v>
      </c>
      <c r="Q7">
        <f>(O7*W2)/(10^9*V2)</f>
        <v>3457020682559004.5</v>
      </c>
      <c r="R7">
        <f t="shared" ref="R7:R9" si="2">(P7*6.0221413E+23)/(10^9*147.9168885)</f>
        <v>36613407856053.875</v>
      </c>
      <c r="S7" s="14">
        <v>0</v>
      </c>
      <c r="T7" s="23">
        <v>2.3883399999999999E-2</v>
      </c>
      <c r="U7" s="14">
        <v>1</v>
      </c>
      <c r="V7" s="1">
        <v>37000</v>
      </c>
    </row>
    <row r="8" spans="1:28" x14ac:dyDescent="0.25">
      <c r="A8" t="s">
        <v>2</v>
      </c>
      <c r="B8">
        <f>R3*M3</f>
        <v>0.55310741083359027</v>
      </c>
      <c r="C8" s="14">
        <v>5.1669999999999998</v>
      </c>
      <c r="D8" s="14">
        <f>(5.167/0.5)*(4.5/0.5)</f>
        <v>93.006</v>
      </c>
      <c r="E8" s="14">
        <f>(5.167/0.5)*(4.5/0.5)</f>
        <v>93.006</v>
      </c>
      <c r="F8" s="6">
        <f>B3*H3</f>
        <v>0.11546779766584735</v>
      </c>
      <c r="G8">
        <f>((B3^2)*(I3^2)+(H3^2)*(C3^2))^0.5</f>
        <v>1.2812837054933907E-3</v>
      </c>
      <c r="H8" s="22">
        <f>F8*L3-4.88*0.059067351</f>
        <v>20.195405152037232</v>
      </c>
      <c r="I8" s="6">
        <f>G8*L3</f>
        <v>0.22729602889617231</v>
      </c>
      <c r="J8" s="18">
        <v>0.996</v>
      </c>
      <c r="K8" s="7">
        <f>H8*J8</f>
        <v>20.114623531429082</v>
      </c>
      <c r="L8" s="6">
        <f>I8*J8</f>
        <v>0.22638684478058763</v>
      </c>
      <c r="M8" s="7">
        <f>K8*B8</f>
        <v>11.125547341361148</v>
      </c>
      <c r="N8" s="5">
        <f>L8*B8</f>
        <v>0.12521624156337671</v>
      </c>
      <c r="O8" s="14">
        <f>M8*D8</f>
        <v>1034.7426560306349</v>
      </c>
      <c r="P8" s="7">
        <f>N8*D8</f>
        <v>11.645861762843415</v>
      </c>
      <c r="Q8">
        <f t="shared" ref="Q8:Q9" si="3">(O8*W3)/(10^9*V3)</f>
        <v>4212748487982006.5</v>
      </c>
      <c r="R8">
        <f t="shared" si="2"/>
        <v>47413805013962.375</v>
      </c>
      <c r="S8" s="14">
        <v>0</v>
      </c>
      <c r="T8" s="23">
        <v>2.3883399999999999E-2</v>
      </c>
      <c r="U8" s="14">
        <v>1</v>
      </c>
      <c r="V8" s="1">
        <v>37000</v>
      </c>
    </row>
    <row r="9" spans="1:28" x14ac:dyDescent="0.25">
      <c r="A9" t="s">
        <v>65</v>
      </c>
      <c r="B9">
        <f>R4*M4</f>
        <v>0.55310741083359027</v>
      </c>
      <c r="E9">
        <v>103.34</v>
      </c>
      <c r="F9" s="6">
        <f>B4*H4</f>
        <v>4.9189021088011486E-2</v>
      </c>
      <c r="G9">
        <f>((B4^2)*(I4^2)+(H4^2)*(C4^2))^0.5</f>
        <v>7.7991257621530649E-4</v>
      </c>
      <c r="H9" s="22">
        <f>F9*L4-4.88*0.059067351</f>
        <v>18.236189835966357</v>
      </c>
      <c r="I9" s="6">
        <f>G9*L4</f>
        <v>0.29371274810544196</v>
      </c>
      <c r="J9">
        <v>0.996</v>
      </c>
      <c r="K9" s="7">
        <f>H9*J9</f>
        <v>18.163245076622491</v>
      </c>
      <c r="L9" s="6">
        <f>I9*J9</f>
        <v>0.2925378971130202</v>
      </c>
      <c r="M9" s="7">
        <f>K9*B9</f>
        <v>10.046225456666622</v>
      </c>
      <c r="N9" s="5">
        <f>L9*B9</f>
        <v>0.16180487884288583</v>
      </c>
      <c r="O9" s="7">
        <f>M9*E9</f>
        <v>1038.1769386919289</v>
      </c>
      <c r="P9" s="7">
        <f>N9*E9</f>
        <v>16.720916179623821</v>
      </c>
      <c r="Q9">
        <f t="shared" si="3"/>
        <v>4226730485345649.5</v>
      </c>
      <c r="R9">
        <f t="shared" si="2"/>
        <v>68075877555490.109</v>
      </c>
      <c r="S9" s="2">
        <v>0</v>
      </c>
      <c r="T9" s="23">
        <v>2.3883399999999999E-2</v>
      </c>
      <c r="U9">
        <v>1</v>
      </c>
      <c r="V9" s="1">
        <v>37000</v>
      </c>
    </row>
    <row r="10" spans="1:28" x14ac:dyDescent="0.25">
      <c r="F10" s="6"/>
      <c r="L10" s="1"/>
    </row>
    <row r="11" spans="1:28" ht="15.75" thickBot="1" x14ac:dyDescent="0.3">
      <c r="F11" s="6"/>
      <c r="L11" s="1"/>
    </row>
    <row r="12" spans="1:28" ht="15" customHeight="1" x14ac:dyDescent="0.25">
      <c r="A12" s="25"/>
      <c r="B12" s="56" t="s">
        <v>72</v>
      </c>
      <c r="C12" s="57"/>
      <c r="D12" s="57"/>
      <c r="E12" s="57"/>
      <c r="F12" s="57"/>
      <c r="G12" s="57"/>
      <c r="H12" s="57"/>
      <c r="I12" s="58"/>
      <c r="J12" s="62" t="s">
        <v>86</v>
      </c>
      <c r="K12" s="57"/>
      <c r="L12" s="57"/>
      <c r="M12" s="57"/>
      <c r="N12" s="57"/>
      <c r="O12" s="57"/>
      <c r="P12" s="57"/>
      <c r="Q12" s="57"/>
      <c r="R12" s="62" t="s">
        <v>85</v>
      </c>
      <c r="S12" s="57"/>
      <c r="T12" s="57"/>
      <c r="U12" s="57"/>
      <c r="V12" s="57"/>
      <c r="W12" s="57"/>
      <c r="X12" s="57"/>
      <c r="Y12" s="58"/>
    </row>
    <row r="13" spans="1:28" x14ac:dyDescent="0.25">
      <c r="A13" s="26"/>
      <c r="B13" s="24" t="s">
        <v>73</v>
      </c>
      <c r="C13" s="27" t="s">
        <v>0</v>
      </c>
      <c r="D13" s="24" t="s">
        <v>74</v>
      </c>
      <c r="E13" s="27" t="s">
        <v>0</v>
      </c>
      <c r="F13" s="24" t="s">
        <v>75</v>
      </c>
      <c r="G13" s="28" t="s">
        <v>0</v>
      </c>
      <c r="H13" s="29" t="s">
        <v>79</v>
      </c>
      <c r="I13" s="27" t="s">
        <v>0</v>
      </c>
      <c r="J13" s="30" t="s">
        <v>73</v>
      </c>
      <c r="K13" s="27" t="s">
        <v>0</v>
      </c>
      <c r="L13" s="31" t="s">
        <v>74</v>
      </c>
      <c r="M13" s="27" t="s">
        <v>0</v>
      </c>
      <c r="N13" s="24" t="s">
        <v>75</v>
      </c>
      <c r="O13" s="28" t="s">
        <v>0</v>
      </c>
      <c r="P13" s="29" t="s">
        <v>76</v>
      </c>
      <c r="Q13" s="27" t="s">
        <v>0</v>
      </c>
      <c r="R13" s="30" t="s">
        <v>73</v>
      </c>
      <c r="S13" s="27" t="s">
        <v>0</v>
      </c>
      <c r="T13" s="31" t="s">
        <v>74</v>
      </c>
      <c r="U13" s="27" t="s">
        <v>0</v>
      </c>
      <c r="V13" s="24" t="s">
        <v>75</v>
      </c>
      <c r="W13" s="28" t="s">
        <v>0</v>
      </c>
      <c r="X13" s="29" t="s">
        <v>76</v>
      </c>
      <c r="Y13" s="47" t="s">
        <v>0</v>
      </c>
    </row>
    <row r="14" spans="1:28" x14ac:dyDescent="0.25">
      <c r="A14" s="26" t="s">
        <v>3</v>
      </c>
      <c r="B14" s="32">
        <f>H7*J7</f>
        <v>14.855622829506515</v>
      </c>
      <c r="C14" s="33">
        <f>I7*J7</f>
        <v>0.15733633887599499</v>
      </c>
      <c r="D14" s="34">
        <f>B14*B7</f>
        <v>8.2167550795487223</v>
      </c>
      <c r="E14" s="33">
        <f>C14*B7</f>
        <v>8.7023895025737943E-2</v>
      </c>
      <c r="F14" s="35">
        <f>(D14*10^-9)*(W2/V2)</f>
        <v>33452880613112.109</v>
      </c>
      <c r="G14" s="36">
        <f>(E14*10^-9)*(W2/V2)</f>
        <v>354300443739.63495</v>
      </c>
      <c r="H14" s="33">
        <f>(F14*S7)/(V7)</f>
        <v>0</v>
      </c>
      <c r="I14" s="55">
        <f>(G14*S7)/(V7)</f>
        <v>0</v>
      </c>
      <c r="J14" s="38">
        <f>B14*(E7/100)</f>
        <v>15.351800632012035</v>
      </c>
      <c r="K14" s="33">
        <f>C14*(E7/100)</f>
        <v>0.16259137259445325</v>
      </c>
      <c r="L14" s="34">
        <f>D14*(E7/100)</f>
        <v>8.49119469920565</v>
      </c>
      <c r="M14" s="39">
        <f>E14*(E7/100)</f>
        <v>8.9930493119597596E-2</v>
      </c>
      <c r="N14" s="35">
        <f>F14*(E7/100)</f>
        <v>34570206825590.059</v>
      </c>
      <c r="O14" s="36">
        <f>G14*(E7/100)</f>
        <v>366134078560.53882</v>
      </c>
      <c r="P14" s="40">
        <f>H14*(E7/100)</f>
        <v>0</v>
      </c>
      <c r="Q14" s="40">
        <f>I14*(E7/100)</f>
        <v>0</v>
      </c>
      <c r="R14" s="38">
        <f>J14</f>
        <v>15.351800632012035</v>
      </c>
      <c r="S14" s="33">
        <f>K14</f>
        <v>0.16259137259445325</v>
      </c>
      <c r="T14" s="34">
        <f t="shared" ref="T14:Y14" si="4">L14*100</f>
        <v>849.11946992056505</v>
      </c>
      <c r="U14" s="39">
        <f t="shared" si="4"/>
        <v>8.9930493119597603</v>
      </c>
      <c r="V14" s="48">
        <f t="shared" si="4"/>
        <v>3457020682559006</v>
      </c>
      <c r="W14" s="54">
        <f t="shared" si="4"/>
        <v>36613407856053.883</v>
      </c>
      <c r="X14" s="39">
        <f t="shared" si="4"/>
        <v>0</v>
      </c>
      <c r="Y14" s="50">
        <f t="shared" si="4"/>
        <v>0</v>
      </c>
    </row>
    <row r="15" spans="1:28" x14ac:dyDescent="0.25">
      <c r="A15" s="26" t="s">
        <v>2</v>
      </c>
      <c r="B15" s="32">
        <f t="shared" ref="B15:B16" si="5">H8*J8</f>
        <v>20.114623531429082</v>
      </c>
      <c r="C15" s="33">
        <f t="shared" ref="C15:C16" si="6">I8*J8</f>
        <v>0.22638684478058763</v>
      </c>
      <c r="D15" s="34">
        <f t="shared" ref="D15:D16" si="7">B15*B8</f>
        <v>11.125547341361148</v>
      </c>
      <c r="E15" s="33">
        <f t="shared" ref="E15:E16" si="8">C15*B8</f>
        <v>0.12521624156337671</v>
      </c>
      <c r="F15" s="35">
        <f>(D15*10^-9)*(W3/V3)</f>
        <v>45295448551512.883</v>
      </c>
      <c r="G15" s="36">
        <f t="shared" ref="G15:G16" si="9">(E15*10^-9)*(W3/V3)</f>
        <v>509792970496.12256</v>
      </c>
      <c r="H15" s="33">
        <f t="shared" ref="H15:H16" si="10">(F15*S8)/(V8)</f>
        <v>0</v>
      </c>
      <c r="I15" s="55">
        <f t="shared" ref="I15:I16" si="11">(G15*S8)/(V8)</f>
        <v>0</v>
      </c>
      <c r="J15" s="38">
        <f t="shared" ref="J15:J16" si="12">B15*(E8/100)</f>
        <v>18.707806761640931</v>
      </c>
      <c r="K15" s="33">
        <f t="shared" ref="K15:K16" si="13">C15*(E8/100)</f>
        <v>0.21055334885663332</v>
      </c>
      <c r="L15" s="34">
        <f t="shared" ref="L15:L16" si="14">D15*(E8/100)</f>
        <v>10.347426560306349</v>
      </c>
      <c r="M15" s="39">
        <f t="shared" ref="M15:M16" si="15">E15*(E8/100)</f>
        <v>0.11645861762843414</v>
      </c>
      <c r="N15" s="35">
        <f t="shared" ref="N15:N16" si="16">F15*(E8/100)</f>
        <v>42127484879820.07</v>
      </c>
      <c r="O15" s="36">
        <f t="shared" ref="O15:O16" si="17">G15*(E8/100)</f>
        <v>474138050139.62372</v>
      </c>
      <c r="P15" s="40">
        <f t="shared" ref="P15:P16" si="18">H15*(E8/100)</f>
        <v>0</v>
      </c>
      <c r="Q15" s="40">
        <f t="shared" ref="Q15:Q16" si="19">I15*(E8/100)</f>
        <v>0</v>
      </c>
      <c r="R15" s="38">
        <f t="shared" ref="R15:R16" si="20">J15</f>
        <v>18.707806761640931</v>
      </c>
      <c r="S15" s="33">
        <f t="shared" ref="S15:S16" si="21">K15</f>
        <v>0.21055334885663332</v>
      </c>
      <c r="T15" s="34">
        <f t="shared" ref="T15:T16" si="22">L15*100</f>
        <v>1034.7426560306349</v>
      </c>
      <c r="U15" s="39">
        <f t="shared" ref="U15:U16" si="23">M15*100</f>
        <v>11.645861762843413</v>
      </c>
      <c r="V15" s="48">
        <f t="shared" ref="V15:V16" si="24">N15*100</f>
        <v>4212748487982007</v>
      </c>
      <c r="W15" s="54">
        <f t="shared" ref="W15:W16" si="25">O15*100</f>
        <v>47413805013962.375</v>
      </c>
      <c r="X15" s="39">
        <f t="shared" ref="X15:X16" si="26">P15*100</f>
        <v>0</v>
      </c>
      <c r="Y15" s="50">
        <f t="shared" ref="Y15:Y16" si="27">Q15*100</f>
        <v>0</v>
      </c>
    </row>
    <row r="16" spans="1:28" x14ac:dyDescent="0.25">
      <c r="A16" s="26" t="s">
        <v>65</v>
      </c>
      <c r="B16" s="32">
        <f t="shared" si="5"/>
        <v>18.163245076622491</v>
      </c>
      <c r="C16" s="33">
        <f t="shared" si="6"/>
        <v>0.2925378971130202</v>
      </c>
      <c r="D16" s="34">
        <f t="shared" si="7"/>
        <v>10.046225456666622</v>
      </c>
      <c r="E16" s="33">
        <f t="shared" si="8"/>
        <v>0.16180487884288583</v>
      </c>
      <c r="F16" s="35">
        <f t="shared" ref="F16" si="28">(D16*10^-9)*(W4/V4)</f>
        <v>40901204619176.016</v>
      </c>
      <c r="G16" s="36">
        <f t="shared" si="9"/>
        <v>658756314645.73364</v>
      </c>
      <c r="H16" s="33">
        <f t="shared" si="10"/>
        <v>0</v>
      </c>
      <c r="I16" s="55">
        <f t="shared" si="11"/>
        <v>0</v>
      </c>
      <c r="J16" s="38">
        <f t="shared" si="12"/>
        <v>18.769897462181685</v>
      </c>
      <c r="K16" s="33">
        <f t="shared" si="13"/>
        <v>0.30230866287659508</v>
      </c>
      <c r="L16" s="34">
        <f t="shared" si="14"/>
        <v>10.381769386919288</v>
      </c>
      <c r="M16" s="39">
        <f t="shared" si="15"/>
        <v>0.16720916179623824</v>
      </c>
      <c r="N16" s="35">
        <f t="shared" si="16"/>
        <v>42267304853456.5</v>
      </c>
      <c r="O16" s="36">
        <f t="shared" si="17"/>
        <v>680758775554.90125</v>
      </c>
      <c r="P16" s="40">
        <f t="shared" si="18"/>
        <v>0</v>
      </c>
      <c r="Q16" s="40">
        <f t="shared" si="19"/>
        <v>0</v>
      </c>
      <c r="R16" s="38">
        <f t="shared" si="20"/>
        <v>18.769897462181685</v>
      </c>
      <c r="S16" s="33">
        <f t="shared" si="21"/>
        <v>0.30230866287659508</v>
      </c>
      <c r="T16" s="34">
        <f t="shared" si="22"/>
        <v>1038.1769386919289</v>
      </c>
      <c r="U16" s="39">
        <f t="shared" si="23"/>
        <v>16.720916179623824</v>
      </c>
      <c r="V16" s="48">
        <f t="shared" si="24"/>
        <v>4226730485345650</v>
      </c>
      <c r="W16" s="54">
        <f t="shared" si="25"/>
        <v>68075877555490.125</v>
      </c>
      <c r="X16" s="39">
        <f t="shared" si="26"/>
        <v>0</v>
      </c>
      <c r="Y16" s="50">
        <f t="shared" si="27"/>
        <v>0</v>
      </c>
    </row>
    <row r="17" spans="1:25" x14ac:dyDescent="0.25">
      <c r="A17" s="26"/>
      <c r="B17" s="41"/>
      <c r="C17" s="37"/>
      <c r="D17" s="35"/>
      <c r="E17" s="37"/>
      <c r="F17" s="35"/>
      <c r="G17" s="36"/>
      <c r="H17" s="37"/>
      <c r="I17" s="37"/>
      <c r="J17" s="26"/>
      <c r="K17" s="37"/>
      <c r="L17" s="35"/>
      <c r="M17" s="37"/>
      <c r="N17" s="35"/>
      <c r="O17" s="36"/>
      <c r="P17" s="37"/>
      <c r="Q17" s="37"/>
      <c r="R17" s="26"/>
      <c r="S17" s="37"/>
      <c r="T17" s="35"/>
      <c r="U17" s="37"/>
      <c r="V17" s="35"/>
      <c r="W17" s="36"/>
      <c r="X17" s="37"/>
      <c r="Y17" s="51"/>
    </row>
    <row r="18" spans="1:25" ht="15" customHeight="1" thickBot="1" x14ac:dyDescent="0.3">
      <c r="A18" s="42"/>
      <c r="B18" s="43"/>
      <c r="C18" s="44"/>
      <c r="D18" s="43"/>
      <c r="E18" s="44"/>
      <c r="F18" s="43"/>
      <c r="G18" s="45"/>
      <c r="H18" s="44"/>
      <c r="I18" s="44"/>
      <c r="J18" s="42"/>
      <c r="K18" s="44"/>
      <c r="L18" s="43"/>
      <c r="M18" s="44"/>
      <c r="N18" s="43"/>
      <c r="O18" s="45"/>
      <c r="P18" s="44"/>
      <c r="Q18" s="44"/>
      <c r="R18" s="42"/>
      <c r="S18" s="44"/>
      <c r="T18" s="43"/>
      <c r="U18" s="44"/>
      <c r="V18" s="43"/>
      <c r="W18" s="45"/>
      <c r="X18" s="44"/>
      <c r="Y18" s="52"/>
    </row>
    <row r="19" spans="1:25" ht="15" customHeight="1" x14ac:dyDescent="0.25">
      <c r="A19" s="46"/>
      <c r="B19" s="56" t="s">
        <v>77</v>
      </c>
      <c r="C19" s="57"/>
      <c r="D19" s="57"/>
      <c r="E19" s="57"/>
      <c r="F19" s="57"/>
      <c r="G19" s="57"/>
      <c r="H19" s="57"/>
      <c r="I19" s="58"/>
      <c r="J19" s="59" t="s">
        <v>78</v>
      </c>
      <c r="K19" s="60"/>
      <c r="L19" s="60"/>
      <c r="M19" s="60"/>
      <c r="N19" s="60"/>
      <c r="O19" s="60"/>
      <c r="P19" s="60"/>
      <c r="Q19" s="61"/>
      <c r="R19" s="37"/>
      <c r="S19" s="37"/>
      <c r="T19" s="37"/>
      <c r="U19" s="37"/>
      <c r="V19" s="37"/>
      <c r="W19" s="37"/>
      <c r="X19" s="37"/>
      <c r="Y19" s="37"/>
    </row>
    <row r="20" spans="1:25" x14ac:dyDescent="0.25">
      <c r="A20" s="37"/>
      <c r="B20" s="24" t="s">
        <v>73</v>
      </c>
      <c r="C20" s="27" t="s">
        <v>0</v>
      </c>
      <c r="D20" s="24" t="s">
        <v>74</v>
      </c>
      <c r="E20" s="27" t="s">
        <v>0</v>
      </c>
      <c r="F20" s="24" t="s">
        <v>75</v>
      </c>
      <c r="G20" s="28" t="s">
        <v>0</v>
      </c>
      <c r="H20" s="29" t="s">
        <v>76</v>
      </c>
      <c r="I20" s="27" t="s">
        <v>0</v>
      </c>
      <c r="J20" s="30" t="s">
        <v>73</v>
      </c>
      <c r="K20" s="27" t="s">
        <v>0</v>
      </c>
      <c r="L20" s="24" t="s">
        <v>74</v>
      </c>
      <c r="M20" s="27" t="s">
        <v>0</v>
      </c>
      <c r="N20" s="24" t="s">
        <v>75</v>
      </c>
      <c r="O20" s="28" t="s">
        <v>0</v>
      </c>
      <c r="P20" s="29" t="s">
        <v>76</v>
      </c>
      <c r="Q20" s="47" t="s">
        <v>0</v>
      </c>
      <c r="R20" s="37"/>
      <c r="S20" s="37"/>
      <c r="T20" s="37"/>
      <c r="U20" s="37"/>
      <c r="V20" s="37"/>
      <c r="W20" s="37"/>
      <c r="X20" s="37"/>
      <c r="Y20" s="37"/>
    </row>
    <row r="21" spans="1:25" x14ac:dyDescent="0.25">
      <c r="A21" s="36" t="s">
        <v>3</v>
      </c>
      <c r="B21" s="33">
        <f>J14*U2</f>
        <v>15.351800632012035</v>
      </c>
      <c r="C21" s="33">
        <f>K14*U2</f>
        <v>0.16259137259445325</v>
      </c>
      <c r="D21" s="32">
        <f>L14*U2</f>
        <v>8.49119469920565</v>
      </c>
      <c r="E21" s="33">
        <f>M14*U2</f>
        <v>8.9930493119597596E-2</v>
      </c>
      <c r="F21" s="35">
        <f>N14*U2</f>
        <v>34570206825590.059</v>
      </c>
      <c r="G21" s="36">
        <f>O14*U2</f>
        <v>366134078560.53882</v>
      </c>
      <c r="H21" s="40">
        <f>P14*U2</f>
        <v>0</v>
      </c>
      <c r="I21" s="40">
        <f>Q14*U2</f>
        <v>0</v>
      </c>
      <c r="J21" s="38">
        <f>R14*U2</f>
        <v>15.351800632012035</v>
      </c>
      <c r="K21" s="39">
        <f>S14*U2</f>
        <v>0.16259137259445325</v>
      </c>
      <c r="L21" s="34">
        <f>T14*U2</f>
        <v>849.11946992056505</v>
      </c>
      <c r="M21" s="39">
        <f>U14*U2</f>
        <v>8.9930493119597603</v>
      </c>
      <c r="N21" s="48">
        <f>V14*U2</f>
        <v>3457020682559006</v>
      </c>
      <c r="O21" s="49">
        <f>W14*U2</f>
        <v>36613407856053.883</v>
      </c>
      <c r="P21" s="39">
        <f>X14*U2</f>
        <v>0</v>
      </c>
      <c r="Q21" s="50">
        <f>Y14*U2</f>
        <v>0</v>
      </c>
      <c r="R21" s="37"/>
      <c r="S21" s="37"/>
      <c r="T21" s="37"/>
      <c r="U21" s="37"/>
      <c r="V21" s="37"/>
      <c r="W21" s="37"/>
      <c r="X21" s="37"/>
      <c r="Y21" s="37"/>
    </row>
    <row r="22" spans="1:25" x14ac:dyDescent="0.25">
      <c r="A22" s="36" t="s">
        <v>2</v>
      </c>
      <c r="B22" s="33">
        <f t="shared" ref="B22:B23" si="29">J15*U3</f>
        <v>18.707806761640931</v>
      </c>
      <c r="C22" s="33">
        <f t="shared" ref="C22:C23" si="30">K15*U3</f>
        <v>0.21055334885663332</v>
      </c>
      <c r="D22" s="32">
        <f t="shared" ref="D22:D23" si="31">L15*U3</f>
        <v>10.347426560306349</v>
      </c>
      <c r="E22" s="33">
        <f t="shared" ref="E22:E23" si="32">M15*U3</f>
        <v>0.11645861762843414</v>
      </c>
      <c r="F22" s="35">
        <f t="shared" ref="F22:F23" si="33">N15*U3</f>
        <v>42127484879820.07</v>
      </c>
      <c r="G22" s="36">
        <f t="shared" ref="G22:G23" si="34">O15*U3</f>
        <v>474138050139.62372</v>
      </c>
      <c r="H22" s="40">
        <f t="shared" ref="H22:H23" si="35">P15*U3</f>
        <v>0</v>
      </c>
      <c r="I22" s="40">
        <f t="shared" ref="I22:I23" si="36">Q15*U3</f>
        <v>0</v>
      </c>
      <c r="J22" s="38">
        <f t="shared" ref="J22:J23" si="37">R15*U3</f>
        <v>18.707806761640931</v>
      </c>
      <c r="K22" s="39">
        <f t="shared" ref="K22:K23" si="38">S15*U3</f>
        <v>0.21055334885663332</v>
      </c>
      <c r="L22" s="34">
        <f t="shared" ref="L22:L23" si="39">T15*U3</f>
        <v>1034.7426560306349</v>
      </c>
      <c r="M22" s="39">
        <f t="shared" ref="M22:M23" si="40">U15*U3</f>
        <v>11.645861762843413</v>
      </c>
      <c r="N22" s="48">
        <f t="shared" ref="N22:N23" si="41">V15*U3</f>
        <v>4212748487982007</v>
      </c>
      <c r="O22" s="49">
        <f t="shared" ref="O22:O23" si="42">W15*U3</f>
        <v>47413805013962.375</v>
      </c>
      <c r="P22" s="39">
        <f t="shared" ref="P22:P23" si="43">X15*U3</f>
        <v>0</v>
      </c>
      <c r="Q22" s="50">
        <f t="shared" ref="Q22:Q23" si="44">Y15*U3</f>
        <v>0</v>
      </c>
      <c r="R22" s="37"/>
      <c r="S22" s="37"/>
      <c r="T22" s="37"/>
      <c r="U22" s="37"/>
      <c r="V22" s="37"/>
      <c r="W22" s="37"/>
      <c r="X22" s="37"/>
      <c r="Y22" s="37"/>
    </row>
    <row r="23" spans="1:25" x14ac:dyDescent="0.25">
      <c r="A23" s="36" t="s">
        <v>65</v>
      </c>
      <c r="B23" s="33">
        <f t="shared" si="29"/>
        <v>18.769897462181685</v>
      </c>
      <c r="C23" s="33">
        <f t="shared" si="30"/>
        <v>0.30230866287659508</v>
      </c>
      <c r="D23" s="32">
        <f t="shared" si="31"/>
        <v>10.381769386919288</v>
      </c>
      <c r="E23" s="33">
        <f t="shared" si="32"/>
        <v>0.16720916179623824</v>
      </c>
      <c r="F23" s="35">
        <f t="shared" si="33"/>
        <v>42267304853456.5</v>
      </c>
      <c r="G23" s="36">
        <f t="shared" si="34"/>
        <v>680758775554.90125</v>
      </c>
      <c r="H23" s="40">
        <f t="shared" si="35"/>
        <v>0</v>
      </c>
      <c r="I23" s="40">
        <f t="shared" si="36"/>
        <v>0</v>
      </c>
      <c r="J23" s="38">
        <f t="shared" si="37"/>
        <v>18.769897462181685</v>
      </c>
      <c r="K23" s="39">
        <f t="shared" si="38"/>
        <v>0.30230866287659508</v>
      </c>
      <c r="L23" s="34">
        <f t="shared" si="39"/>
        <v>1038.1769386919289</v>
      </c>
      <c r="M23" s="39">
        <f t="shared" si="40"/>
        <v>16.720916179623824</v>
      </c>
      <c r="N23" s="48">
        <f t="shared" si="41"/>
        <v>4226730485345650</v>
      </c>
      <c r="O23" s="49">
        <f t="shared" si="42"/>
        <v>68075877555490.125</v>
      </c>
      <c r="P23" s="39">
        <f t="shared" si="43"/>
        <v>0</v>
      </c>
      <c r="Q23" s="50">
        <f t="shared" si="44"/>
        <v>0</v>
      </c>
      <c r="R23" s="37"/>
      <c r="S23" s="37"/>
      <c r="T23" s="37"/>
      <c r="U23" s="37"/>
      <c r="V23" s="37"/>
      <c r="W23" s="37"/>
      <c r="X23" s="37"/>
      <c r="Y23" s="37"/>
    </row>
    <row r="24" spans="1:25" ht="15.75" thickBot="1" x14ac:dyDescent="0.3">
      <c r="A24" s="45"/>
      <c r="B24" s="44"/>
      <c r="C24" s="44"/>
      <c r="D24" s="43"/>
      <c r="E24" s="44"/>
      <c r="F24" s="43"/>
      <c r="G24" s="45"/>
      <c r="H24" s="44"/>
      <c r="I24" s="44"/>
      <c r="J24" s="42"/>
      <c r="K24" s="44"/>
      <c r="L24" s="43"/>
      <c r="M24" s="44"/>
      <c r="N24" s="43"/>
      <c r="O24" s="45"/>
      <c r="P24" s="44"/>
      <c r="Q24" s="52"/>
      <c r="R24" s="37"/>
      <c r="S24" s="37"/>
      <c r="T24" s="37"/>
      <c r="U24" s="37"/>
      <c r="V24" s="37"/>
      <c r="W24" s="37"/>
      <c r="X24" s="37"/>
      <c r="Y24" s="37"/>
    </row>
  </sheetData>
  <mergeCells count="5">
    <mergeCell ref="B19:I19"/>
    <mergeCell ref="J19:Q19"/>
    <mergeCell ref="R12:Y12"/>
    <mergeCell ref="B12:I12"/>
    <mergeCell ref="J12:Q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D8" sqref="D8"/>
    </sheetView>
  </sheetViews>
  <sheetFormatPr defaultRowHeight="15" x14ac:dyDescent="0.25"/>
  <sheetData>
    <row r="1" spans="1:21" x14ac:dyDescent="0.25">
      <c r="B1">
        <v>142</v>
      </c>
      <c r="C1">
        <v>143</v>
      </c>
      <c r="D1">
        <v>144</v>
      </c>
      <c r="E1">
        <v>145</v>
      </c>
      <c r="F1">
        <v>146</v>
      </c>
      <c r="G1">
        <v>147</v>
      </c>
      <c r="H1">
        <v>148</v>
      </c>
      <c r="I1">
        <v>149</v>
      </c>
      <c r="J1">
        <v>150</v>
      </c>
      <c r="K1">
        <v>152</v>
      </c>
      <c r="L1">
        <v>154</v>
      </c>
      <c r="N1" t="s">
        <v>48</v>
      </c>
      <c r="O1" s="2" t="s">
        <v>0</v>
      </c>
      <c r="P1" t="s">
        <v>49</v>
      </c>
      <c r="Q1" s="2" t="s">
        <v>0</v>
      </c>
      <c r="R1" t="s">
        <v>50</v>
      </c>
      <c r="S1" s="2" t="s">
        <v>0</v>
      </c>
      <c r="T1" t="s">
        <v>51</v>
      </c>
      <c r="U1" s="2" t="s">
        <v>0</v>
      </c>
    </row>
    <row r="2" spans="1:21" x14ac:dyDescent="0.25">
      <c r="A2" t="s">
        <v>44</v>
      </c>
      <c r="B2" s="14">
        <v>347353.12</v>
      </c>
      <c r="C2" s="14">
        <v>114426.68000000001</v>
      </c>
      <c r="D2" s="14">
        <v>252207.22000000003</v>
      </c>
      <c r="E2" s="14">
        <v>78394.700000000012</v>
      </c>
      <c r="F2" s="14">
        <v>163425.32</v>
      </c>
      <c r="G2" s="14">
        <v>140336.30000000005</v>
      </c>
      <c r="H2" s="14">
        <v>159080.56</v>
      </c>
      <c r="I2" s="14">
        <v>126859.44000000002</v>
      </c>
      <c r="J2" s="14">
        <v>123524.21999999999</v>
      </c>
      <c r="K2" s="14">
        <v>254124.3</v>
      </c>
      <c r="L2" s="14">
        <v>236974.63999999998</v>
      </c>
      <c r="N2">
        <f>H2-I2*(11.3/13.8)</f>
        <v>55202.902608695644</v>
      </c>
      <c r="O2">
        <f>((H2+((11.3/13.8)^2)*I2))^0.5</f>
        <v>494.1050507708128</v>
      </c>
      <c r="P2">
        <f>H2-G2*(11.3/15)</f>
        <v>53360.547333333292</v>
      </c>
      <c r="Q2">
        <f>((H2-((11.3/15)^2)*G2))^0.5</f>
        <v>281.84774339663915</v>
      </c>
      <c r="R2">
        <f>F2*(5.76/17.19)</f>
        <v>54760.316649214656</v>
      </c>
      <c r="S2">
        <f>(F2^0.5)*(5.76/17.19)</f>
        <v>135.45850518116188</v>
      </c>
      <c r="T2">
        <f>E2*(5.76/8.3)</f>
        <v>54404.032771084334</v>
      </c>
      <c r="U2">
        <f>(E2^0.5)*(5.76/8.3)</f>
        <v>194.30668491481148</v>
      </c>
    </row>
    <row r="3" spans="1:21" x14ac:dyDescent="0.25">
      <c r="A3" t="s">
        <v>45</v>
      </c>
      <c r="B3">
        <v>27.13</v>
      </c>
      <c r="C3">
        <v>12.18</v>
      </c>
      <c r="D3" s="20">
        <v>23.8</v>
      </c>
      <c r="E3">
        <v>8.3000000000000007</v>
      </c>
      <c r="F3">
        <v>17.190000000000001</v>
      </c>
      <c r="G3">
        <v>0</v>
      </c>
      <c r="H3">
        <v>5.76</v>
      </c>
      <c r="J3" s="20">
        <v>5.64</v>
      </c>
      <c r="O3" t="s">
        <v>52</v>
      </c>
      <c r="P3">
        <f>(N2+P2)/2</f>
        <v>54281.724971014468</v>
      </c>
      <c r="Q3">
        <f>(1/2)*((O2^2+Q2^2)^0.5)</f>
        <v>284.41956316989047</v>
      </c>
      <c r="S3" t="s">
        <v>53</v>
      </c>
      <c r="T3">
        <f>(R2+T2)/2</f>
        <v>54582.174710149498</v>
      </c>
      <c r="U3">
        <f>(1/2)*((S2^2+U2^2)^0.5)</f>
        <v>118.43151441708694</v>
      </c>
    </row>
    <row r="4" spans="1:21" x14ac:dyDescent="0.25">
      <c r="A4" t="s">
        <v>46</v>
      </c>
      <c r="D4">
        <v>3.1</v>
      </c>
      <c r="F4" t="s">
        <v>47</v>
      </c>
      <c r="G4" s="20">
        <v>15</v>
      </c>
      <c r="H4" s="20">
        <v>11.3</v>
      </c>
      <c r="I4" s="20">
        <v>13.8</v>
      </c>
      <c r="J4" s="19">
        <v>7.4</v>
      </c>
      <c r="K4" s="19">
        <v>26.7</v>
      </c>
      <c r="L4" s="20">
        <v>22.7</v>
      </c>
    </row>
    <row r="5" spans="1:21" x14ac:dyDescent="0.25">
      <c r="A5" t="s">
        <v>5</v>
      </c>
      <c r="B5">
        <v>11.114000000000001</v>
      </c>
      <c r="G5" s="20"/>
      <c r="H5" s="20"/>
      <c r="I5" s="20"/>
      <c r="J5" s="19"/>
      <c r="K5" s="19"/>
      <c r="L5" s="20"/>
    </row>
    <row r="6" spans="1:21" x14ac:dyDescent="0.25">
      <c r="G6" s="20"/>
      <c r="H6" s="20"/>
      <c r="I6" s="20"/>
      <c r="J6" s="19"/>
      <c r="K6" s="19"/>
      <c r="L6" s="20"/>
    </row>
    <row r="7" spans="1:21" x14ac:dyDescent="0.25">
      <c r="A7" s="4"/>
      <c r="H7" s="66" t="s">
        <v>28</v>
      </c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1:21" x14ac:dyDescent="0.25">
      <c r="B8" s="4"/>
      <c r="C8" s="4"/>
      <c r="H8" s="66" t="s">
        <v>29</v>
      </c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21" x14ac:dyDescent="0.25">
      <c r="H9" s="66" t="s">
        <v>30</v>
      </c>
      <c r="I9" s="66"/>
      <c r="J9" s="66"/>
      <c r="K9" s="66"/>
      <c r="L9" s="66"/>
      <c r="M9" s="66"/>
      <c r="N9" s="66"/>
      <c r="O9" s="66"/>
      <c r="P9" s="66"/>
      <c r="Q9" s="66"/>
      <c r="R9" s="66"/>
    </row>
    <row r="10" spans="1:21" x14ac:dyDescent="0.25">
      <c r="H10" s="66" t="s">
        <v>54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</row>
    <row r="11" spans="1:21" x14ac:dyDescent="0.25">
      <c r="A11" s="64" t="s">
        <v>32</v>
      </c>
      <c r="B11" s="64"/>
      <c r="C11" s="64"/>
      <c r="D11" s="64"/>
      <c r="E11" s="64"/>
      <c r="F11" s="64"/>
      <c r="H11" s="67" t="s">
        <v>31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</row>
    <row r="12" spans="1:21" x14ac:dyDescent="0.25">
      <c r="A12" s="64" t="s">
        <v>33</v>
      </c>
      <c r="B12" s="64"/>
      <c r="C12" s="64"/>
      <c r="D12" s="64"/>
      <c r="E12" s="64"/>
      <c r="F12" s="64"/>
      <c r="H12" s="68" t="s">
        <v>62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21" x14ac:dyDescent="0.25">
      <c r="A13" s="64" t="s">
        <v>34</v>
      </c>
      <c r="B13" s="64"/>
      <c r="C13" s="64"/>
      <c r="D13" s="64"/>
      <c r="E13" s="64"/>
      <c r="F13" s="64"/>
    </row>
    <row r="14" spans="1:21" x14ac:dyDescent="0.25">
      <c r="A14" s="64" t="s">
        <v>35</v>
      </c>
      <c r="B14" s="64"/>
      <c r="C14" s="64"/>
      <c r="D14" s="64"/>
      <c r="E14" s="64"/>
      <c r="F14" s="64"/>
    </row>
    <row r="15" spans="1:21" x14ac:dyDescent="0.25">
      <c r="A15" s="64" t="s">
        <v>36</v>
      </c>
      <c r="B15" s="64"/>
      <c r="C15" s="64"/>
      <c r="D15" s="64"/>
      <c r="E15" s="64"/>
      <c r="F15" s="64"/>
      <c r="H15" t="s">
        <v>60</v>
      </c>
      <c r="I15">
        <v>142</v>
      </c>
      <c r="J15">
        <v>143</v>
      </c>
      <c r="K15">
        <v>144</v>
      </c>
      <c r="L15">
        <v>145</v>
      </c>
      <c r="M15">
        <v>146</v>
      </c>
      <c r="N15">
        <v>148</v>
      </c>
      <c r="O15">
        <v>150</v>
      </c>
    </row>
    <row r="16" spans="1:21" x14ac:dyDescent="0.25">
      <c r="A16" s="64" t="s">
        <v>37</v>
      </c>
      <c r="B16" s="64"/>
      <c r="C16" s="64"/>
      <c r="D16" s="64"/>
      <c r="E16" s="64"/>
      <c r="F16" s="64"/>
      <c r="H16" t="s">
        <v>59</v>
      </c>
      <c r="I16">
        <v>27.13</v>
      </c>
      <c r="J16">
        <v>12.18</v>
      </c>
      <c r="K16">
        <v>23.8</v>
      </c>
      <c r="L16">
        <v>8.3000000000000007</v>
      </c>
      <c r="M16">
        <v>17.190000000000001</v>
      </c>
      <c r="N16">
        <v>5.76</v>
      </c>
      <c r="O16">
        <v>5.64</v>
      </c>
    </row>
    <row r="17" spans="1:17" x14ac:dyDescent="0.25">
      <c r="A17" s="64" t="s">
        <v>38</v>
      </c>
      <c r="B17" s="64"/>
      <c r="C17" s="64"/>
      <c r="D17" s="64"/>
      <c r="E17" s="64"/>
      <c r="F17" s="64"/>
      <c r="H17" t="s">
        <v>58</v>
      </c>
      <c r="I17">
        <v>141.90771860000001</v>
      </c>
      <c r="J17">
        <v>142.90980959999999</v>
      </c>
      <c r="K17">
        <v>143.91008260000001</v>
      </c>
      <c r="L17">
        <v>144.9125688</v>
      </c>
      <c r="M17">
        <v>145.91311210000001</v>
      </c>
      <c r="N17">
        <v>147.9168885</v>
      </c>
      <c r="O17">
        <v>149.92088659999999</v>
      </c>
    </row>
    <row r="18" spans="1:17" x14ac:dyDescent="0.25">
      <c r="A18" s="64" t="s">
        <v>39</v>
      </c>
      <c r="B18" s="64"/>
      <c r="C18" s="64"/>
      <c r="D18" s="64"/>
      <c r="E18" s="64"/>
      <c r="F18" s="64"/>
      <c r="H18" t="s">
        <v>55</v>
      </c>
      <c r="I18">
        <f t="shared" ref="I18:O18" si="0">I17*I16</f>
        <v>3849.9564056180002</v>
      </c>
      <c r="J18">
        <f t="shared" si="0"/>
        <v>1740.6414809279997</v>
      </c>
      <c r="K18">
        <f t="shared" si="0"/>
        <v>3425.0599658800002</v>
      </c>
      <c r="L18">
        <f t="shared" si="0"/>
        <v>1202.7743210400001</v>
      </c>
      <c r="M18">
        <f t="shared" si="0"/>
        <v>2508.2463969990004</v>
      </c>
      <c r="N18">
        <f t="shared" si="0"/>
        <v>852.00127775999999</v>
      </c>
      <c r="O18">
        <f t="shared" si="0"/>
        <v>845.55380042399986</v>
      </c>
    </row>
    <row r="19" spans="1:17" x14ac:dyDescent="0.25">
      <c r="A19" s="64"/>
      <c r="B19" s="64"/>
      <c r="C19" s="64"/>
      <c r="D19" s="64"/>
      <c r="E19" s="64"/>
      <c r="F19" s="64"/>
      <c r="H19" t="s">
        <v>56</v>
      </c>
      <c r="I19">
        <f>SUM(I18:O18)</f>
        <v>14424.233648649002</v>
      </c>
    </row>
    <row r="20" spans="1:17" x14ac:dyDescent="0.25">
      <c r="A20" s="64" t="s">
        <v>40</v>
      </c>
      <c r="B20" s="64"/>
      <c r="C20" s="64"/>
      <c r="D20" s="64"/>
      <c r="E20" s="64"/>
      <c r="F20" s="64"/>
      <c r="H20" t="s">
        <v>57</v>
      </c>
      <c r="I20">
        <f>N18/I19</f>
        <v>5.9067351411060919E-2</v>
      </c>
    </row>
    <row r="21" spans="1:17" x14ac:dyDescent="0.25">
      <c r="A21" s="65" t="s">
        <v>41</v>
      </c>
      <c r="B21" s="65"/>
      <c r="C21" s="65"/>
      <c r="D21" s="65"/>
      <c r="E21" s="65"/>
      <c r="F21" s="65"/>
    </row>
    <row r="22" spans="1:17" x14ac:dyDescent="0.25">
      <c r="A22" s="64" t="s">
        <v>42</v>
      </c>
      <c r="B22" s="64"/>
      <c r="C22" s="64"/>
      <c r="D22" s="64"/>
      <c r="E22" s="64"/>
      <c r="F22" s="64"/>
    </row>
    <row r="23" spans="1:17" x14ac:dyDescent="0.25">
      <c r="A23" s="63" t="s">
        <v>43</v>
      </c>
      <c r="B23" s="63"/>
      <c r="C23" s="63"/>
      <c r="D23" s="63"/>
      <c r="E23" s="63"/>
      <c r="F23" s="63"/>
      <c r="H23" s="64" t="s">
        <v>63</v>
      </c>
      <c r="I23" s="64"/>
      <c r="J23" s="64"/>
      <c r="K23" s="64"/>
      <c r="L23" s="64"/>
      <c r="M23" s="64"/>
      <c r="N23" s="64"/>
      <c r="O23" s="64"/>
      <c r="P23" s="64"/>
      <c r="Q23" s="64"/>
    </row>
    <row r="24" spans="1:17" x14ac:dyDescent="0.25">
      <c r="A24" s="64"/>
      <c r="B24" s="64"/>
      <c r="C24" s="64"/>
      <c r="D24" s="64"/>
      <c r="E24" s="64"/>
      <c r="F24" s="64"/>
      <c r="H24" s="64" t="s">
        <v>64</v>
      </c>
      <c r="I24" s="64"/>
      <c r="J24" s="64"/>
      <c r="K24" s="64"/>
      <c r="L24" s="64"/>
      <c r="M24" s="64"/>
      <c r="N24" s="64"/>
      <c r="O24" s="64"/>
      <c r="P24" s="64"/>
      <c r="Q24" s="64"/>
    </row>
  </sheetData>
  <mergeCells count="22">
    <mergeCell ref="A14:F14"/>
    <mergeCell ref="A15:F15"/>
    <mergeCell ref="A16:F16"/>
    <mergeCell ref="H7:R7"/>
    <mergeCell ref="H8:R8"/>
    <mergeCell ref="H9:R9"/>
    <mergeCell ref="H10:R10"/>
    <mergeCell ref="H11:R11"/>
    <mergeCell ref="H12:R12"/>
    <mergeCell ref="A11:F11"/>
    <mergeCell ref="A12:F12"/>
    <mergeCell ref="A13:F13"/>
    <mergeCell ref="A23:F23"/>
    <mergeCell ref="A24:F24"/>
    <mergeCell ref="H23:Q23"/>
    <mergeCell ref="H24:Q24"/>
    <mergeCell ref="A17:F17"/>
    <mergeCell ref="A18:F18"/>
    <mergeCell ref="A19:F19"/>
    <mergeCell ref="A20:F20"/>
    <mergeCell ref="A21:F21"/>
    <mergeCell ref="A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Nd148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2014-08-06T18:07:44Z</cp:lastPrinted>
  <dcterms:created xsi:type="dcterms:W3CDTF">2014-07-30T17:02:26Z</dcterms:created>
  <dcterms:modified xsi:type="dcterms:W3CDTF">2015-05-11T17:06:11Z</dcterms:modified>
</cp:coreProperties>
</file>