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sotopes_Mass_Spec\"/>
    </mc:Choice>
  </mc:AlternateContent>
  <bookViews>
    <workbookView xWindow="0" yWindow="0" windowWidth="19200" windowHeight="11595"/>
  </bookViews>
  <sheets>
    <sheet name="Sm_150" sheetId="3" r:id="rId1"/>
    <sheet name="Note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3" i="3"/>
  <c r="X4" i="3"/>
  <c r="X3" i="3"/>
  <c r="C17" i="3" l="1"/>
  <c r="C18" i="3"/>
  <c r="E18" i="3" s="1"/>
  <c r="G18" i="3" s="1"/>
  <c r="C16" i="3"/>
  <c r="M8" i="3"/>
  <c r="X8" i="3"/>
  <c r="Y8" i="3"/>
  <c r="AA8" i="3"/>
  <c r="K16" i="3"/>
  <c r="K17" i="3"/>
  <c r="K18" i="3"/>
  <c r="B16" i="3"/>
  <c r="B17" i="3"/>
  <c r="B18" i="3"/>
  <c r="Z8" i="3"/>
  <c r="J18" i="3"/>
  <c r="E17" i="3"/>
  <c r="J17" i="3"/>
  <c r="E16" i="3"/>
  <c r="G16" i="3" s="1"/>
  <c r="J16" i="3"/>
  <c r="E9" i="3"/>
  <c r="AB2" i="3"/>
  <c r="Z4" i="3"/>
  <c r="AA4" i="3" s="1"/>
  <c r="AB4" i="3" s="1"/>
  <c r="W4" i="3"/>
  <c r="Z3" i="3"/>
  <c r="AA3" i="3" s="1"/>
  <c r="AB3" i="3" s="1"/>
  <c r="W3" i="3"/>
  <c r="AA2" i="3"/>
  <c r="Z2" i="3"/>
  <c r="W2" i="3"/>
  <c r="I7" i="5"/>
  <c r="G7" i="5"/>
  <c r="E7" i="5"/>
  <c r="C7" i="5"/>
  <c r="L5" i="5"/>
  <c r="I4" i="5"/>
  <c r="I8" i="5" s="1"/>
  <c r="I9" i="5" s="1"/>
  <c r="G4" i="5"/>
  <c r="G8" i="5" s="1"/>
  <c r="G9" i="5" s="1"/>
  <c r="E4" i="5"/>
  <c r="E8" i="5" s="1"/>
  <c r="E9" i="5" s="1"/>
  <c r="C4" i="5"/>
  <c r="C8" i="5" s="1"/>
  <c r="C9" i="5" s="1"/>
  <c r="J3" i="5"/>
  <c r="J7" i="5" s="1"/>
  <c r="I3" i="5"/>
  <c r="H3" i="5"/>
  <c r="H7" i="5" s="1"/>
  <c r="G3" i="5"/>
  <c r="F3" i="5"/>
  <c r="F7" i="5" s="1"/>
  <c r="E3" i="5"/>
  <c r="D3" i="5"/>
  <c r="D7" i="5" s="1"/>
  <c r="C3" i="5"/>
  <c r="B3" i="5"/>
  <c r="B7" i="5" s="1"/>
  <c r="C23" i="3" l="1"/>
  <c r="S16" i="3"/>
  <c r="K23" i="3" s="1"/>
  <c r="O18" i="3"/>
  <c r="I18" i="3"/>
  <c r="Q18" i="3" s="1"/>
  <c r="O16" i="3"/>
  <c r="I16" i="3"/>
  <c r="Q16" i="3" s="1"/>
  <c r="M17" i="3"/>
  <c r="G17" i="3"/>
  <c r="C25" i="3"/>
  <c r="S18" i="3"/>
  <c r="K25" i="3" s="1"/>
  <c r="B23" i="3"/>
  <c r="R16" i="3"/>
  <c r="J23" i="3" s="1"/>
  <c r="M16" i="3"/>
  <c r="B25" i="3"/>
  <c r="R18" i="3"/>
  <c r="J25" i="3" s="1"/>
  <c r="M18" i="3"/>
  <c r="B24" i="3"/>
  <c r="R17" i="3"/>
  <c r="J24" i="3" s="1"/>
  <c r="D16" i="3"/>
  <c r="D17" i="3"/>
  <c r="D18" i="3"/>
  <c r="A12" i="5"/>
  <c r="I10" i="5" s="1"/>
  <c r="D10" i="5"/>
  <c r="H10" i="5"/>
  <c r="C10" i="5"/>
  <c r="B4" i="5"/>
  <c r="B8" i="5" s="1"/>
  <c r="B9" i="5" s="1"/>
  <c r="D4" i="5"/>
  <c r="D8" i="5" s="1"/>
  <c r="D9" i="5" s="1"/>
  <c r="F4" i="5"/>
  <c r="F8" i="5" s="1"/>
  <c r="F9" i="5" s="1"/>
  <c r="H4" i="5"/>
  <c r="H8" i="5" s="1"/>
  <c r="H9" i="5" s="1"/>
  <c r="J4" i="5"/>
  <c r="J8" i="5" s="1"/>
  <c r="J9" i="5" s="1"/>
  <c r="D8" i="3"/>
  <c r="D9" i="3"/>
  <c r="E8" i="3"/>
  <c r="L17" i="3" l="1"/>
  <c r="F17" i="3"/>
  <c r="E25" i="3"/>
  <c r="U18" i="3"/>
  <c r="M25" i="3" s="1"/>
  <c r="E23" i="3"/>
  <c r="U16" i="3"/>
  <c r="M23" i="3" s="1"/>
  <c r="E24" i="3"/>
  <c r="U17" i="3"/>
  <c r="M24" i="3" s="1"/>
  <c r="G23" i="3"/>
  <c r="W16" i="3"/>
  <c r="O23" i="3" s="1"/>
  <c r="G25" i="3"/>
  <c r="W18" i="3"/>
  <c r="O25" i="3" s="1"/>
  <c r="L18" i="3"/>
  <c r="F18" i="3"/>
  <c r="L16" i="3"/>
  <c r="F16" i="3"/>
  <c r="C24" i="3"/>
  <c r="S17" i="3"/>
  <c r="K24" i="3" s="1"/>
  <c r="I17" i="3"/>
  <c r="Q17" i="3" s="1"/>
  <c r="O17" i="3"/>
  <c r="I23" i="3"/>
  <c r="Y16" i="3"/>
  <c r="Q23" i="3" s="1"/>
  <c r="I25" i="3"/>
  <c r="Y18" i="3"/>
  <c r="Q25" i="3" s="1"/>
  <c r="B12" i="5"/>
  <c r="E2" i="3" s="1"/>
  <c r="E10" i="5"/>
  <c r="G10" i="5"/>
  <c r="J10" i="5"/>
  <c r="F10" i="5"/>
  <c r="B10" i="5"/>
  <c r="K9" i="3"/>
  <c r="K8" i="3"/>
  <c r="C3" i="3"/>
  <c r="C2" i="3"/>
  <c r="I24" i="3" l="1"/>
  <c r="Y17" i="3"/>
  <c r="Q24" i="3" s="1"/>
  <c r="D23" i="3"/>
  <c r="T16" i="3"/>
  <c r="L23" i="3" s="1"/>
  <c r="D25" i="3"/>
  <c r="T18" i="3"/>
  <c r="L25" i="3" s="1"/>
  <c r="D24" i="3"/>
  <c r="T17" i="3"/>
  <c r="L24" i="3" s="1"/>
  <c r="G24" i="3"/>
  <c r="W17" i="3"/>
  <c r="O24" i="3" s="1"/>
  <c r="N16" i="3"/>
  <c r="H16" i="3"/>
  <c r="P16" i="3" s="1"/>
  <c r="N18" i="3"/>
  <c r="H18" i="3"/>
  <c r="P18" i="3" s="1"/>
  <c r="N17" i="3"/>
  <c r="H17" i="3"/>
  <c r="P17" i="3" s="1"/>
  <c r="E3" i="3"/>
  <c r="D3" i="3"/>
  <c r="F9" i="3" s="1"/>
  <c r="H9" i="3" s="1"/>
  <c r="D2" i="3"/>
  <c r="F8" i="3" s="1"/>
  <c r="H8" i="3" s="1"/>
  <c r="L8" i="3" s="1"/>
  <c r="F24" i="3" l="1"/>
  <c r="V17" i="3"/>
  <c r="N24" i="3" s="1"/>
  <c r="F25" i="3"/>
  <c r="V18" i="3"/>
  <c r="N25" i="3" s="1"/>
  <c r="F23" i="3"/>
  <c r="V16" i="3"/>
  <c r="N23" i="3" s="1"/>
  <c r="H24" i="3"/>
  <c r="X17" i="3"/>
  <c r="P24" i="3" s="1"/>
  <c r="H25" i="3"/>
  <c r="X18" i="3"/>
  <c r="P25" i="3" s="1"/>
  <c r="H23" i="3"/>
  <c r="X16" i="3"/>
  <c r="P23" i="3" s="1"/>
  <c r="G8" i="3"/>
  <c r="I8" i="3" s="1"/>
  <c r="G9" i="3"/>
  <c r="B8" i="3"/>
  <c r="N8" i="3" s="1"/>
  <c r="P8" i="3" s="1"/>
  <c r="B9" i="3" l="1"/>
  <c r="L9" i="3" l="1"/>
  <c r="X9" i="3" l="1"/>
  <c r="Z9" i="3" s="1"/>
  <c r="N9" i="3"/>
  <c r="P9" i="3" s="1"/>
  <c r="R9" i="3" s="1"/>
  <c r="I9" i="3"/>
  <c r="M9" i="3" s="1"/>
  <c r="R8" i="3"/>
  <c r="O9" i="3" l="1"/>
  <c r="Q9" i="3" s="1"/>
  <c r="S9" i="3" s="1"/>
  <c r="Y9" i="3"/>
  <c r="AA9" i="3" s="1"/>
  <c r="O8" i="3" l="1"/>
  <c r="Q8" i="3" s="1"/>
  <c r="S8" i="3" s="1"/>
</calcChain>
</file>

<file path=xl/sharedStrings.xml><?xml version="1.0" encoding="utf-8"?>
<sst xmlns="http://schemas.openxmlformats.org/spreadsheetml/2006/main" count="135" uniqueCount="83">
  <si>
    <t>±</t>
  </si>
  <si>
    <t>Volume Correction (ml)</t>
  </si>
  <si>
    <t>24G</t>
  </si>
  <si>
    <t>30G</t>
  </si>
  <si>
    <t>Vial</t>
  </si>
  <si>
    <t>Total aliquot (g)</t>
  </si>
  <si>
    <t>Total dilution mass (g)</t>
  </si>
  <si>
    <t>DF initial</t>
  </si>
  <si>
    <t>volume total of tube (ml)</t>
  </si>
  <si>
    <t>Volume Sent (µL)</t>
  </si>
  <si>
    <t>Volume sent (L)</t>
  </si>
  <si>
    <t>Nitric Acid</t>
  </si>
  <si>
    <t>Iron Sulfamate</t>
  </si>
  <si>
    <t>density estimate (g/cc)</t>
  </si>
  <si>
    <t>volume estimate measured (ml)</t>
  </si>
  <si>
    <t>Multiplying Factor  to tube estimate</t>
  </si>
  <si>
    <t>Multiplying Factor to Original Aliquot</t>
  </si>
  <si>
    <t>total grams</t>
  </si>
  <si>
    <t>[to 4.5] Initial (Paul)</t>
  </si>
  <si>
    <t>[to 5] Initial (Second)</t>
  </si>
  <si>
    <t>V2/V1</t>
  </si>
  <si>
    <t>Original Concentration (ppb)</t>
  </si>
  <si>
    <t>Mass per Aliquot (ng)</t>
  </si>
  <si>
    <t>total in sample (ng)</t>
  </si>
  <si>
    <t>total atoms</t>
  </si>
  <si>
    <t>4. Assuming no error in mass of Cs 137</t>
  </si>
  <si>
    <t>6. Estimates for instrument response using Ba 137 were WAY off. Had to use Cs 133…WHY!?</t>
  </si>
  <si>
    <t>Notes:</t>
  </si>
  <si>
    <t>Results could be messed up based on neutron absorption</t>
  </si>
  <si>
    <t>Ba Contaminate (up to 450 ppb)</t>
  </si>
  <si>
    <t>Other yields into other mass bins are small or have short half lives</t>
  </si>
  <si>
    <t>Calculations don't do the Matt and Paul Method of subtracting ppb…oh welz</t>
  </si>
  <si>
    <t>ppb/cps Estimate (150 Mass Chain)</t>
  </si>
  <si>
    <t>Count 1</t>
  </si>
  <si>
    <t>Count 2</t>
  </si>
  <si>
    <t>MS-B 10.19 ppb (Nd, Sm)</t>
  </si>
  <si>
    <t>1. Assuming 10% in Volume Estimate (Consequently Mass Estimate)</t>
  </si>
  <si>
    <t>2. Assuming all losses in 30G mostly leaks</t>
  </si>
  <si>
    <t>3. Assume we can subtract out natural Nd in ppb phase not cps phase (also that we can assume Nd concentrations are ~4.8 ppb)</t>
  </si>
  <si>
    <t>One might ionize more readily</t>
  </si>
  <si>
    <t>Nd (12.2)</t>
  </si>
  <si>
    <t>Sm (3.07) Nd (23.8)</t>
  </si>
  <si>
    <t>Nd (8.3)</t>
  </si>
  <si>
    <t>Nd (17.2)</t>
  </si>
  <si>
    <t>Sm (14.99)</t>
  </si>
  <si>
    <t xml:space="preserve">Sm (11.24) Nd(5.7) </t>
  </si>
  <si>
    <t>Sm (13.82)</t>
  </si>
  <si>
    <t>Sm (7.38) Nd (5.6)</t>
  </si>
  <si>
    <t>Sm (26.75) Gd (0.2)</t>
  </si>
  <si>
    <t>Up to 5 % difference between counts</t>
  </si>
  <si>
    <t>Instrument Response (ppb/cps)</t>
  </si>
  <si>
    <t>Instrument response differences up to 2 %</t>
  </si>
  <si>
    <t>% Difference From Average</t>
  </si>
  <si>
    <t>Error</t>
  </si>
  <si>
    <t>Error %</t>
  </si>
  <si>
    <t>error abs</t>
  </si>
  <si>
    <t>ppb 150 Estimate</t>
  </si>
  <si>
    <t>150 cps</t>
  </si>
  <si>
    <t>Dilution by James subtract out background (ppb)</t>
  </si>
  <si>
    <t>ppb  150dillution Correction</t>
  </si>
  <si>
    <t>Matts Correction ppb Sm 150</t>
  </si>
  <si>
    <t>Mass</t>
  </si>
  <si>
    <t>Avogadro</t>
  </si>
  <si>
    <t>Decay to Date</t>
  </si>
  <si>
    <t>Date Assy</t>
  </si>
  <si>
    <t>Days Passed</t>
  </si>
  <si>
    <t>Seconds Passed</t>
  </si>
  <si>
    <t>Decay Correction</t>
  </si>
  <si>
    <t>λ (s)</t>
  </si>
  <si>
    <t>BR</t>
  </si>
  <si>
    <r>
      <t xml:space="preserve">DPS to </t>
    </r>
    <r>
      <rPr>
        <sz val="11"/>
        <color theme="1"/>
        <rFont val="Calibri"/>
        <family val="2"/>
      </rPr>
      <t>μCi</t>
    </r>
  </si>
  <si>
    <t>Yield</t>
  </si>
  <si>
    <t>Original Vial (Evaporation Corrected)</t>
  </si>
  <si>
    <t>Corrected 1/100th vial (Evaporation Corrected) (TK Dillusion Corrected)</t>
  </si>
  <si>
    <t>Estimated total (vial to all of stock) (1/100th corrected) (Evap Corrected)</t>
  </si>
  <si>
    <t>ppb</t>
  </si>
  <si>
    <t>ng</t>
  </si>
  <si>
    <t>#atoms</t>
  </si>
  <si>
    <t>activity</t>
  </si>
  <si>
    <t>90G</t>
  </si>
  <si>
    <t>To Original Stock (0.5 ml) (1/100th corrected, Evap Corrected)</t>
  </si>
  <si>
    <t>Estimated total (corrected to all of stock)</t>
  </si>
  <si>
    <r>
      <t>activity (</t>
    </r>
    <r>
      <rPr>
        <sz val="11"/>
        <color rgb="FF000000"/>
        <rFont val="Calibri"/>
        <family val="2"/>
      </rPr>
      <t>μ</t>
    </r>
    <r>
      <rPr>
        <sz val="11"/>
        <color theme="1"/>
        <rFont val="Calibri"/>
        <family val="2"/>
        <scheme val="minor"/>
      </rPr>
      <t>Ci)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</si>
</sst>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"/>
    <numFmt numFmtId="166" formatCode="0.0"/>
    <numFmt numFmtId="167" formatCode="&quot;$&quot;#,##0.00"/>
    <numFmt numFmtId="168" formatCode="&quot;$&quot;#,##0.0000"/>
    <numFmt numFmtId="169" formatCode="0.00000"/>
    <numFmt numFmtId="170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3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8" fontId="0" fillId="0" borderId="0" xfId="0" applyNumberFormat="1"/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3" xfId="0" applyFill="1" applyBorder="1" applyAlignment="1">
      <alignment wrapText="1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2" borderId="0" xfId="0" applyNumberFormat="1" applyFill="1"/>
    <xf numFmtId="0" fontId="1" fillId="0" borderId="13" xfId="0" applyFont="1" applyFill="1" applyBorder="1"/>
    <xf numFmtId="165" fontId="0" fillId="0" borderId="0" xfId="0" applyNumberFormat="1"/>
    <xf numFmtId="0" fontId="1" fillId="0" borderId="3" xfId="0" applyFont="1" applyFill="1" applyBorder="1"/>
    <xf numFmtId="0" fontId="1" fillId="0" borderId="5" xfId="0" applyFont="1" applyFill="1" applyBorder="1"/>
    <xf numFmtId="0" fontId="5" fillId="0" borderId="14" xfId="0" applyFont="1" applyFill="1" applyBorder="1"/>
    <xf numFmtId="0" fontId="5" fillId="0" borderId="15" xfId="0" applyFont="1" applyFill="1" applyBorder="1"/>
    <xf numFmtId="0" fontId="1" fillId="0" borderId="14" xfId="0" applyFont="1" applyFill="1" applyBorder="1"/>
    <xf numFmtId="0" fontId="1" fillId="0" borderId="16" xfId="0" applyFont="1" applyFill="1" applyBorder="1"/>
    <xf numFmtId="0" fontId="5" fillId="0" borderId="13" xfId="0" applyFont="1" applyFill="1" applyBorder="1"/>
    <xf numFmtId="0" fontId="5" fillId="0" borderId="17" xfId="0" applyFont="1" applyFill="1" applyBorder="1"/>
    <xf numFmtId="2" fontId="1" fillId="0" borderId="18" xfId="0" applyNumberFormat="1" applyFont="1" applyFill="1" applyBorder="1"/>
    <xf numFmtId="2" fontId="1" fillId="0" borderId="0" xfId="0" applyNumberFormat="1" applyFont="1" applyFill="1" applyBorder="1"/>
    <xf numFmtId="166" fontId="1" fillId="0" borderId="18" xfId="0" applyNumberFormat="1" applyFont="1" applyFill="1" applyBorder="1"/>
    <xf numFmtId="0" fontId="1" fillId="0" borderId="18" xfId="0" applyFont="1" applyFill="1" applyBorder="1"/>
    <xf numFmtId="0" fontId="1" fillId="0" borderId="2" xfId="0" applyFont="1" applyFill="1" applyBorder="1"/>
    <xf numFmtId="169" fontId="1" fillId="0" borderId="0" xfId="0" applyNumberFormat="1" applyFont="1" applyFill="1" applyBorder="1"/>
    <xf numFmtId="166" fontId="1" fillId="0" borderId="5" xfId="0" applyNumberFormat="1" applyFont="1" applyFill="1" applyBorder="1"/>
    <xf numFmtId="166" fontId="1" fillId="0" borderId="0" xfId="0" applyNumberFormat="1" applyFont="1" applyFill="1" applyBorder="1"/>
    <xf numFmtId="165" fontId="1" fillId="0" borderId="0" xfId="0" applyNumberFormat="1" applyFont="1" applyFill="1" applyBorder="1"/>
    <xf numFmtId="11" fontId="1" fillId="0" borderId="18" xfId="0" applyNumberFormat="1" applyFont="1" applyFill="1" applyBorder="1"/>
    <xf numFmtId="11" fontId="1" fillId="0" borderId="2" xfId="0" applyNumberFormat="1" applyFont="1" applyFill="1" applyBorder="1"/>
    <xf numFmtId="166" fontId="1" fillId="0" borderId="6" xfId="0" applyNumberFormat="1" applyFont="1" applyFill="1" applyBorder="1"/>
    <xf numFmtId="167" fontId="1" fillId="0" borderId="18" xfId="0" applyNumberFormat="1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19" xfId="0" applyFont="1" applyFill="1" applyBorder="1"/>
    <xf numFmtId="0" fontId="1" fillId="0" borderId="20" xfId="0" applyFont="1" applyFill="1" applyBorder="1"/>
    <xf numFmtId="0" fontId="1" fillId="0" borderId="21" xfId="0" applyFont="1" applyFill="1" applyBorder="1"/>
    <xf numFmtId="0" fontId="1" fillId="0" borderId="8" xfId="0" applyFont="1" applyFill="1" applyBorder="1"/>
    <xf numFmtId="0" fontId="1" fillId="0" borderId="22" xfId="0" applyFont="1" applyFill="1" applyBorder="1"/>
    <xf numFmtId="170" fontId="1" fillId="0" borderId="2" xfId="0" applyNumberFormat="1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23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1" fillId="0" borderId="25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I1" workbookViewId="0">
      <selection activeCell="Y5" sqref="Y5"/>
    </sheetView>
  </sheetViews>
  <sheetFormatPr defaultRowHeight="15" x14ac:dyDescent="0.25"/>
  <cols>
    <col min="1" max="1" width="15.5703125" customWidth="1"/>
    <col min="2" max="5" width="12.85546875" customWidth="1"/>
    <col min="6" max="6" width="12" bestFit="1" customWidth="1"/>
    <col min="7" max="7" width="10.140625" customWidth="1"/>
    <col min="8" max="8" width="17" customWidth="1"/>
    <col min="9" max="11" width="12" bestFit="1" customWidth="1"/>
    <col min="12" max="12" width="10.28515625" customWidth="1"/>
    <col min="13" max="13" width="9.28515625" bestFit="1" customWidth="1"/>
    <col min="14" max="14" width="12" bestFit="1" customWidth="1"/>
    <col min="15" max="15" width="7.85546875" customWidth="1"/>
    <col min="16" max="16" width="12" bestFit="1" customWidth="1"/>
    <col min="17" max="17" width="8.5703125" customWidth="1"/>
    <col min="18" max="18" width="9.140625" customWidth="1"/>
    <col min="20" max="20" width="11.42578125" customWidth="1"/>
    <col min="21" max="21" width="9" bestFit="1" customWidth="1"/>
    <col min="24" max="24" width="10.7109375" bestFit="1" customWidth="1"/>
    <col min="25" max="25" width="9.7109375" bestFit="1" customWidth="1"/>
  </cols>
  <sheetData>
    <row r="1" spans="1:28" ht="75" x14ac:dyDescent="0.25">
      <c r="A1" t="s">
        <v>4</v>
      </c>
      <c r="B1" t="s">
        <v>57</v>
      </c>
      <c r="C1" s="2" t="s">
        <v>0</v>
      </c>
      <c r="D1" s="3" t="s">
        <v>32</v>
      </c>
      <c r="E1" s="2" t="s">
        <v>0</v>
      </c>
      <c r="J1" s="10" t="s">
        <v>5</v>
      </c>
      <c r="K1" s="10" t="s">
        <v>6</v>
      </c>
      <c r="L1" s="10" t="s">
        <v>7</v>
      </c>
      <c r="M1" s="11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61</v>
      </c>
      <c r="W1" s="12" t="s">
        <v>62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</row>
    <row r="2" spans="1:28" x14ac:dyDescent="0.25">
      <c r="A2" t="s">
        <v>3</v>
      </c>
      <c r="B2" s="9">
        <v>11661.46</v>
      </c>
      <c r="C2" s="9">
        <f>B2^0.5</f>
        <v>107.98824010048502</v>
      </c>
      <c r="D2" s="6">
        <f>Notes!A12</f>
        <v>1.0609920272136042E-5</v>
      </c>
      <c r="E2">
        <f>Notes!B12</f>
        <v>1.5434952002847024E-7</v>
      </c>
      <c r="J2">
        <v>4.4299999999999999E-2</v>
      </c>
      <c r="K2">
        <v>4.9031000000000002</v>
      </c>
      <c r="L2" s="7">
        <v>110.67945823927766</v>
      </c>
      <c r="M2">
        <v>0.5</v>
      </c>
      <c r="N2">
        <v>50</v>
      </c>
      <c r="O2">
        <v>5.0000000000000002E-5</v>
      </c>
      <c r="P2">
        <v>4</v>
      </c>
      <c r="Q2">
        <v>0</v>
      </c>
      <c r="R2" s="19">
        <v>1.1062148216671805</v>
      </c>
      <c r="S2">
        <v>4.0046471202795225E-2</v>
      </c>
      <c r="T2">
        <v>12.485494601209712</v>
      </c>
      <c r="U2">
        <v>1</v>
      </c>
      <c r="V2" s="16">
        <v>149.9172715</v>
      </c>
      <c r="W2">
        <f>6.0221413E+23</f>
        <v>6.0221413000000002E+23</v>
      </c>
      <c r="X2" s="29">
        <v>41964</v>
      </c>
      <c r="Y2" s="29">
        <v>42060</v>
      </c>
      <c r="Z2">
        <f>Y2-X2</f>
        <v>96</v>
      </c>
      <c r="AA2">
        <f>Z2*24*3600</f>
        <v>8294400</v>
      </c>
      <c r="AB2">
        <f>EXP(-AA2*T8)</f>
        <v>1</v>
      </c>
    </row>
    <row r="3" spans="1:28" x14ac:dyDescent="0.25">
      <c r="A3" t="s">
        <v>2</v>
      </c>
      <c r="B3" s="9">
        <v>11148.96</v>
      </c>
      <c r="C3" s="9">
        <f>B3^0.5</f>
        <v>105.588635752149</v>
      </c>
      <c r="D3" s="6">
        <f>Notes!A12</f>
        <v>1.0609920272136042E-5</v>
      </c>
      <c r="E3">
        <f>E2</f>
        <v>1.5434952002847024E-7</v>
      </c>
      <c r="J3">
        <v>2.7699999999999999E-2</v>
      </c>
      <c r="K3">
        <v>4.9138999999999999</v>
      </c>
      <c r="L3" s="7">
        <v>177.39711191335741</v>
      </c>
      <c r="M3">
        <v>0.5</v>
      </c>
      <c r="N3">
        <v>50</v>
      </c>
      <c r="O3">
        <v>5.0000000000000002E-5</v>
      </c>
      <c r="P3">
        <v>4</v>
      </c>
      <c r="Q3">
        <v>0</v>
      </c>
      <c r="R3" s="19">
        <v>1.1062148216671805</v>
      </c>
      <c r="S3">
        <v>2.5040344296104463E-2</v>
      </c>
      <c r="T3">
        <v>19.967776564389542</v>
      </c>
      <c r="U3">
        <v>1</v>
      </c>
      <c r="V3" s="16">
        <v>149.9172715</v>
      </c>
      <c r="W3">
        <f>6.0221413E+23</f>
        <v>6.0221413000000002E+23</v>
      </c>
      <c r="X3" s="29">
        <f>X2</f>
        <v>41964</v>
      </c>
      <c r="Y3" s="29">
        <f>Y2</f>
        <v>42060</v>
      </c>
      <c r="Z3">
        <f t="shared" ref="Z3:Z4" si="0">Y3-X3</f>
        <v>96</v>
      </c>
      <c r="AA3">
        <f t="shared" ref="AA3:AA4" si="1">Z3*24*3600</f>
        <v>8294400</v>
      </c>
      <c r="AB3">
        <f t="shared" ref="AB3:AB4" si="2">EXP(-AA3*T9)</f>
        <v>1</v>
      </c>
    </row>
    <row r="4" spans="1:28" x14ac:dyDescent="0.25">
      <c r="B4" s="9"/>
      <c r="C4" s="9"/>
      <c r="D4" s="6"/>
      <c r="H4" s="7"/>
      <c r="N4" s="19"/>
      <c r="V4" s="16">
        <v>149.9172715</v>
      </c>
      <c r="W4">
        <f>6.0221413E+23</f>
        <v>6.0221413000000002E+23</v>
      </c>
      <c r="X4" s="29">
        <f>X3</f>
        <v>41964</v>
      </c>
      <c r="Y4" s="29">
        <f>Y3</f>
        <v>42060</v>
      </c>
      <c r="Z4">
        <f t="shared" si="0"/>
        <v>96</v>
      </c>
      <c r="AA4">
        <f t="shared" si="1"/>
        <v>8294400</v>
      </c>
      <c r="AB4">
        <f t="shared" si="2"/>
        <v>1</v>
      </c>
    </row>
    <row r="5" spans="1:28" x14ac:dyDescent="0.25">
      <c r="B5" s="9"/>
      <c r="C5" s="9"/>
      <c r="D5" s="9"/>
      <c r="E5" s="9"/>
      <c r="F5" s="9"/>
    </row>
    <row r="6" spans="1:28" ht="15.75" thickBot="1" x14ac:dyDescent="0.3">
      <c r="D6" s="18"/>
    </row>
    <row r="7" spans="1:28" ht="91.5" customHeight="1" x14ac:dyDescent="0.25">
      <c r="B7" s="13" t="s">
        <v>17</v>
      </c>
      <c r="C7" s="15" t="s">
        <v>1</v>
      </c>
      <c r="D7" s="17" t="s">
        <v>18</v>
      </c>
      <c r="E7" s="17" t="s">
        <v>19</v>
      </c>
      <c r="F7" s="3" t="s">
        <v>56</v>
      </c>
      <c r="G7" s="2" t="s">
        <v>0</v>
      </c>
      <c r="H7" s="4" t="s">
        <v>58</v>
      </c>
      <c r="I7" s="2" t="s">
        <v>0</v>
      </c>
      <c r="J7" t="s">
        <v>20</v>
      </c>
      <c r="K7" s="2" t="s">
        <v>0</v>
      </c>
      <c r="L7" s="4" t="s">
        <v>21</v>
      </c>
      <c r="M7" s="2" t="s">
        <v>0</v>
      </c>
      <c r="N7" s="13" t="s">
        <v>22</v>
      </c>
      <c r="O7" s="2" t="s">
        <v>0</v>
      </c>
      <c r="P7" s="13" t="s">
        <v>23</v>
      </c>
      <c r="Q7" s="2" t="s">
        <v>0</v>
      </c>
      <c r="R7" s="4" t="s">
        <v>24</v>
      </c>
      <c r="S7" s="2" t="s">
        <v>0</v>
      </c>
      <c r="T7" s="2" t="s">
        <v>68</v>
      </c>
      <c r="U7" t="s">
        <v>71</v>
      </c>
      <c r="V7" t="s">
        <v>69</v>
      </c>
      <c r="W7" t="s">
        <v>70</v>
      </c>
      <c r="X7" s="23" t="s">
        <v>59</v>
      </c>
      <c r="Y7" s="24" t="s">
        <v>0</v>
      </c>
      <c r="Z7" s="23" t="s">
        <v>60</v>
      </c>
      <c r="AA7" s="24" t="s">
        <v>0</v>
      </c>
    </row>
    <row r="8" spans="1:28" x14ac:dyDescent="0.25">
      <c r="A8" t="s">
        <v>3</v>
      </c>
      <c r="B8">
        <f>R2*M2</f>
        <v>0.55310741083359027</v>
      </c>
      <c r="C8" s="16">
        <v>5.1669999999999998</v>
      </c>
      <c r="D8" s="16">
        <f>(5.167/0.5)*(4.5/0.5)</f>
        <v>93.006</v>
      </c>
      <c r="E8" s="16">
        <f>(5.167/0.5)*(5/0.5)</f>
        <v>103.34</v>
      </c>
      <c r="F8" s="9">
        <f>D2*B2</f>
        <v>0.12372716085670356</v>
      </c>
      <c r="G8">
        <f>((B2^2)*(E2^2)+(D2^2)*(C2^2))^0.5</f>
        <v>2.1336639917029629E-3</v>
      </c>
      <c r="H8" s="9">
        <f>F8*L2-4.8*0.056</f>
        <v>13.425255133103912</v>
      </c>
      <c r="I8" s="9">
        <f>G8*L2</f>
        <v>0.23615277466633855</v>
      </c>
      <c r="J8" s="20">
        <v>0.99558000000000002</v>
      </c>
      <c r="K8">
        <f>J8*0.1</f>
        <v>9.9558000000000008E-2</v>
      </c>
      <c r="L8" s="32">
        <f>H8*J8</f>
        <v>13.365915505415593</v>
      </c>
      <c r="M8" s="7">
        <f>((H8^2)*(K8)^2+(J8^2)*(I8^2))^0.5</f>
        <v>1.3571120827605534</v>
      </c>
      <c r="N8" s="8">
        <f>L8*B8</f>
        <v>7.3927869186209572</v>
      </c>
      <c r="O8" s="5">
        <f>M8*B8</f>
        <v>0.75062875030667076</v>
      </c>
      <c r="P8" s="16">
        <f>N8*E8</f>
        <v>763.97060017028969</v>
      </c>
      <c r="Q8" s="8">
        <f>E8*O8</f>
        <v>77.569975056691362</v>
      </c>
      <c r="R8" s="1">
        <f>(P8*6.0221413E+23)/(10^9*136.9070835)</f>
        <v>3360482734460769</v>
      </c>
      <c r="S8">
        <f>(Q8*6.0221413E+23)/(10^9*136.9070835)</f>
        <v>341207582899734.25</v>
      </c>
      <c r="T8" s="16">
        <v>0</v>
      </c>
      <c r="U8" s="30">
        <v>2.2300000000000002E-3</v>
      </c>
      <c r="V8" s="16">
        <v>1</v>
      </c>
      <c r="W8" s="1">
        <v>37000</v>
      </c>
      <c r="X8" s="25">
        <f>(L8*E8)/100</f>
        <v>13.812337083296475</v>
      </c>
      <c r="Y8" s="26">
        <f>(E8*M8)/100</f>
        <v>1.4024396263247558</v>
      </c>
      <c r="Z8" s="25">
        <f>X8*(2.9/(2.9+2.99))</f>
        <v>6.8006413483123547</v>
      </c>
      <c r="AA8" s="26">
        <f>Y8*(2.9/(2.9+2.99))</f>
        <v>0.69050507917517678</v>
      </c>
    </row>
    <row r="9" spans="1:28" ht="15.75" thickBot="1" x14ac:dyDescent="0.3">
      <c r="A9" t="s">
        <v>2</v>
      </c>
      <c r="B9">
        <f>R3*M3</f>
        <v>0.55310741083359027</v>
      </c>
      <c r="C9" s="16">
        <v>5.1669999999999998</v>
      </c>
      <c r="D9" s="16">
        <f>(5.167/0.5)*(4.5/0.5)</f>
        <v>93.006</v>
      </c>
      <c r="E9" s="16">
        <f>(5.167/0.5)*(4.5/0.5)</f>
        <v>93.006</v>
      </c>
      <c r="F9" s="9">
        <f>D3*B3</f>
        <v>0.11828957671723385</v>
      </c>
      <c r="G9">
        <f>((B3^2)*(E3^2)+(D3^2)*(C3^2))^0.5</f>
        <v>2.0533683710685729E-3</v>
      </c>
      <c r="H9" s="9">
        <f>F9*L3-4.8*0.056</f>
        <v>20.715429279090809</v>
      </c>
      <c r="I9" s="9">
        <f>G9*L3</f>
        <v>0.36426161872180002</v>
      </c>
      <c r="J9" s="20">
        <v>0.996</v>
      </c>
      <c r="K9">
        <f>J9*0.1</f>
        <v>9.9600000000000008E-2</v>
      </c>
      <c r="L9" s="8">
        <f>H9*J9</f>
        <v>20.632567561974447</v>
      </c>
      <c r="M9" s="7">
        <f>((H9^2)*(K9)^2+(J9^2)*(I9^2))^0.5</f>
        <v>2.09491183576724</v>
      </c>
      <c r="N9" s="8">
        <f>L9*B9</f>
        <v>11.412026023052809</v>
      </c>
      <c r="O9" s="5">
        <f>M9*B9</f>
        <v>1.1587112614058617</v>
      </c>
      <c r="P9" s="16">
        <f>N9*D9</f>
        <v>1061.3868923000496</v>
      </c>
      <c r="Q9" s="8">
        <f>O9*D9</f>
        <v>107.76709957831358</v>
      </c>
      <c r="R9" s="1">
        <f>(P9*6.0221413E+23)/(10^9*136.9070835)</f>
        <v>4668729824632325</v>
      </c>
      <c r="S9">
        <f>(Q9*6.0221413E+23)/(10^9*136.9070835)</f>
        <v>474035882264466.44</v>
      </c>
      <c r="T9" s="16">
        <v>0</v>
      </c>
      <c r="U9" s="30">
        <v>2.2300000000000002E-3</v>
      </c>
      <c r="V9" s="16">
        <v>1</v>
      </c>
      <c r="W9" s="1">
        <v>37000</v>
      </c>
      <c r="X9" s="27">
        <f>(L9*D9)/100</f>
        <v>19.189525786689956</v>
      </c>
      <c r="Y9" s="28">
        <f>(E9*M9)/100</f>
        <v>1.9483937019736794</v>
      </c>
      <c r="Z9" s="27">
        <f>X9*(2.9/(2.9+2.99))</f>
        <v>9.4481536131410628</v>
      </c>
      <c r="AA9" s="28">
        <f>Y9*(2.9/(2.9+2.99))</f>
        <v>0.95931099078500337</v>
      </c>
    </row>
    <row r="10" spans="1:28" x14ac:dyDescent="0.25">
      <c r="L10" s="1"/>
      <c r="T10" s="16">
        <v>0</v>
      </c>
      <c r="U10" s="30">
        <v>2.2300000000000002E-3</v>
      </c>
      <c r="V10" s="16">
        <v>1</v>
      </c>
      <c r="W10" s="1">
        <v>37000</v>
      </c>
    </row>
    <row r="13" spans="1:28" ht="15.75" thickBot="1" x14ac:dyDescent="0.3"/>
    <row r="14" spans="1:28" x14ac:dyDescent="0.25">
      <c r="A14" s="33"/>
      <c r="B14" s="63" t="s">
        <v>72</v>
      </c>
      <c r="C14" s="64"/>
      <c r="D14" s="64"/>
      <c r="E14" s="64"/>
      <c r="F14" s="64"/>
      <c r="G14" s="64"/>
      <c r="H14" s="64"/>
      <c r="I14" s="65"/>
      <c r="J14" s="66" t="s">
        <v>73</v>
      </c>
      <c r="K14" s="64"/>
      <c r="L14" s="64"/>
      <c r="M14" s="64"/>
      <c r="N14" s="64"/>
      <c r="O14" s="64"/>
      <c r="P14" s="64"/>
      <c r="Q14" s="64"/>
      <c r="R14" s="66" t="s">
        <v>74</v>
      </c>
      <c r="S14" s="64"/>
      <c r="T14" s="64"/>
      <c r="U14" s="64"/>
      <c r="V14" s="64"/>
      <c r="W14" s="64"/>
      <c r="X14" s="64"/>
      <c r="Y14" s="65"/>
    </row>
    <row r="15" spans="1:28" x14ac:dyDescent="0.25">
      <c r="A15" s="34"/>
      <c r="B15" s="31" t="s">
        <v>75</v>
      </c>
      <c r="C15" s="35" t="s">
        <v>0</v>
      </c>
      <c r="D15" s="31" t="s">
        <v>76</v>
      </c>
      <c r="E15" s="35" t="s">
        <v>0</v>
      </c>
      <c r="F15" s="31" t="s">
        <v>77</v>
      </c>
      <c r="G15" s="36" t="s">
        <v>0</v>
      </c>
      <c r="H15" s="37" t="s">
        <v>82</v>
      </c>
      <c r="I15" s="35" t="s">
        <v>0</v>
      </c>
      <c r="J15" s="38" t="s">
        <v>75</v>
      </c>
      <c r="K15" s="35" t="s">
        <v>0</v>
      </c>
      <c r="L15" s="39" t="s">
        <v>76</v>
      </c>
      <c r="M15" s="35" t="s">
        <v>0</v>
      </c>
      <c r="N15" s="31" t="s">
        <v>77</v>
      </c>
      <c r="O15" s="36" t="s">
        <v>0</v>
      </c>
      <c r="P15" s="37" t="s">
        <v>78</v>
      </c>
      <c r="Q15" s="35" t="s">
        <v>0</v>
      </c>
      <c r="R15" s="38" t="s">
        <v>75</v>
      </c>
      <c r="S15" s="35" t="s">
        <v>0</v>
      </c>
      <c r="T15" s="39" t="s">
        <v>76</v>
      </c>
      <c r="U15" s="35" t="s">
        <v>0</v>
      </c>
      <c r="V15" s="31" t="s">
        <v>77</v>
      </c>
      <c r="W15" s="36" t="s">
        <v>0</v>
      </c>
      <c r="X15" s="37" t="s">
        <v>78</v>
      </c>
      <c r="Y15" s="40" t="s">
        <v>0</v>
      </c>
    </row>
    <row r="16" spans="1:28" x14ac:dyDescent="0.25">
      <c r="A16" s="34" t="s">
        <v>3</v>
      </c>
      <c r="B16" s="41">
        <f>H8*J8*(2.9/(2.9+2.99))</f>
        <v>6.5808412505441787</v>
      </c>
      <c r="C16" s="42">
        <f>M8*(2.9/(2.9+2.99))</f>
        <v>0.66818761290417727</v>
      </c>
      <c r="D16" s="43">
        <f>B16*B8</f>
        <v>3.6399120651953769</v>
      </c>
      <c r="E16" s="42">
        <f>C16*B8</f>
        <v>0.36957952052450677</v>
      </c>
      <c r="F16" s="44">
        <f>(D16*10^-9)*(W2/V2)</f>
        <v>14621440583102.777</v>
      </c>
      <c r="G16" s="45">
        <f>(E16*10^-9)*(W2/V2)</f>
        <v>1484592183352.8235</v>
      </c>
      <c r="H16" s="42">
        <f>(F16*T8)/(W8)</f>
        <v>0</v>
      </c>
      <c r="I16" s="46">
        <f>(G16*T8)/(W8)</f>
        <v>0</v>
      </c>
      <c r="J16" s="47">
        <f>B16*(E8/100)</f>
        <v>6.8006413483123547</v>
      </c>
      <c r="K16" s="42">
        <f>C16*(E8/100)</f>
        <v>0.69050507917517689</v>
      </c>
      <c r="L16" s="43">
        <f>D16*(E8/100)</f>
        <v>3.7614851281729029</v>
      </c>
      <c r="M16" s="48">
        <f>E16*(E8/100)</f>
        <v>0.38192347651002534</v>
      </c>
      <c r="N16" s="44">
        <f>F16*(E8/100)</f>
        <v>15109796698578.412</v>
      </c>
      <c r="O16" s="45">
        <f>G16*(E8/100)</f>
        <v>1534177562276.8079</v>
      </c>
      <c r="P16" s="49">
        <f>H16*(E8/100)</f>
        <v>0</v>
      </c>
      <c r="Q16" s="49">
        <f>I16*(E8/100)</f>
        <v>0</v>
      </c>
      <c r="R16" s="47">
        <f t="shared" ref="R16:S18" si="3">J16</f>
        <v>6.8006413483123547</v>
      </c>
      <c r="S16" s="42">
        <f t="shared" si="3"/>
        <v>0.69050507917517689</v>
      </c>
      <c r="T16" s="43">
        <f t="shared" ref="T16:Y18" si="4">L16*100</f>
        <v>376.14851281729028</v>
      </c>
      <c r="U16" s="48">
        <f t="shared" si="4"/>
        <v>38.192347651002535</v>
      </c>
      <c r="V16" s="50">
        <f t="shared" si="4"/>
        <v>1510979669857841.2</v>
      </c>
      <c r="W16" s="51">
        <f t="shared" si="4"/>
        <v>153417756227680.78</v>
      </c>
      <c r="X16" s="48">
        <f t="shared" si="4"/>
        <v>0</v>
      </c>
      <c r="Y16" s="52">
        <f t="shared" si="4"/>
        <v>0</v>
      </c>
    </row>
    <row r="17" spans="1:25" x14ac:dyDescent="0.25">
      <c r="A17" s="34" t="s">
        <v>2</v>
      </c>
      <c r="B17" s="41">
        <f t="shared" ref="B17:B18" si="5">H9*J9*(2.9/(2.9+2.99))</f>
        <v>10.158649563620694</v>
      </c>
      <c r="C17" s="42">
        <f t="shared" ref="C17:C18" si="6">M9*(2.9/(2.9+2.99))</f>
        <v>1.0314506491893032</v>
      </c>
      <c r="D17" s="43">
        <f>B17*B9</f>
        <v>5.6188243577000234</v>
      </c>
      <c r="E17" s="42">
        <f>C17*B9</f>
        <v>0.57050299797572135</v>
      </c>
      <c r="F17" s="44">
        <f>(D17*10^-9)*(W3/V3)</f>
        <v>22570684407067.324</v>
      </c>
      <c r="G17" s="45">
        <f>(E17*10^-9)*(W3/V3)</f>
        <v>2291697034976.6592</v>
      </c>
      <c r="H17" s="42">
        <f>(F17*T9)/(W9)</f>
        <v>0</v>
      </c>
      <c r="I17" s="46">
        <f t="shared" ref="I17:I18" si="7">(G17*T9)/(W9)</f>
        <v>0</v>
      </c>
      <c r="J17" s="47">
        <f>B17*(E9/100)</f>
        <v>9.4481536131410628</v>
      </c>
      <c r="K17" s="42">
        <f>C17*(E9/100)</f>
        <v>0.95931099078500326</v>
      </c>
      <c r="L17" s="43">
        <f>D17*(E9/100)</f>
        <v>5.2258437821224835</v>
      </c>
      <c r="M17" s="48">
        <f>E17*(E9/100)</f>
        <v>0.53060201829729936</v>
      </c>
      <c r="N17" s="44">
        <f>F17*(E9/100)</f>
        <v>20992090739637.035</v>
      </c>
      <c r="O17" s="45">
        <f>G17*(E9/100)</f>
        <v>2131415744350.3916</v>
      </c>
      <c r="P17" s="49">
        <f>H17*(E9/100)</f>
        <v>0</v>
      </c>
      <c r="Q17" s="49">
        <f>I17*(E9/100)</f>
        <v>0</v>
      </c>
      <c r="R17" s="47">
        <f t="shared" si="3"/>
        <v>9.4481536131410628</v>
      </c>
      <c r="S17" s="42">
        <f t="shared" si="3"/>
        <v>0.95931099078500326</v>
      </c>
      <c r="T17" s="43">
        <f t="shared" si="4"/>
        <v>522.58437821224834</v>
      </c>
      <c r="U17" s="48">
        <f t="shared" si="4"/>
        <v>53.060201829729934</v>
      </c>
      <c r="V17" s="50">
        <f t="shared" si="4"/>
        <v>2099209073963703.5</v>
      </c>
      <c r="W17" s="51">
        <f t="shared" si="4"/>
        <v>213141574435039.16</v>
      </c>
      <c r="X17" s="48">
        <f t="shared" si="4"/>
        <v>0</v>
      </c>
      <c r="Y17" s="52">
        <f t="shared" si="4"/>
        <v>0</v>
      </c>
    </row>
    <row r="18" spans="1:25" x14ac:dyDescent="0.25">
      <c r="A18" s="34" t="s">
        <v>79</v>
      </c>
      <c r="B18" s="41">
        <f t="shared" si="5"/>
        <v>0</v>
      </c>
      <c r="C18" s="42">
        <f t="shared" si="6"/>
        <v>0</v>
      </c>
      <c r="D18" s="43">
        <f>B18*B10</f>
        <v>0</v>
      </c>
      <c r="E18" s="42">
        <f>C18*B10</f>
        <v>0</v>
      </c>
      <c r="F18" s="44">
        <f>(D18*10^-9)*(W4/V4)</f>
        <v>0</v>
      </c>
      <c r="G18" s="45">
        <f>(E18*10^-9)*(W4/V4)</f>
        <v>0</v>
      </c>
      <c r="H18" s="42">
        <f>(F18*T10)/(W10)</f>
        <v>0</v>
      </c>
      <c r="I18" s="46">
        <f t="shared" si="7"/>
        <v>0</v>
      </c>
      <c r="J18" s="47">
        <f>B18*(E10/100)</f>
        <v>0</v>
      </c>
      <c r="K18" s="42">
        <f>C18*(E10/100)</f>
        <v>0</v>
      </c>
      <c r="L18" s="43">
        <f>D18*(E10/100)</f>
        <v>0</v>
      </c>
      <c r="M18" s="48">
        <f>E18*(E10/100)</f>
        <v>0</v>
      </c>
      <c r="N18" s="44">
        <f>F18*(E10/100)</f>
        <v>0</v>
      </c>
      <c r="O18" s="45">
        <f>G18*(E10/100)</f>
        <v>0</v>
      </c>
      <c r="P18" s="49">
        <f>H18*(E10/100)</f>
        <v>0</v>
      </c>
      <c r="Q18" s="49">
        <f>I18*(E10/100)</f>
        <v>0</v>
      </c>
      <c r="R18" s="47">
        <f t="shared" si="3"/>
        <v>0</v>
      </c>
      <c r="S18" s="42">
        <f t="shared" si="3"/>
        <v>0</v>
      </c>
      <c r="T18" s="43">
        <f t="shared" si="4"/>
        <v>0</v>
      </c>
      <c r="U18" s="48">
        <f t="shared" si="4"/>
        <v>0</v>
      </c>
      <c r="V18" s="50">
        <f t="shared" si="4"/>
        <v>0</v>
      </c>
      <c r="W18" s="51">
        <f t="shared" si="4"/>
        <v>0</v>
      </c>
      <c r="X18" s="48">
        <f t="shared" si="4"/>
        <v>0</v>
      </c>
      <c r="Y18" s="52">
        <f t="shared" si="4"/>
        <v>0</v>
      </c>
    </row>
    <row r="19" spans="1:25" x14ac:dyDescent="0.25">
      <c r="A19" s="34"/>
      <c r="B19" s="53"/>
      <c r="C19" s="54"/>
      <c r="D19" s="44"/>
      <c r="E19" s="54"/>
      <c r="F19" s="44"/>
      <c r="G19" s="45"/>
      <c r="H19" s="54"/>
      <c r="I19" s="54"/>
      <c r="J19" s="34"/>
      <c r="K19" s="54"/>
      <c r="L19" s="44"/>
      <c r="M19" s="54"/>
      <c r="N19" s="44"/>
      <c r="O19" s="45"/>
      <c r="P19" s="54"/>
      <c r="Q19" s="54"/>
      <c r="R19" s="34"/>
      <c r="S19" s="54"/>
      <c r="T19" s="44"/>
      <c r="U19" s="54"/>
      <c r="V19" s="44"/>
      <c r="W19" s="45"/>
      <c r="X19" s="54"/>
      <c r="Y19" s="55"/>
    </row>
    <row r="20" spans="1:25" ht="15.75" thickBot="1" x14ac:dyDescent="0.3">
      <c r="A20" s="56"/>
      <c r="B20" s="57"/>
      <c r="C20" s="58"/>
      <c r="D20" s="57"/>
      <c r="E20" s="58"/>
      <c r="F20" s="57"/>
      <c r="G20" s="59"/>
      <c r="H20" s="58"/>
      <c r="I20" s="58"/>
      <c r="J20" s="56"/>
      <c r="K20" s="58"/>
      <c r="L20" s="57"/>
      <c r="M20" s="58"/>
      <c r="N20" s="57"/>
      <c r="O20" s="59"/>
      <c r="P20" s="58"/>
      <c r="Q20" s="58"/>
      <c r="R20" s="56"/>
      <c r="S20" s="58"/>
      <c r="T20" s="57"/>
      <c r="U20" s="58"/>
      <c r="V20" s="57"/>
      <c r="W20" s="59"/>
      <c r="X20" s="58"/>
      <c r="Y20" s="60"/>
    </row>
    <row r="21" spans="1:25" x14ac:dyDescent="0.25">
      <c r="A21" s="61"/>
      <c r="B21" s="63" t="s">
        <v>80</v>
      </c>
      <c r="C21" s="64"/>
      <c r="D21" s="64"/>
      <c r="E21" s="64"/>
      <c r="F21" s="64"/>
      <c r="G21" s="64"/>
      <c r="H21" s="64"/>
      <c r="I21" s="65"/>
      <c r="J21" s="67" t="s">
        <v>81</v>
      </c>
      <c r="K21" s="68"/>
      <c r="L21" s="68"/>
      <c r="M21" s="68"/>
      <c r="N21" s="68"/>
      <c r="O21" s="68"/>
      <c r="P21" s="68"/>
      <c r="Q21" s="69"/>
      <c r="R21" s="54"/>
      <c r="S21" s="54"/>
      <c r="T21" s="54"/>
      <c r="U21" s="54"/>
      <c r="V21" s="54"/>
      <c r="W21" s="54"/>
      <c r="X21" s="54"/>
      <c r="Y21" s="54"/>
    </row>
    <row r="22" spans="1:25" x14ac:dyDescent="0.25">
      <c r="A22" s="54"/>
      <c r="B22" s="31" t="s">
        <v>75</v>
      </c>
      <c r="C22" s="35" t="s">
        <v>0</v>
      </c>
      <c r="D22" s="31" t="s">
        <v>76</v>
      </c>
      <c r="E22" s="35" t="s">
        <v>0</v>
      </c>
      <c r="F22" s="31" t="s">
        <v>77</v>
      </c>
      <c r="G22" s="36" t="s">
        <v>0</v>
      </c>
      <c r="H22" s="37" t="s">
        <v>78</v>
      </c>
      <c r="I22" s="35" t="s">
        <v>0</v>
      </c>
      <c r="J22" s="38" t="s">
        <v>75</v>
      </c>
      <c r="K22" s="35" t="s">
        <v>0</v>
      </c>
      <c r="L22" s="31" t="s">
        <v>76</v>
      </c>
      <c r="M22" s="35" t="s">
        <v>0</v>
      </c>
      <c r="N22" s="31" t="s">
        <v>77</v>
      </c>
      <c r="O22" s="36" t="s">
        <v>0</v>
      </c>
      <c r="P22" s="37" t="s">
        <v>78</v>
      </c>
      <c r="Q22" s="40" t="s">
        <v>0</v>
      </c>
      <c r="R22" s="54"/>
      <c r="S22" s="54"/>
      <c r="T22" s="54"/>
      <c r="U22" s="54"/>
      <c r="V22" s="54"/>
      <c r="W22" s="54"/>
      <c r="X22" s="54"/>
      <c r="Y22" s="54"/>
    </row>
    <row r="23" spans="1:25" x14ac:dyDescent="0.25">
      <c r="A23" s="45" t="s">
        <v>3</v>
      </c>
      <c r="B23" s="42">
        <f>J16*U2</f>
        <v>6.8006413483123547</v>
      </c>
      <c r="C23" s="42">
        <f>K16*U2</f>
        <v>0.69050507917517689</v>
      </c>
      <c r="D23" s="41">
        <f>L16*U2</f>
        <v>3.7614851281729029</v>
      </c>
      <c r="E23" s="42">
        <f>M16*U2</f>
        <v>0.38192347651002534</v>
      </c>
      <c r="F23" s="44">
        <f>N16*U2</f>
        <v>15109796698578.412</v>
      </c>
      <c r="G23" s="45">
        <f>O16*U2</f>
        <v>1534177562276.8079</v>
      </c>
      <c r="H23" s="49">
        <f>P16*U2</f>
        <v>0</v>
      </c>
      <c r="I23" s="49">
        <f>Q16*U2</f>
        <v>0</v>
      </c>
      <c r="J23" s="47">
        <f>R16*U2</f>
        <v>6.8006413483123547</v>
      </c>
      <c r="K23" s="48">
        <f>S16*U2</f>
        <v>0.69050507917517689</v>
      </c>
      <c r="L23" s="43">
        <f>T16*U2</f>
        <v>376.14851281729028</v>
      </c>
      <c r="M23" s="48">
        <f>U16*U2</f>
        <v>38.192347651002535</v>
      </c>
      <c r="N23" s="50">
        <f>V16*U2</f>
        <v>1510979669857841.2</v>
      </c>
      <c r="O23" s="62">
        <f>W16*U2</f>
        <v>153417756227680.78</v>
      </c>
      <c r="P23" s="48">
        <f>X16*U2</f>
        <v>0</v>
      </c>
      <c r="Q23" s="52">
        <f>Y16*U2</f>
        <v>0</v>
      </c>
      <c r="R23" s="54"/>
      <c r="S23" s="54"/>
      <c r="T23" s="54"/>
      <c r="U23" s="54"/>
      <c r="V23" s="54"/>
      <c r="W23" s="54"/>
      <c r="X23" s="54"/>
      <c r="Y23" s="54"/>
    </row>
    <row r="24" spans="1:25" x14ac:dyDescent="0.25">
      <c r="A24" s="45" t="s">
        <v>2</v>
      </c>
      <c r="B24" s="42">
        <f>J17*U3</f>
        <v>9.4481536131410628</v>
      </c>
      <c r="C24" s="42">
        <f>K17*U3</f>
        <v>0.95931099078500326</v>
      </c>
      <c r="D24" s="41">
        <f>L17*U3</f>
        <v>5.2258437821224835</v>
      </c>
      <c r="E24" s="42">
        <f>M17*U3</f>
        <v>0.53060201829729936</v>
      </c>
      <c r="F24" s="44">
        <f>N17*U3</f>
        <v>20992090739637.035</v>
      </c>
      <c r="G24" s="45">
        <f>O17*U3</f>
        <v>2131415744350.3916</v>
      </c>
      <c r="H24" s="49">
        <f>P17*U3</f>
        <v>0</v>
      </c>
      <c r="I24" s="49">
        <f>Q17*U3</f>
        <v>0</v>
      </c>
      <c r="J24" s="47">
        <f>R17*U3</f>
        <v>9.4481536131410628</v>
      </c>
      <c r="K24" s="48">
        <f>S17*U3</f>
        <v>0.95931099078500326</v>
      </c>
      <c r="L24" s="43">
        <f>T17*U3</f>
        <v>522.58437821224834</v>
      </c>
      <c r="M24" s="48">
        <f>U17*U3</f>
        <v>53.060201829729934</v>
      </c>
      <c r="N24" s="50">
        <f>V17*U3</f>
        <v>2099209073963703.5</v>
      </c>
      <c r="O24" s="62">
        <f>W17*U3</f>
        <v>213141574435039.16</v>
      </c>
      <c r="P24" s="48">
        <f>X17*U3</f>
        <v>0</v>
      </c>
      <c r="Q24" s="52">
        <f>Y17*U3</f>
        <v>0</v>
      </c>
      <c r="R24" s="54"/>
      <c r="S24" s="54"/>
      <c r="T24" s="54"/>
      <c r="U24" s="54"/>
      <c r="V24" s="54"/>
      <c r="W24" s="54"/>
      <c r="X24" s="54"/>
      <c r="Y24" s="54"/>
    </row>
    <row r="25" spans="1:25" x14ac:dyDescent="0.25">
      <c r="A25" s="45" t="s">
        <v>79</v>
      </c>
      <c r="B25" s="42">
        <f>J18*U4</f>
        <v>0</v>
      </c>
      <c r="C25" s="42">
        <f>K18*U4</f>
        <v>0</v>
      </c>
      <c r="D25" s="41">
        <f>L18*U4</f>
        <v>0</v>
      </c>
      <c r="E25" s="42">
        <f>M18*U4</f>
        <v>0</v>
      </c>
      <c r="F25" s="44">
        <f>N18*U4</f>
        <v>0</v>
      </c>
      <c r="G25" s="45">
        <f>O18*U4</f>
        <v>0</v>
      </c>
      <c r="H25" s="49">
        <f>P18*U4</f>
        <v>0</v>
      </c>
      <c r="I25" s="49">
        <f>Q18*U4</f>
        <v>0</v>
      </c>
      <c r="J25" s="47">
        <f>R18*U4</f>
        <v>0</v>
      </c>
      <c r="K25" s="48">
        <f>S18*U4</f>
        <v>0</v>
      </c>
      <c r="L25" s="43">
        <f>T18*U4</f>
        <v>0</v>
      </c>
      <c r="M25" s="48">
        <f>U18*U4</f>
        <v>0</v>
      </c>
      <c r="N25" s="50">
        <f>V18*U4</f>
        <v>0</v>
      </c>
      <c r="O25" s="62">
        <f>W18*U4</f>
        <v>0</v>
      </c>
      <c r="P25" s="48">
        <f>X18*U4</f>
        <v>0</v>
      </c>
      <c r="Q25" s="52">
        <f>Y18*U4</f>
        <v>0</v>
      </c>
      <c r="R25" s="54"/>
      <c r="S25" s="54"/>
      <c r="T25" s="54"/>
      <c r="U25" s="54"/>
      <c r="V25" s="54"/>
      <c r="W25" s="54"/>
      <c r="X25" s="54"/>
      <c r="Y25" s="54"/>
    </row>
    <row r="26" spans="1:25" ht="15.75" thickBot="1" x14ac:dyDescent="0.3">
      <c r="A26" s="59"/>
      <c r="B26" s="58"/>
      <c r="C26" s="58"/>
      <c r="D26" s="57"/>
      <c r="E26" s="58"/>
      <c r="F26" s="57"/>
      <c r="G26" s="59"/>
      <c r="H26" s="58"/>
      <c r="I26" s="58"/>
      <c r="J26" s="56"/>
      <c r="K26" s="58"/>
      <c r="L26" s="57"/>
      <c r="M26" s="58"/>
      <c r="N26" s="57"/>
      <c r="O26" s="59"/>
      <c r="P26" s="58"/>
      <c r="Q26" s="60"/>
      <c r="R26" s="54"/>
      <c r="S26" s="54"/>
      <c r="T26" s="54"/>
      <c r="U26" s="54"/>
      <c r="V26" s="54"/>
      <c r="W26" s="54"/>
      <c r="X26" s="54"/>
      <c r="Y26" s="54"/>
    </row>
    <row r="32" spans="1:25" x14ac:dyDescent="0.25">
      <c r="A32" s="1"/>
      <c r="B32" s="9"/>
    </row>
    <row r="33" spans="1:3" x14ac:dyDescent="0.25">
      <c r="B33" s="14"/>
    </row>
    <row r="39" spans="1:3" x14ac:dyDescent="0.25">
      <c r="B39" s="18"/>
      <c r="C39" s="18"/>
    </row>
    <row r="41" spans="1:3" x14ac:dyDescent="0.25">
      <c r="B41" s="9"/>
      <c r="C41" s="9"/>
    </row>
    <row r="42" spans="1:3" x14ac:dyDescent="0.25">
      <c r="A42" s="4"/>
      <c r="B42" s="9"/>
      <c r="C42" s="9"/>
    </row>
    <row r="43" spans="1:3" x14ac:dyDescent="0.25">
      <c r="A43" s="13"/>
      <c r="B43" s="9"/>
      <c r="C43" s="9"/>
    </row>
    <row r="44" spans="1:3" x14ac:dyDescent="0.25">
      <c r="A44" s="13"/>
      <c r="B44" s="9"/>
      <c r="C44" s="9"/>
    </row>
    <row r="47" spans="1:3" x14ac:dyDescent="0.25">
      <c r="A47" s="13"/>
      <c r="B47" s="9"/>
      <c r="C47" s="9"/>
    </row>
    <row r="48" spans="1:3" x14ac:dyDescent="0.25">
      <c r="A48" s="13"/>
      <c r="B48" s="9"/>
      <c r="C48" s="9"/>
    </row>
    <row r="50" spans="1:1" x14ac:dyDescent="0.25">
      <c r="A50" s="4"/>
    </row>
    <row r="51" spans="1:1" x14ac:dyDescent="0.25">
      <c r="A51" s="4"/>
    </row>
  </sheetData>
  <mergeCells count="5">
    <mergeCell ref="B14:I14"/>
    <mergeCell ref="J14:Q14"/>
    <mergeCell ref="R14:Y14"/>
    <mergeCell ref="B21:I21"/>
    <mergeCell ref="J21:Q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L10" sqref="L10"/>
    </sheetView>
  </sheetViews>
  <sheetFormatPr defaultRowHeight="15" x14ac:dyDescent="0.25"/>
  <sheetData>
    <row r="1" spans="1:29" x14ac:dyDescent="0.25">
      <c r="B1">
        <v>143</v>
      </c>
      <c r="C1">
        <v>144</v>
      </c>
      <c r="D1">
        <v>145</v>
      </c>
      <c r="E1">
        <v>146</v>
      </c>
      <c r="F1">
        <v>147</v>
      </c>
      <c r="G1">
        <v>148</v>
      </c>
      <c r="H1">
        <v>149</v>
      </c>
      <c r="I1">
        <v>150</v>
      </c>
      <c r="J1">
        <v>152</v>
      </c>
      <c r="S1" s="72" t="s">
        <v>31</v>
      </c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spans="1:29" ht="45" x14ac:dyDescent="0.25"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</row>
    <row r="3" spans="1:29" ht="60" x14ac:dyDescent="0.25">
      <c r="A3" s="4" t="s">
        <v>35</v>
      </c>
      <c r="B3">
        <f t="shared" ref="B3:J3" si="0">(B5+B6)/2</f>
        <v>117113.43000000001</v>
      </c>
      <c r="C3">
        <f t="shared" si="0"/>
        <v>256901.42000000004</v>
      </c>
      <c r="D3">
        <f t="shared" si="0"/>
        <v>80273.929999999993</v>
      </c>
      <c r="E3">
        <f t="shared" si="0"/>
        <v>165909.01</v>
      </c>
      <c r="F3">
        <f t="shared" si="0"/>
        <v>142903.93000000002</v>
      </c>
      <c r="G3">
        <f t="shared" si="0"/>
        <v>162589.85</v>
      </c>
      <c r="H3">
        <f t="shared" si="0"/>
        <v>130483.98999999999</v>
      </c>
      <c r="I3">
        <f t="shared" si="0"/>
        <v>126911.98000000001</v>
      </c>
      <c r="J3">
        <f t="shared" si="0"/>
        <v>259178.05</v>
      </c>
      <c r="S3" s="70" t="s">
        <v>36</v>
      </c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spans="1:29" x14ac:dyDescent="0.25">
      <c r="A4" s="4" t="s">
        <v>53</v>
      </c>
      <c r="B4">
        <f t="shared" ref="B4:J4" si="1">ABS(B5-B6)/B3</f>
        <v>4.5882867575477888E-2</v>
      </c>
      <c r="C4">
        <f t="shared" si="1"/>
        <v>3.6544757129018564E-2</v>
      </c>
      <c r="D4">
        <f t="shared" si="1"/>
        <v>4.6820430991730159E-2</v>
      </c>
      <c r="E4">
        <f t="shared" si="1"/>
        <v>2.9940387203805294E-2</v>
      </c>
      <c r="F4">
        <f t="shared" si="1"/>
        <v>3.5935050911475634E-2</v>
      </c>
      <c r="G4">
        <f t="shared" si="1"/>
        <v>4.316739329054068E-2</v>
      </c>
      <c r="H4">
        <f t="shared" si="1"/>
        <v>5.5555474660147673E-2</v>
      </c>
      <c r="I4">
        <f t="shared" si="1"/>
        <v>5.338755253838158E-2</v>
      </c>
      <c r="J4">
        <f t="shared" si="1"/>
        <v>3.8998287084882385E-2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spans="1:29" x14ac:dyDescent="0.25">
      <c r="A5" t="s">
        <v>33</v>
      </c>
      <c r="B5" s="4">
        <v>114426.68000000001</v>
      </c>
      <c r="C5" s="4">
        <v>252207.22000000003</v>
      </c>
      <c r="D5">
        <v>78394.700000000012</v>
      </c>
      <c r="E5">
        <v>163425.32</v>
      </c>
      <c r="F5">
        <v>140336.30000000005</v>
      </c>
      <c r="G5">
        <v>159080.56</v>
      </c>
      <c r="H5">
        <v>126859.44000000002</v>
      </c>
      <c r="I5">
        <v>123524.21999999999</v>
      </c>
      <c r="J5">
        <v>254124.3</v>
      </c>
      <c r="L5">
        <f>(1/2)*((C5^2+C6^2)^0.5)</f>
        <v>181687.05940662976</v>
      </c>
      <c r="S5" s="70" t="s">
        <v>37</v>
      </c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spans="1:29" x14ac:dyDescent="0.25">
      <c r="A6" t="s">
        <v>34</v>
      </c>
      <c r="B6">
        <v>119800.18000000001</v>
      </c>
      <c r="C6">
        <v>261595.62000000002</v>
      </c>
      <c r="D6">
        <v>82153.159999999989</v>
      </c>
      <c r="E6">
        <v>168392.7</v>
      </c>
      <c r="F6">
        <v>145471.56</v>
      </c>
      <c r="G6">
        <v>166099.14000000001</v>
      </c>
      <c r="H6">
        <v>134108.53999999998</v>
      </c>
      <c r="I6">
        <v>130299.74000000002</v>
      </c>
      <c r="J6">
        <v>264231.8</v>
      </c>
      <c r="S6" s="70" t="s">
        <v>38</v>
      </c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spans="1:29" ht="90" x14ac:dyDescent="0.25">
      <c r="A7" s="4" t="s">
        <v>50</v>
      </c>
      <c r="B7">
        <f>(10.19*0.122)/B3</f>
        <v>1.0615178805709985E-5</v>
      </c>
      <c r="C7">
        <f>(10.19*(0.0307+0.238))/C3</f>
        <v>1.0657990913401722E-5</v>
      </c>
      <c r="D7">
        <f>(10.19*0.083)/D3</f>
        <v>1.053604825377305E-5</v>
      </c>
      <c r="E7">
        <f>(10.19*0.172)/E3</f>
        <v>1.0564103781946499E-5</v>
      </c>
      <c r="F7">
        <f>(10.19*0.1499)/F3</f>
        <v>1.0688866289401557E-5</v>
      </c>
      <c r="G7">
        <f>(10.19*(0.1124+0.057))/G3</f>
        <v>1.0616812796124726E-5</v>
      </c>
      <c r="H7">
        <f>(10.19*0.1382)/H3</f>
        <v>1.0792573096515518E-5</v>
      </c>
      <c r="I7">
        <f>(10.19*(0.0738+0.056))/I3</f>
        <v>1.0421884521855226E-5</v>
      </c>
      <c r="J7">
        <f>(10.19*(0.2675+0.002))/J3</f>
        <v>1.0595823990496111E-5</v>
      </c>
      <c r="S7" s="70" t="s">
        <v>25</v>
      </c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spans="1:29" x14ac:dyDescent="0.25">
      <c r="A8" s="4" t="s">
        <v>54</v>
      </c>
      <c r="B8">
        <f t="shared" ref="B8:J8" si="2">B4</f>
        <v>4.5882867575477888E-2</v>
      </c>
      <c r="C8">
        <f t="shared" si="2"/>
        <v>3.6544757129018564E-2</v>
      </c>
      <c r="D8">
        <f t="shared" si="2"/>
        <v>4.6820430991730159E-2</v>
      </c>
      <c r="E8">
        <f t="shared" si="2"/>
        <v>2.9940387203805294E-2</v>
      </c>
      <c r="F8">
        <f t="shared" si="2"/>
        <v>3.5935050911475634E-2</v>
      </c>
      <c r="G8">
        <f t="shared" si="2"/>
        <v>4.316739329054068E-2</v>
      </c>
      <c r="H8">
        <f t="shared" si="2"/>
        <v>5.5555474660147673E-2</v>
      </c>
      <c r="I8">
        <f t="shared" si="2"/>
        <v>5.338755253838158E-2</v>
      </c>
      <c r="J8">
        <f t="shared" si="2"/>
        <v>3.8998287084882385E-2</v>
      </c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x14ac:dyDescent="0.25">
      <c r="A9" s="4" t="s">
        <v>55</v>
      </c>
      <c r="B9">
        <f t="shared" ref="B9:J9" si="3">B8*B7</f>
        <v>4.870548434324108E-7</v>
      </c>
      <c r="C9">
        <f t="shared" si="3"/>
        <v>3.8949368941355268E-7</v>
      </c>
      <c r="D9">
        <f t="shared" si="3"/>
        <v>4.9330232019132013E-7</v>
      </c>
      <c r="E9">
        <f t="shared" si="3"/>
        <v>3.1629335769266208E-7</v>
      </c>
      <c r="F9">
        <f t="shared" si="3"/>
        <v>3.841049542956006E-7</v>
      </c>
      <c r="G9">
        <f t="shared" si="3"/>
        <v>4.5830013346236096E-7</v>
      </c>
      <c r="H9">
        <f t="shared" si="3"/>
        <v>5.995865211812594E-7</v>
      </c>
      <c r="I9">
        <f t="shared" si="3"/>
        <v>5.5639890745949169E-7</v>
      </c>
      <c r="J9">
        <f t="shared" si="3"/>
        <v>4.1321898588225143E-7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 ht="60" x14ac:dyDescent="0.25">
      <c r="A10" s="4" t="s">
        <v>52</v>
      </c>
      <c r="B10">
        <f t="shared" ref="B10:J10" si="4">((B7-$A$12)/$A$12)*100</f>
        <v>4.9562423082035865E-2</v>
      </c>
      <c r="C10">
        <f t="shared" si="4"/>
        <v>0.4530725965201039</v>
      </c>
      <c r="D10">
        <f t="shared" si="4"/>
        <v>-0.69625422687667837</v>
      </c>
      <c r="E10">
        <f t="shared" si="4"/>
        <v>-0.43182690363722254</v>
      </c>
      <c r="F10">
        <f t="shared" si="4"/>
        <v>0.74407738456662575</v>
      </c>
      <c r="G10">
        <f t="shared" si="4"/>
        <v>6.4963013970851413E-2</v>
      </c>
      <c r="H10">
        <f t="shared" si="4"/>
        <v>1.7215287174132854</v>
      </c>
      <c r="I10">
        <f t="shared" si="4"/>
        <v>-1.7722635557841055</v>
      </c>
      <c r="J10">
        <f t="shared" si="4"/>
        <v>-0.13285944925478427</v>
      </c>
      <c r="S10" s="71" t="s">
        <v>26</v>
      </c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 spans="1:29" x14ac:dyDescent="0.25"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72" t="s">
        <v>39</v>
      </c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spans="1:29" x14ac:dyDescent="0.25">
      <c r="A12">
        <f>AVERAGE(B7:J7)</f>
        <v>1.0609920272136042E-5</v>
      </c>
      <c r="B12">
        <f>(1/9)*((B9^2+C9^2+D9^2+E9^2+F9^2+G9^2+H9^2+I9^2+J9^2)^0.5)</f>
        <v>1.5434952002847024E-7</v>
      </c>
      <c r="S12" s="72" t="s">
        <v>49</v>
      </c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spans="1:29" x14ac:dyDescent="0.25">
      <c r="X13" s="72" t="s">
        <v>27</v>
      </c>
      <c r="Y13" s="72"/>
      <c r="Z13" s="72"/>
      <c r="AA13" s="72"/>
      <c r="AB13" s="72"/>
    </row>
    <row r="14" spans="1:29" x14ac:dyDescent="0.25">
      <c r="A14" s="22"/>
      <c r="B14" s="22"/>
      <c r="C14" s="22"/>
      <c r="D14" s="22"/>
      <c r="E14" s="22"/>
      <c r="U14" s="4"/>
      <c r="V14" s="4"/>
      <c r="W14" s="4"/>
      <c r="X14" s="73" t="s">
        <v>28</v>
      </c>
      <c r="Y14" s="73"/>
      <c r="Z14" s="73"/>
      <c r="AA14" s="73"/>
      <c r="AB14" s="73"/>
      <c r="AC14" s="4"/>
    </row>
    <row r="15" spans="1:29" x14ac:dyDescent="0.25">
      <c r="A15" s="22"/>
      <c r="B15" s="22"/>
      <c r="C15" s="22"/>
      <c r="D15" s="22"/>
      <c r="E15" s="22"/>
      <c r="X15" s="74" t="s">
        <v>29</v>
      </c>
      <c r="Y15" s="74"/>
      <c r="Z15" s="74"/>
      <c r="AA15" s="74"/>
      <c r="AB15" s="74"/>
    </row>
    <row r="16" spans="1:29" x14ac:dyDescent="0.25">
      <c r="A16" s="22"/>
      <c r="B16" s="22"/>
      <c r="C16" s="22"/>
      <c r="D16" s="22"/>
      <c r="E16" s="22"/>
      <c r="K16" s="18"/>
      <c r="X16" s="72"/>
      <c r="Y16" s="72"/>
      <c r="Z16" s="72"/>
      <c r="AA16" s="72"/>
      <c r="AB16" s="72"/>
    </row>
    <row r="17" spans="1:29" x14ac:dyDescent="0.25">
      <c r="A17" s="4"/>
      <c r="K17" s="18"/>
      <c r="U17" s="4"/>
      <c r="V17" s="4"/>
      <c r="W17" s="4"/>
      <c r="X17" s="75" t="s">
        <v>30</v>
      </c>
      <c r="Y17" s="75"/>
      <c r="Z17" s="75"/>
      <c r="AA17" s="75"/>
      <c r="AB17" s="75"/>
      <c r="AC17" s="4"/>
    </row>
    <row r="18" spans="1:29" x14ac:dyDescent="0.25">
      <c r="A18" s="4"/>
      <c r="B18" s="9"/>
      <c r="C18" s="9"/>
      <c r="T18" s="72" t="s">
        <v>51</v>
      </c>
      <c r="U18" s="72"/>
      <c r="V18" s="72"/>
      <c r="W18" s="72"/>
      <c r="X18" s="72"/>
      <c r="Y18" s="72"/>
      <c r="Z18" s="72"/>
      <c r="AA18" s="72"/>
      <c r="AB18" s="72"/>
      <c r="AC18" s="72"/>
    </row>
  </sheetData>
  <mergeCells count="14">
    <mergeCell ref="S12:AC12"/>
    <mergeCell ref="T18:AC18"/>
    <mergeCell ref="S1:AC1"/>
    <mergeCell ref="X13:AB13"/>
    <mergeCell ref="X14:AB14"/>
    <mergeCell ref="X15:AB15"/>
    <mergeCell ref="X16:AB16"/>
    <mergeCell ref="X17:AB17"/>
    <mergeCell ref="S3:AC3"/>
    <mergeCell ref="S5:AC5"/>
    <mergeCell ref="S6:AC6"/>
    <mergeCell ref="S7:AC7"/>
    <mergeCell ref="S10:AC10"/>
    <mergeCell ref="S11:A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Sm_150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2014-08-06T18:07:44Z</cp:lastPrinted>
  <dcterms:created xsi:type="dcterms:W3CDTF">2014-07-30T17:02:26Z</dcterms:created>
  <dcterms:modified xsi:type="dcterms:W3CDTF">2015-05-11T17:06:28Z</dcterms:modified>
</cp:coreProperties>
</file>