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170" windowHeight="7560"/>
  </bookViews>
  <sheets>
    <sheet name="Eu_Calculations" sheetId="1" r:id="rId1"/>
    <sheet name="PPB_Eu_Aliquot_Sent" sheetId="2" r:id="rId2"/>
    <sheet name="PPB_Eu_to_Stoc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8" i="2"/>
  <c r="D3" i="2"/>
  <c r="D4" i="2"/>
  <c r="D5" i="2"/>
  <c r="D6" i="2"/>
  <c r="D7" i="2"/>
  <c r="D2" i="2"/>
  <c r="C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8" i="2"/>
  <c r="C3" i="2"/>
  <c r="C4" i="2"/>
  <c r="C5" i="2"/>
  <c r="C6" i="2"/>
  <c r="C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8" i="2"/>
  <c r="J3" i="1" l="1"/>
  <c r="J2" i="1"/>
  <c r="B38" i="1" l="1"/>
  <c r="A22" i="2" l="1"/>
  <c r="A23" i="2"/>
  <c r="A24" i="2"/>
  <c r="A25" i="2"/>
  <c r="A26" i="2"/>
  <c r="A27" i="2"/>
  <c r="A28" i="2"/>
  <c r="A29" i="2"/>
  <c r="M35" i="1" l="1"/>
  <c r="H29" i="2" l="1"/>
  <c r="M7" i="1"/>
  <c r="M15" i="1"/>
  <c r="M17" i="1"/>
  <c r="M19" i="1"/>
  <c r="M21" i="1"/>
  <c r="M23" i="1"/>
  <c r="M25" i="1"/>
  <c r="M27" i="1"/>
  <c r="M29" i="1"/>
  <c r="M31" i="1"/>
  <c r="M33" i="1"/>
  <c r="M8" i="1"/>
  <c r="M10" i="1"/>
  <c r="M12" i="1"/>
  <c r="M11" i="1"/>
  <c r="M34" i="1"/>
  <c r="M30" i="1"/>
  <c r="M26" i="1"/>
  <c r="M22" i="1"/>
  <c r="M18" i="1"/>
  <c r="M14" i="1"/>
  <c r="M9" i="1"/>
  <c r="M32" i="1"/>
  <c r="M28" i="1"/>
  <c r="M24" i="1"/>
  <c r="M20" i="1"/>
  <c r="M16" i="1"/>
  <c r="H26" i="2" l="1"/>
  <c r="H24" i="2"/>
  <c r="H27" i="2"/>
  <c r="H23" i="2"/>
  <c r="H22" i="2"/>
  <c r="H28" i="2"/>
  <c r="H25" i="2"/>
  <c r="H20" i="2"/>
  <c r="H21" i="2"/>
  <c r="H17" i="2"/>
  <c r="I17" i="2" s="1"/>
  <c r="F17" i="2"/>
  <c r="H18" i="2"/>
  <c r="H16" i="2"/>
  <c r="H19" i="2"/>
  <c r="H15" i="2"/>
  <c r="F14" i="2"/>
  <c r="H14" i="2"/>
  <c r="I14" i="2" s="1"/>
  <c r="H12" i="2"/>
  <c r="H13" i="2"/>
  <c r="H9" i="2"/>
  <c r="H10" i="2"/>
  <c r="H8" i="2"/>
  <c r="H11" i="2"/>
  <c r="B4" i="2"/>
  <c r="H4" i="2" s="1"/>
  <c r="B7" i="2"/>
  <c r="H7" i="2" s="1"/>
  <c r="B3" i="2"/>
  <c r="H3" i="2" s="1"/>
  <c r="B6" i="2"/>
  <c r="H6" i="2" s="1"/>
  <c r="B5" i="2"/>
  <c r="H5" i="2" s="1"/>
  <c r="H2" i="2"/>
  <c r="K15" i="1"/>
  <c r="K16" i="1"/>
  <c r="K17" i="1"/>
  <c r="K18" i="1"/>
  <c r="K19" i="1"/>
  <c r="K20" i="1"/>
  <c r="N20" i="1" s="1"/>
  <c r="O20" i="1" s="1"/>
  <c r="K21" i="1"/>
  <c r="K22" i="1"/>
  <c r="K23" i="1"/>
  <c r="N23" i="1" s="1"/>
  <c r="O23" i="1" s="1"/>
  <c r="K24" i="1"/>
  <c r="K25" i="1"/>
  <c r="K26" i="1"/>
  <c r="K27" i="1"/>
  <c r="K28" i="1"/>
  <c r="K29" i="1"/>
  <c r="K30" i="1"/>
  <c r="K31" i="1"/>
  <c r="K32" i="1"/>
  <c r="K33" i="1"/>
  <c r="K34" i="1"/>
  <c r="K35" i="1"/>
  <c r="K14" i="1"/>
  <c r="K8" i="1"/>
  <c r="K9" i="1"/>
  <c r="K10" i="1"/>
  <c r="K11" i="1"/>
  <c r="K12" i="1"/>
  <c r="K7" i="1"/>
  <c r="J14" i="2" l="1"/>
  <c r="J17" i="2"/>
  <c r="B6" i="4"/>
  <c r="B3" i="4"/>
  <c r="B4" i="4"/>
  <c r="B2" i="4"/>
  <c r="B5" i="4"/>
  <c r="B7" i="4"/>
  <c r="B9" i="4" s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B1" i="2"/>
  <c r="B1" i="4" s="1"/>
  <c r="A7" i="4" l="1"/>
  <c r="A5" i="4"/>
  <c r="A3" i="4"/>
  <c r="A1" i="4"/>
  <c r="A6" i="4"/>
  <c r="A4" i="4"/>
  <c r="A2" i="4"/>
  <c r="F28" i="1" l="1"/>
  <c r="F29" i="1"/>
  <c r="F30" i="1"/>
  <c r="F31" i="1"/>
  <c r="F32" i="1"/>
  <c r="F33" i="1"/>
  <c r="F34" i="1"/>
  <c r="F35" i="1"/>
  <c r="F8" i="1"/>
  <c r="F9" i="1"/>
  <c r="F10" i="1"/>
  <c r="F11" i="1"/>
  <c r="F12" i="1"/>
  <c r="F14" i="1"/>
  <c r="F15" i="1"/>
  <c r="F16" i="1"/>
  <c r="F17" i="1"/>
  <c r="F18" i="1"/>
  <c r="F19" i="1"/>
  <c r="F21" i="1"/>
  <c r="F22" i="1"/>
  <c r="F24" i="1"/>
  <c r="F25" i="1"/>
  <c r="F26" i="1"/>
  <c r="F27" i="1"/>
  <c r="F7" i="1"/>
  <c r="N35" i="1" l="1"/>
  <c r="N27" i="1"/>
  <c r="N25" i="1"/>
  <c r="N22" i="1"/>
  <c r="N19" i="1"/>
  <c r="N17" i="1"/>
  <c r="N15" i="1"/>
  <c r="N12" i="1"/>
  <c r="N10" i="1"/>
  <c r="N8" i="1"/>
  <c r="N34" i="1"/>
  <c r="N32" i="1"/>
  <c r="N30" i="1"/>
  <c r="N28" i="1"/>
  <c r="N7" i="1"/>
  <c r="N26" i="1"/>
  <c r="N24" i="1"/>
  <c r="N21" i="1"/>
  <c r="N18" i="1"/>
  <c r="N16" i="1"/>
  <c r="N14" i="1"/>
  <c r="N11" i="1"/>
  <c r="N9" i="1"/>
  <c r="N33" i="1"/>
  <c r="N31" i="1"/>
  <c r="N29" i="1"/>
  <c r="G27" i="1"/>
  <c r="G7" i="1"/>
  <c r="G26" i="1"/>
  <c r="G24" i="1"/>
  <c r="G21" i="1"/>
  <c r="G18" i="1"/>
  <c r="G16" i="1"/>
  <c r="G14" i="1"/>
  <c r="G11" i="1"/>
  <c r="G9" i="1"/>
  <c r="G35" i="1"/>
  <c r="G33" i="1"/>
  <c r="G31" i="1"/>
  <c r="G29" i="1"/>
  <c r="G25" i="1"/>
  <c r="G22" i="1"/>
  <c r="G19" i="1"/>
  <c r="G17" i="1"/>
  <c r="G15" i="1"/>
  <c r="G12" i="1"/>
  <c r="G10" i="1"/>
  <c r="G8" i="1"/>
  <c r="G34" i="1"/>
  <c r="G32" i="1"/>
  <c r="G30" i="1"/>
  <c r="G28" i="1"/>
  <c r="F23" i="2" l="1"/>
  <c r="F27" i="2"/>
  <c r="F6" i="2"/>
  <c r="F10" i="2"/>
  <c r="F15" i="2"/>
  <c r="F20" i="2"/>
  <c r="F22" i="2"/>
  <c r="F26" i="2"/>
  <c r="F3" i="2"/>
  <c r="F7" i="2"/>
  <c r="F11" i="2"/>
  <c r="F16" i="2"/>
  <c r="F21" i="2"/>
  <c r="F25" i="2"/>
  <c r="F4" i="2"/>
  <c r="F8" i="2"/>
  <c r="F12" i="2"/>
  <c r="F18" i="2"/>
  <c r="D2" i="4"/>
  <c r="F2" i="2"/>
  <c r="I2" i="2" s="1"/>
  <c r="J2" i="2" s="1"/>
  <c r="F24" i="2"/>
  <c r="F28" i="2"/>
  <c r="F5" i="2"/>
  <c r="F9" i="2"/>
  <c r="F13" i="2"/>
  <c r="F19" i="2"/>
  <c r="F29" i="2"/>
  <c r="O29" i="1"/>
  <c r="O33" i="1"/>
  <c r="O11" i="1"/>
  <c r="O16" i="1"/>
  <c r="O21" i="1"/>
  <c r="O26" i="1"/>
  <c r="O28" i="1"/>
  <c r="O32" i="1"/>
  <c r="O8" i="1"/>
  <c r="O12" i="1"/>
  <c r="O17" i="1"/>
  <c r="O22" i="1"/>
  <c r="O27" i="1"/>
  <c r="O31" i="1"/>
  <c r="C4" i="4"/>
  <c r="O9" i="1"/>
  <c r="O14" i="1"/>
  <c r="O18" i="1"/>
  <c r="O24" i="1"/>
  <c r="O7" i="1"/>
  <c r="O30" i="1"/>
  <c r="O34" i="1"/>
  <c r="D5" i="4"/>
  <c r="O10" i="1"/>
  <c r="O15" i="1"/>
  <c r="O19" i="1"/>
  <c r="O25" i="1"/>
  <c r="O35" i="1"/>
  <c r="I29" i="2" l="1"/>
  <c r="J29" i="2" s="1"/>
  <c r="I19" i="2"/>
  <c r="J19" i="2" s="1"/>
  <c r="I13" i="2"/>
  <c r="J13" i="2" s="1"/>
  <c r="I9" i="2"/>
  <c r="J9" i="2" s="1"/>
  <c r="I5" i="2"/>
  <c r="J5" i="2" s="1"/>
  <c r="I28" i="2"/>
  <c r="J28" i="2" s="1"/>
  <c r="I24" i="2"/>
  <c r="J24" i="2" s="1"/>
  <c r="I18" i="2"/>
  <c r="J18" i="2" s="1"/>
  <c r="I12" i="2"/>
  <c r="J12" i="2" s="1"/>
  <c r="I8" i="2"/>
  <c r="J8" i="2" s="1"/>
  <c r="I4" i="2"/>
  <c r="J4" i="2" s="1"/>
  <c r="I25" i="2"/>
  <c r="J25" i="2" s="1"/>
  <c r="I21" i="2"/>
  <c r="J21" i="2" s="1"/>
  <c r="I16" i="2"/>
  <c r="J16" i="2" s="1"/>
  <c r="I11" i="2"/>
  <c r="J11" i="2" s="1"/>
  <c r="I7" i="2"/>
  <c r="J7" i="2" s="1"/>
  <c r="I3" i="2"/>
  <c r="J3" i="2" s="1"/>
  <c r="I26" i="2"/>
  <c r="J26" i="2" s="1"/>
  <c r="I22" i="2"/>
  <c r="J22" i="2" s="1"/>
  <c r="I20" i="2"/>
  <c r="J20" i="2" s="1"/>
  <c r="I15" i="2"/>
  <c r="J15" i="2" s="1"/>
  <c r="I10" i="2"/>
  <c r="J10" i="2" s="1"/>
  <c r="I6" i="2"/>
  <c r="J6" i="2" s="1"/>
  <c r="I27" i="2"/>
  <c r="J27" i="2" s="1"/>
  <c r="I23" i="2"/>
  <c r="J23" i="2" s="1"/>
  <c r="D6" i="4"/>
  <c r="C2" i="4"/>
  <c r="D3" i="4"/>
  <c r="C5" i="4"/>
  <c r="D4" i="4"/>
  <c r="C3" i="4"/>
  <c r="C7" i="4"/>
  <c r="D7" i="4"/>
  <c r="C6" i="4"/>
  <c r="C9" i="4" l="1"/>
  <c r="D9" i="4" s="1"/>
</calcChain>
</file>

<file path=xl/sharedStrings.xml><?xml version="1.0" encoding="utf-8"?>
<sst xmlns="http://schemas.openxmlformats.org/spreadsheetml/2006/main" count="113" uniqueCount="65">
  <si>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</si>
  <si>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</si>
  <si>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</si>
  <si>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</si>
  <si>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</si>
  <si>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</si>
  <si>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</si>
  <si>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</si>
  <si>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</si>
  <si>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</si>
  <si>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</si>
  <si>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</si>
  <si>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</si>
  <si>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</si>
  <si>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</si>
  <si>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</si>
  <si>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</si>
  <si>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</si>
  <si>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</si>
  <si>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</si>
  <si>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</si>
  <si>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</si>
  <si>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</si>
  <si>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</si>
  <si>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</si>
  <si>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</si>
  <si>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</si>
  <si>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</si>
  <si>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</si>
  <si>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</si>
  <si>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</si>
  <si>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</si>
  <si>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</si>
  <si>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</si>
  <si>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</si>
  <si>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</si>
  <si>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</si>
  <si>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</si>
  <si>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</si>
  <si>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</si>
  <si>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MS-B Nd (ppb/cps)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</si>
  <si>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</si>
  <si>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</si>
  <si>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</si>
  <si>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</si>
  <si>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</si>
  <si>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</si>
  <si>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</si>
  <si>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The book says ~51 (lab notebook pg 123)</t>
  </si>
  <si>
    <t>% of STD</t>
  </si>
  <si>
    <t>% of Prop</t>
  </si>
  <si>
    <t>No Background</t>
  </si>
  <si>
    <t>Eu Response MSCS - M 1 (ppb/cps)</t>
  </si>
  <si>
    <t>Eu Response MSCS - M 2 (ppb/cps)</t>
  </si>
  <si>
    <t>Eu 153</t>
  </si>
  <si>
    <t>Background subtracted Eu values reported above.</t>
  </si>
  <si>
    <t>Lower limits of detection were determined based on the background Eu levels within each sample (see Mass_Contamination.xlsx File)</t>
  </si>
  <si>
    <t>Vial 87G basically vial 30G after 4 TBP contacts</t>
  </si>
  <si>
    <t>Eu Response</t>
  </si>
  <si>
    <t>Assume Eu reponse</t>
  </si>
  <si>
    <t>±^2</t>
  </si>
  <si>
    <t>Sum Sm</t>
  </si>
  <si>
    <t>CPS</t>
  </si>
  <si>
    <t>± (ppb)</t>
  </si>
  <si>
    <t>Background (Eu)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</si>
</sst>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4" fillId="0" borderId="2" applyNumberFormat="0" applyFont="0" applyFill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0" xfId="0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2" fillId="3" borderId="0" xfId="0" applyFont="1" applyFill="1"/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11" fontId="0" fillId="3" borderId="4" xfId="0" applyNumberFormat="1" applyFill="1" applyBorder="1"/>
    <xf numFmtId="0" fontId="0" fillId="3" borderId="5" xfId="0" applyFill="1" applyBorder="1"/>
    <xf numFmtId="0" fontId="0" fillId="0" borderId="7" xfId="0" applyBorder="1"/>
    <xf numFmtId="0" fontId="0" fillId="3" borderId="7" xfId="0" applyFill="1" applyBorder="1"/>
    <xf numFmtId="11" fontId="0" fillId="0" borderId="7" xfId="0" applyNumberFormat="1" applyBorder="1"/>
    <xf numFmtId="0" fontId="0" fillId="4" borderId="7" xfId="0" applyFill="1" applyBorder="1"/>
    <xf numFmtId="0" fontId="0" fillId="3" borderId="6" xfId="0" applyFill="1" applyBorder="1"/>
    <xf numFmtId="0" fontId="0" fillId="0" borderId="0" xfId="0" applyAlignment="1">
      <alignment wrapText="1"/>
    </xf>
    <xf numFmtId="0" fontId="0" fillId="0" borderId="6" xfId="0" applyFill="1" applyBorder="1"/>
    <xf numFmtId="0" fontId="2" fillId="0" borderId="4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Fill="1" applyBorder="1"/>
    <xf numFmtId="0" fontId="0" fillId="0" borderId="4" xfId="0" applyBorder="1"/>
    <xf numFmtId="0" fontId="2" fillId="0" borderId="4" xfId="0" applyFont="1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0" fontId="0" fillId="0" borderId="12" xfId="0" applyBorder="1"/>
    <xf numFmtId="0" fontId="0" fillId="0" borderId="8" xfId="0" applyBorder="1" applyAlignment="1">
      <alignment wrapText="1"/>
    </xf>
    <xf numFmtId="0" fontId="0" fillId="0" borderId="13" xfId="0" applyBorder="1"/>
    <xf numFmtId="0" fontId="0" fillId="0" borderId="6" xfId="0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pane ySplit="1" topLeftCell="A2" activePane="bottomLeft" state="frozen"/>
      <selection activeCell="G1" sqref="G1"/>
      <selection pane="bottomLeft" activeCell="Q13" sqref="Q13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2:22" x14ac:dyDescent="0.25">
      <c r="H1" s="41"/>
      <c r="J1" s="5">
        <v>153</v>
      </c>
      <c r="K1" s="5"/>
      <c r="L1" s="32"/>
      <c r="M1" s="5" t="s">
        <v>41</v>
      </c>
      <c r="N1" s="5"/>
      <c r="O1" s="5"/>
    </row>
    <row r="2" spans="2:22" x14ac:dyDescent="0.25">
      <c r="C2" t="s">
        <v>38</v>
      </c>
      <c r="E2">
        <v>40</v>
      </c>
      <c r="F2" t="s">
        <v>39</v>
      </c>
      <c r="H2" s="41" t="s">
        <v>58</v>
      </c>
      <c r="I2" s="5" t="s">
        <v>34</v>
      </c>
      <c r="J2" s="5">
        <f>(J13+J36+J6)/3</f>
        <v>1.0281598599828451E-5</v>
      </c>
      <c r="K2" s="5" t="s">
        <v>34</v>
      </c>
      <c r="L2" s="32"/>
    </row>
    <row r="3" spans="2:22" x14ac:dyDescent="0.25">
      <c r="C3" t="s">
        <v>37</v>
      </c>
      <c r="E3">
        <v>2.0000000000000001E-4</v>
      </c>
      <c r="F3" t="s">
        <v>35</v>
      </c>
      <c r="H3" s="41"/>
      <c r="I3" s="7" t="s">
        <v>33</v>
      </c>
      <c r="J3" s="15">
        <f>$B$39*((K13^2+K36^2+K6^2)^0.5)+($B$38)*_xlfn.STDEV.S(J36,J13,J6)</f>
        <v>9.0251140246923932E-8</v>
      </c>
      <c r="K3" s="7" t="s">
        <v>33</v>
      </c>
      <c r="L3" s="32"/>
      <c r="M3" s="5"/>
      <c r="N3" s="5"/>
      <c r="O3" s="5"/>
      <c r="P3" s="5"/>
      <c r="Q3" s="5"/>
      <c r="R3" s="5"/>
      <c r="S3" s="5"/>
      <c r="T3" s="5"/>
    </row>
    <row r="4" spans="2:22" x14ac:dyDescent="0.25">
      <c r="H4" s="41"/>
      <c r="I4" s="5" t="s">
        <v>34</v>
      </c>
      <c r="J4" s="15"/>
      <c r="K4" s="5" t="s">
        <v>34</v>
      </c>
      <c r="L4" s="32"/>
      <c r="M4" s="24" t="s">
        <v>44</v>
      </c>
      <c r="N4" s="5"/>
      <c r="P4" s="5"/>
      <c r="Q4" s="5"/>
      <c r="R4" s="5"/>
      <c r="S4" s="5"/>
      <c r="T4" s="5"/>
      <c r="V4" s="5"/>
    </row>
    <row r="5" spans="2:22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7" t="s">
        <v>33</v>
      </c>
      <c r="G5" s="7" t="s">
        <v>36</v>
      </c>
      <c r="H5" s="47" t="s">
        <v>62</v>
      </c>
      <c r="I5" s="48" t="s">
        <v>33</v>
      </c>
      <c r="J5" s="49" t="s">
        <v>62</v>
      </c>
      <c r="K5" s="48" t="s">
        <v>33</v>
      </c>
      <c r="L5" s="50"/>
      <c r="M5" s="51" t="s">
        <v>54</v>
      </c>
      <c r="N5" s="52" t="s">
        <v>33</v>
      </c>
      <c r="O5" s="52" t="s">
        <v>36</v>
      </c>
    </row>
    <row r="6" spans="2:22" s="11" customFormat="1" ht="45.75" thickTop="1" x14ac:dyDescent="0.25">
      <c r="B6" s="27"/>
      <c r="C6" s="28"/>
      <c r="D6" s="28"/>
      <c r="E6" s="28"/>
      <c r="F6" s="29"/>
      <c r="G6" s="29"/>
      <c r="H6" s="42" t="s">
        <v>58</v>
      </c>
      <c r="I6" s="13" t="s">
        <v>52</v>
      </c>
      <c r="J6" s="30">
        <v>1.0199865134743534E-5</v>
      </c>
      <c r="K6" s="29">
        <v>6.8931999999999998E-8</v>
      </c>
      <c r="L6" s="34"/>
      <c r="N6" s="31"/>
      <c r="O6" s="31"/>
    </row>
    <row r="7" spans="2:22" x14ac:dyDescent="0.25">
      <c r="B7" s="6" t="s">
        <v>4</v>
      </c>
      <c r="C7" s="3">
        <v>1.34E-2</v>
      </c>
      <c r="D7" s="3">
        <v>5.0464000000000002</v>
      </c>
      <c r="E7" s="3">
        <v>376.597014925373</v>
      </c>
      <c r="F7" s="8">
        <f>(((1/C7)^2)*($E$3^2)+((D7/(C7^2))^2)*($E$3^2))^0.5</f>
        <v>5.6208707851070203</v>
      </c>
      <c r="G7" s="9">
        <f>F7/E7</f>
        <v>1.4925425753098069E-2</v>
      </c>
      <c r="H7" s="41"/>
      <c r="I7" t="s">
        <v>4</v>
      </c>
      <c r="J7">
        <v>901.6</v>
      </c>
      <c r="K7">
        <f>(J7/$E$2)^0.5</f>
        <v>4.7476309881876873</v>
      </c>
      <c r="L7" s="33"/>
      <c r="M7">
        <f t="shared" ref="M7:M12" si="0">$J$2*J7*E7</f>
        <v>3.4910126381668309</v>
      </c>
      <c r="N7">
        <f t="shared" ref="N7:N12" si="1">((J7*E7*$J$3)^2+($J$2*E7*K7)^2+($J$2*J7*F7)^2)^0.5</f>
        <v>6.3181431389909157E-2</v>
      </c>
      <c r="O7" s="10">
        <f>N7/M7</f>
        <v>1.8098310701930433E-2</v>
      </c>
    </row>
    <row r="8" spans="2:22" x14ac:dyDescent="0.25">
      <c r="B8" s="6" t="s">
        <v>5</v>
      </c>
      <c r="C8" s="3">
        <v>3.9E-2</v>
      </c>
      <c r="D8" s="3">
        <v>4.9492000000000003</v>
      </c>
      <c r="E8" s="3">
        <v>126.90256410256411</v>
      </c>
      <c r="F8" s="8">
        <f t="shared" ref="F8:F12" si="2">(((1/C8)^2)*($E$3^2)+((D8/(C8^2))^2)*($E$3^2))^0.5</f>
        <v>0.65080258498519816</v>
      </c>
      <c r="G8" s="9">
        <f t="shared" ref="G8:G12" si="3">F8/E8</f>
        <v>5.1283643446259448E-3</v>
      </c>
      <c r="H8" s="41"/>
      <c r="I8" t="s">
        <v>5</v>
      </c>
      <c r="J8">
        <v>90.4</v>
      </c>
      <c r="K8">
        <f t="shared" ref="K8:K12" si="4">(J8/$E$2)^0.5</f>
        <v>1.5033296378372909</v>
      </c>
      <c r="L8" s="35"/>
      <c r="M8">
        <f t="shared" si="0"/>
        <v>0.11795041477539735</v>
      </c>
      <c r="N8">
        <f t="shared" si="1"/>
        <v>2.2989768175883355E-3</v>
      </c>
      <c r="O8" s="10">
        <f t="shared" ref="O8:O35" si="5">N8/M8</f>
        <v>1.9491044791712483E-2</v>
      </c>
    </row>
    <row r="9" spans="2:22" x14ac:dyDescent="0.25">
      <c r="B9" s="6" t="s">
        <v>6</v>
      </c>
      <c r="C9" s="3">
        <v>5.0299999999999997E-2</v>
      </c>
      <c r="D9" s="3">
        <v>4.9884000000000004</v>
      </c>
      <c r="E9" s="3">
        <v>99.172962226640166</v>
      </c>
      <c r="F9" s="8">
        <f t="shared" si="2"/>
        <v>0.39434593954365693</v>
      </c>
      <c r="G9" s="9">
        <f t="shared" si="3"/>
        <v>3.9763452728421821E-3</v>
      </c>
      <c r="H9" s="41"/>
      <c r="I9" t="s">
        <v>6</v>
      </c>
      <c r="J9">
        <v>4.8</v>
      </c>
      <c r="K9">
        <f t="shared" si="4"/>
        <v>0.34641016151377546</v>
      </c>
      <c r="L9" s="35"/>
      <c r="M9">
        <f t="shared" si="0"/>
        <v>4.8943516299372646E-3</v>
      </c>
      <c r="N9">
        <f t="shared" si="1"/>
        <v>3.5635440090354861E-4</v>
      </c>
      <c r="O9" s="10">
        <f t="shared" si="5"/>
        <v>7.2809317320773767E-2</v>
      </c>
    </row>
    <row r="10" spans="2:22" x14ac:dyDescent="0.25">
      <c r="B10" s="6" t="s">
        <v>7</v>
      </c>
      <c r="C10" s="3">
        <v>3.6399999999999995E-2</v>
      </c>
      <c r="D10" s="3">
        <v>4.9635000000000007</v>
      </c>
      <c r="E10" s="3">
        <v>136.35989010989016</v>
      </c>
      <c r="F10" s="8">
        <f t="shared" si="2"/>
        <v>0.74925031224172078</v>
      </c>
      <c r="G10" s="9">
        <f t="shared" si="3"/>
        <v>5.4946532417847541E-3</v>
      </c>
      <c r="H10" s="41"/>
      <c r="I10" t="s">
        <v>7</v>
      </c>
      <c r="J10">
        <v>20.8</v>
      </c>
      <c r="K10">
        <f t="shared" si="4"/>
        <v>0.72111025509279791</v>
      </c>
      <c r="L10" s="35"/>
      <c r="M10">
        <f t="shared" si="0"/>
        <v>2.9161551228713452E-2</v>
      </c>
      <c r="N10">
        <f t="shared" si="1"/>
        <v>1.0551350139640246E-3</v>
      </c>
      <c r="O10" s="10">
        <f t="shared" si="5"/>
        <v>3.6182403524717265E-2</v>
      </c>
    </row>
    <row r="11" spans="2:22" x14ac:dyDescent="0.25">
      <c r="B11" s="6" t="s">
        <v>8</v>
      </c>
      <c r="C11" s="3">
        <v>2.8899999999999999E-2</v>
      </c>
      <c r="D11" s="3">
        <v>4.9984000000000002</v>
      </c>
      <c r="E11" s="3">
        <v>172.95501730103808</v>
      </c>
      <c r="F11" s="8">
        <f t="shared" si="2"/>
        <v>1.1969405411901297</v>
      </c>
      <c r="G11" s="9">
        <f t="shared" si="3"/>
        <v>6.9205308979662979E-3</v>
      </c>
      <c r="H11" s="41"/>
      <c r="I11" t="s">
        <v>8</v>
      </c>
      <c r="J11">
        <v>2628.2999999999997</v>
      </c>
      <c r="K11">
        <f t="shared" si="4"/>
        <v>8.1060162842175441</v>
      </c>
      <c r="L11" s="35"/>
      <c r="M11">
        <f t="shared" si="0"/>
        <v>4.6737851556638654</v>
      </c>
      <c r="N11">
        <f t="shared" si="1"/>
        <v>5.4195281476321217E-2</v>
      </c>
      <c r="O11" s="10">
        <f t="shared" si="5"/>
        <v>1.1595586804122858E-2</v>
      </c>
    </row>
    <row r="12" spans="2:22" x14ac:dyDescent="0.25">
      <c r="B12" s="6" t="s">
        <v>9</v>
      </c>
      <c r="C12" s="3">
        <v>4.4299999999999999E-2</v>
      </c>
      <c r="D12" s="3">
        <v>4.9031000000000002</v>
      </c>
      <c r="E12" s="3">
        <v>110.67945823927766</v>
      </c>
      <c r="F12" s="8">
        <f t="shared" si="2"/>
        <v>0.499701921883555</v>
      </c>
      <c r="G12" s="9">
        <f t="shared" si="3"/>
        <v>4.5148569556895607E-3</v>
      </c>
      <c r="H12" s="41"/>
      <c r="I12" t="s">
        <v>9</v>
      </c>
      <c r="J12">
        <v>3085.9799999999996</v>
      </c>
      <c r="K12">
        <f t="shared" si="4"/>
        <v>8.7834788096744436</v>
      </c>
      <c r="L12" s="35"/>
      <c r="M12">
        <f t="shared" si="0"/>
        <v>3.5117272409591234</v>
      </c>
      <c r="N12">
        <f t="shared" si="1"/>
        <v>3.6076417009547099E-2</v>
      </c>
      <c r="O12" s="10">
        <f t="shared" si="5"/>
        <v>1.0273126166738936E-2</v>
      </c>
    </row>
    <row r="13" spans="2:22" s="11" customFormat="1" ht="30" x14ac:dyDescent="0.25">
      <c r="H13" s="42" t="s">
        <v>58</v>
      </c>
      <c r="I13" s="12" t="s">
        <v>40</v>
      </c>
      <c r="J13" s="14">
        <v>1.0532828533396552E-5</v>
      </c>
      <c r="K13" s="14">
        <v>7.5261000000000001E-8</v>
      </c>
      <c r="L13" s="34"/>
      <c r="M13" s="11">
        <v>0</v>
      </c>
      <c r="N13" s="11">
        <v>0</v>
      </c>
      <c r="O13" s="11">
        <v>0</v>
      </c>
    </row>
    <row r="14" spans="2:22" x14ac:dyDescent="0.25">
      <c r="B14" s="6" t="s">
        <v>19</v>
      </c>
      <c r="C14" s="3">
        <v>9.3700000000000006E-2</v>
      </c>
      <c r="D14" s="3">
        <v>5.0049000000000001</v>
      </c>
      <c r="E14" s="3">
        <v>53.414087513340448</v>
      </c>
      <c r="F14" s="8">
        <f t="shared" ref="F14:F19" si="6">(((1/C14)^2)*($E$3^2)+((D14/(C14^2))^2)*($E$3^2))^0.5</f>
        <v>0.11403083782205169</v>
      </c>
      <c r="G14" s="9">
        <f t="shared" ref="G14:G19" si="7">F14/E14</f>
        <v>2.1348457519483393E-3</v>
      </c>
      <c r="H14" s="43"/>
      <c r="I14" t="s">
        <v>19</v>
      </c>
      <c r="J14">
        <v>266.39999999999998</v>
      </c>
      <c r="K14">
        <f>(J14/$E$2)^0.5</f>
        <v>2.5806975801127878</v>
      </c>
      <c r="L14" s="35"/>
      <c r="M14">
        <f t="shared" ref="M14:M35" si="8">$J$2*J14*E14</f>
        <v>0.14630214004823658</v>
      </c>
      <c r="N14">
        <f t="shared" ref="N14:N35" si="9">((J14*E14*$J$3)^2+($J$2*E14*K14)^2+($J$2*J14*F14)^2)^0.5</f>
        <v>1.9379011812326056E-3</v>
      </c>
      <c r="O14" s="10">
        <f t="shared" si="5"/>
        <v>1.3245884035555936E-2</v>
      </c>
    </row>
    <row r="15" spans="2:22" x14ac:dyDescent="0.25">
      <c r="B15" s="6" t="s">
        <v>20</v>
      </c>
      <c r="C15" s="3">
        <v>2.87E-2</v>
      </c>
      <c r="D15" s="3">
        <v>4.9332000000000003</v>
      </c>
      <c r="E15" s="3">
        <v>171.88850174216029</v>
      </c>
      <c r="F15" s="8">
        <f t="shared" si="6"/>
        <v>1.1978495510797849</v>
      </c>
      <c r="G15" s="9">
        <f t="shared" si="7"/>
        <v>6.968759044026154E-3</v>
      </c>
      <c r="H15" s="43"/>
      <c r="I15" t="s">
        <v>20</v>
      </c>
      <c r="J15">
        <v>16</v>
      </c>
      <c r="K15">
        <f t="shared" ref="K15:K35" si="10">(J15/$E$2)^0.5</f>
        <v>0.63245553203367588</v>
      </c>
      <c r="L15" s="35"/>
      <c r="M15">
        <f t="shared" si="8"/>
        <v>2.8276617261420889E-2</v>
      </c>
      <c r="N15">
        <f t="shared" si="9"/>
        <v>1.1617924497612335E-3</v>
      </c>
      <c r="O15" s="10">
        <f t="shared" si="5"/>
        <v>4.10866844156186E-2</v>
      </c>
    </row>
    <row r="16" spans="2:22" x14ac:dyDescent="0.25">
      <c r="B16" s="6" t="s">
        <v>21</v>
      </c>
      <c r="C16" s="3">
        <v>4.0600000000000004E-2</v>
      </c>
      <c r="D16" s="3">
        <v>5.0502000000000002</v>
      </c>
      <c r="E16" s="3">
        <v>124.38916256157634</v>
      </c>
      <c r="F16" s="8">
        <f t="shared" si="6"/>
        <v>0.61277429625328761</v>
      </c>
      <c r="G16" s="9">
        <f t="shared" si="7"/>
        <v>4.9262675592815098E-3</v>
      </c>
      <c r="H16" s="41"/>
      <c r="I16" t="s">
        <v>21</v>
      </c>
      <c r="J16">
        <v>9.6</v>
      </c>
      <c r="K16">
        <f t="shared" si="10"/>
        <v>0.4898979485566356</v>
      </c>
      <c r="L16" s="35"/>
      <c r="M16">
        <f t="shared" si="8"/>
        <v>1.2277626620418595E-2</v>
      </c>
      <c r="N16">
        <f t="shared" si="9"/>
        <v>6.3861208444149209E-4</v>
      </c>
      <c r="O16" s="10">
        <f t="shared" si="5"/>
        <v>5.20142943082691E-2</v>
      </c>
    </row>
    <row r="17" spans="2:15" x14ac:dyDescent="0.25">
      <c r="B17" s="6" t="s">
        <v>22</v>
      </c>
      <c r="C17" s="3">
        <v>3.2599999999999997E-2</v>
      </c>
      <c r="D17" s="3">
        <v>4.9707999999999997</v>
      </c>
      <c r="E17" s="3">
        <v>152.47852760736197</v>
      </c>
      <c r="F17" s="8">
        <f t="shared" si="6"/>
        <v>0.93547120688552143</v>
      </c>
      <c r="G17" s="9">
        <f t="shared" si="7"/>
        <v>6.1351012602534798E-3</v>
      </c>
      <c r="H17" s="41"/>
      <c r="I17" t="s">
        <v>22</v>
      </c>
      <c r="J17">
        <v>10.399999999999999</v>
      </c>
      <c r="K17">
        <f t="shared" si="10"/>
        <v>0.5099019513592784</v>
      </c>
      <c r="L17" s="35"/>
      <c r="M17">
        <f t="shared" si="8"/>
        <v>1.6304319365898268E-2</v>
      </c>
      <c r="N17">
        <f t="shared" si="9"/>
        <v>8.1823282454989896E-4</v>
      </c>
      <c r="O17" s="10">
        <f t="shared" si="5"/>
        <v>5.0185034173293709E-2</v>
      </c>
    </row>
    <row r="18" spans="2:15" x14ac:dyDescent="0.25">
      <c r="B18" s="6" t="s">
        <v>23</v>
      </c>
      <c r="C18" s="3">
        <v>3.2399999999999998E-2</v>
      </c>
      <c r="D18" s="3">
        <v>5.0772000000000004</v>
      </c>
      <c r="E18" s="3">
        <v>156.70370370370372</v>
      </c>
      <c r="F18" s="8">
        <f t="shared" si="6"/>
        <v>0.96732650868068526</v>
      </c>
      <c r="G18" s="9">
        <f t="shared" si="7"/>
        <v>6.1729651936607184E-3</v>
      </c>
      <c r="H18" s="41"/>
      <c r="I18" t="s">
        <v>23</v>
      </c>
      <c r="J18">
        <v>16</v>
      </c>
      <c r="K18">
        <f t="shared" si="10"/>
        <v>0.63245553203367588</v>
      </c>
      <c r="L18" s="35"/>
      <c r="M18">
        <f t="shared" si="8"/>
        <v>2.5778633289406924E-2</v>
      </c>
      <c r="N18">
        <f t="shared" si="9"/>
        <v>1.0558726586809815E-3</v>
      </c>
      <c r="O18" s="10">
        <f t="shared" si="5"/>
        <v>4.0959217923894578E-2</v>
      </c>
    </row>
    <row r="19" spans="2:15" x14ac:dyDescent="0.25">
      <c r="B19" s="6" t="s">
        <v>24</v>
      </c>
      <c r="C19" s="3">
        <v>6.7900000000000002E-2</v>
      </c>
      <c r="D19" s="3">
        <v>4.9969000000000001</v>
      </c>
      <c r="E19" s="3">
        <v>73.592047128129607</v>
      </c>
      <c r="F19" s="8">
        <f t="shared" si="6"/>
        <v>0.21678598240630462</v>
      </c>
      <c r="G19" s="9">
        <f t="shared" si="7"/>
        <v>2.9457800246929259E-3</v>
      </c>
      <c r="H19" s="41"/>
      <c r="I19" t="s">
        <v>24</v>
      </c>
      <c r="J19">
        <v>38.400000000000006</v>
      </c>
      <c r="K19">
        <f t="shared" si="10"/>
        <v>0.97979589711327131</v>
      </c>
      <c r="L19" s="35"/>
      <c r="M19">
        <f t="shared" si="8"/>
        <v>2.9055125326505737E-2</v>
      </c>
      <c r="N19">
        <f t="shared" si="9"/>
        <v>7.8865871916171816E-4</v>
      </c>
      <c r="O19" s="10">
        <f t="shared" si="5"/>
        <v>2.714353183127587E-2</v>
      </c>
    </row>
    <row r="20" spans="2:15" s="21" customFormat="1" x14ac:dyDescent="0.25">
      <c r="B20" s="17" t="s">
        <v>25</v>
      </c>
      <c r="C20" s="18" t="s">
        <v>26</v>
      </c>
      <c r="D20" s="17">
        <v>5.5175000000000001</v>
      </c>
      <c r="E20" s="18" t="s">
        <v>26</v>
      </c>
      <c r="F20" s="19"/>
      <c r="G20" s="20"/>
      <c r="H20" s="44"/>
      <c r="I20" s="21" t="s">
        <v>25</v>
      </c>
      <c r="J20" s="21">
        <v>12.799999999999999</v>
      </c>
      <c r="K20" s="21">
        <f t="shared" si="10"/>
        <v>0.56568542494923801</v>
      </c>
      <c r="L20" s="36"/>
      <c r="M20" s="21" t="e">
        <f t="shared" si="8"/>
        <v>#VALUE!</v>
      </c>
      <c r="N20" s="21" t="e">
        <f t="shared" si="9"/>
        <v>#VALUE!</v>
      </c>
      <c r="O20" s="22" t="e">
        <f t="shared" si="5"/>
        <v>#VALUE!</v>
      </c>
    </row>
    <row r="21" spans="2:15" x14ac:dyDescent="0.25">
      <c r="B21" s="6" t="s">
        <v>27</v>
      </c>
      <c r="C21" s="3">
        <v>1.6500000000000001E-2</v>
      </c>
      <c r="D21" s="3">
        <v>4.8581000000000003</v>
      </c>
      <c r="E21" s="3">
        <v>294.43030303030304</v>
      </c>
      <c r="F21" s="8">
        <f>(((1/C21)^2)*($E$3^2)+((D21/(C21^2))^2)*($E$3^2))^0.5</f>
        <v>3.5688727420627053</v>
      </c>
      <c r="G21" s="9">
        <f>F21/E21</f>
        <v>1.2121282032900648E-2</v>
      </c>
      <c r="H21" s="41"/>
      <c r="I21" t="s">
        <v>27</v>
      </c>
      <c r="J21">
        <v>3.1999999999999997</v>
      </c>
      <c r="K21">
        <f t="shared" si="10"/>
        <v>0.28284271247461901</v>
      </c>
      <c r="L21" s="35"/>
      <c r="M21">
        <f t="shared" si="8"/>
        <v>9.687085412426976E-3</v>
      </c>
      <c r="N21">
        <f t="shared" si="9"/>
        <v>8.6841235958674563E-4</v>
      </c>
      <c r="O21" s="10">
        <f t="shared" si="5"/>
        <v>8.964640267058159E-2</v>
      </c>
    </row>
    <row r="22" spans="2:15" x14ac:dyDescent="0.25">
      <c r="B22" s="6" t="s">
        <v>28</v>
      </c>
      <c r="C22" s="3">
        <v>4.0399999999999998E-2</v>
      </c>
      <c r="D22" s="3">
        <v>4.9471999999999996</v>
      </c>
      <c r="E22" s="3">
        <v>122.45544554455445</v>
      </c>
      <c r="F22" s="8">
        <f>(((1/C22)^2)*($E$3^2)+((D22/(C22^2))^2)*($E$3^2))^0.5</f>
        <v>0.6062352900703305</v>
      </c>
      <c r="G22" s="9">
        <f>F22/E22</f>
        <v>4.9506601145782167E-3</v>
      </c>
      <c r="H22" s="41"/>
      <c r="I22" t="s">
        <v>28</v>
      </c>
      <c r="J22">
        <v>13.6</v>
      </c>
      <c r="K22">
        <f t="shared" si="10"/>
        <v>0.58309518948452999</v>
      </c>
      <c r="L22" s="35"/>
      <c r="M22">
        <f t="shared" si="8"/>
        <v>1.712291322935074E-2</v>
      </c>
      <c r="N22">
        <f t="shared" si="9"/>
        <v>7.5414651122575685E-4</v>
      </c>
      <c r="O22" s="10">
        <f t="shared" si="5"/>
        <v>4.4043119364353185E-2</v>
      </c>
    </row>
    <row r="23" spans="2:15" s="21" customFormat="1" x14ac:dyDescent="0.25">
      <c r="B23" s="17" t="s">
        <v>29</v>
      </c>
      <c r="C23" s="18" t="s">
        <v>26</v>
      </c>
      <c r="D23" s="17">
        <v>4.9318</v>
      </c>
      <c r="E23" s="18" t="s">
        <v>26</v>
      </c>
      <c r="F23" s="19"/>
      <c r="G23" s="23"/>
      <c r="H23" s="44"/>
      <c r="I23" s="21" t="s">
        <v>29</v>
      </c>
      <c r="J23" s="21">
        <v>9.6</v>
      </c>
      <c r="K23" s="21">
        <f t="shared" si="10"/>
        <v>0.4898979485566356</v>
      </c>
      <c r="L23" s="36"/>
      <c r="M23" s="21" t="e">
        <f t="shared" si="8"/>
        <v>#VALUE!</v>
      </c>
      <c r="N23" s="21" t="e">
        <f t="shared" si="9"/>
        <v>#VALUE!</v>
      </c>
      <c r="O23" s="22" t="e">
        <f t="shared" si="5"/>
        <v>#VALUE!</v>
      </c>
    </row>
    <row r="24" spans="2:15" x14ac:dyDescent="0.25">
      <c r="B24" s="6" t="s">
        <v>30</v>
      </c>
      <c r="C24" s="3">
        <v>3.6400000000000002E-2</v>
      </c>
      <c r="D24" s="3">
        <v>4.9192</v>
      </c>
      <c r="E24" s="3">
        <v>135.14285714285714</v>
      </c>
      <c r="F24" s="8">
        <f t="shared" ref="F24:F35" si="11">(((1/C24)^2)*($E$3^2)+((D24/(C24^2))^2)*($E$3^2))^0.5</f>
        <v>0.7425634993450424</v>
      </c>
      <c r="G24" s="9">
        <f t="shared" ref="G24:G35" si="12">F24/E24</f>
        <v>5.4946559148153244E-3</v>
      </c>
      <c r="H24" s="41"/>
      <c r="I24" t="s">
        <v>30</v>
      </c>
      <c r="J24">
        <v>17.599999999999998</v>
      </c>
      <c r="K24">
        <f t="shared" si="10"/>
        <v>0.66332495807107994</v>
      </c>
      <c r="L24" s="35"/>
      <c r="M24">
        <f t="shared" si="8"/>
        <v>2.4454929149671966E-2</v>
      </c>
      <c r="N24">
        <f t="shared" si="9"/>
        <v>9.5583986319678455E-4</v>
      </c>
      <c r="O24" s="10">
        <f t="shared" si="5"/>
        <v>3.9085775196760528E-2</v>
      </c>
    </row>
    <row r="25" spans="2:15" x14ac:dyDescent="0.25">
      <c r="B25" s="3" t="s">
        <v>10</v>
      </c>
      <c r="C25" s="3">
        <v>1.21E-2</v>
      </c>
      <c r="D25" s="3">
        <v>4.9885000000000002</v>
      </c>
      <c r="E25" s="3">
        <v>412.27272727272731</v>
      </c>
      <c r="F25" s="8">
        <f t="shared" si="11"/>
        <v>6.8144452902538699</v>
      </c>
      <c r="G25" s="9">
        <f t="shared" si="12"/>
        <v>1.6528974243173664E-2</v>
      </c>
      <c r="H25" s="41"/>
      <c r="I25" t="s">
        <v>10</v>
      </c>
      <c r="J25">
        <v>168</v>
      </c>
      <c r="K25">
        <f t="shared" si="10"/>
        <v>2.0493901531919199</v>
      </c>
      <c r="L25" s="35"/>
      <c r="M25">
        <f t="shared" si="8"/>
        <v>0.71212221283975463</v>
      </c>
      <c r="N25">
        <f t="shared" si="9"/>
        <v>1.5908697821711476E-2</v>
      </c>
      <c r="O25" s="10">
        <f t="shared" si="5"/>
        <v>2.2339842143487991E-2</v>
      </c>
    </row>
    <row r="26" spans="2:15" x14ac:dyDescent="0.25">
      <c r="B26" s="3" t="s">
        <v>11</v>
      </c>
      <c r="C26" s="3">
        <v>4.9700000000000001E-2</v>
      </c>
      <c r="D26" s="3">
        <v>4.8765000000000001</v>
      </c>
      <c r="E26" s="3">
        <v>98.118712273641847</v>
      </c>
      <c r="F26" s="8">
        <f t="shared" si="11"/>
        <v>0.39486441854832172</v>
      </c>
      <c r="G26" s="9">
        <f t="shared" si="12"/>
        <v>4.0243538607303581E-3</v>
      </c>
      <c r="H26" s="41"/>
      <c r="I26" t="s">
        <v>11</v>
      </c>
      <c r="J26">
        <v>3841.4</v>
      </c>
      <c r="K26">
        <f t="shared" si="10"/>
        <v>9.7997448946388399</v>
      </c>
      <c r="L26" s="33"/>
      <c r="M26">
        <f t="shared" si="8"/>
        <v>3.875270448662465</v>
      </c>
      <c r="N26">
        <f t="shared" si="9"/>
        <v>3.8705300621019928E-2</v>
      </c>
      <c r="O26" s="10">
        <f t="shared" si="5"/>
        <v>9.9877675980985844E-3</v>
      </c>
    </row>
    <row r="27" spans="2:15" x14ac:dyDescent="0.25">
      <c r="B27" s="3" t="s">
        <v>12</v>
      </c>
      <c r="C27" s="3">
        <v>2.7699999999999999E-2</v>
      </c>
      <c r="D27" s="3">
        <v>4.9138999999999999</v>
      </c>
      <c r="E27" s="3">
        <v>177.39711191335741</v>
      </c>
      <c r="F27" s="8">
        <f t="shared" si="11"/>
        <v>1.2808659236544595</v>
      </c>
      <c r="G27" s="9">
        <f t="shared" si="12"/>
        <v>7.2203313224177392E-3</v>
      </c>
      <c r="H27" s="41"/>
      <c r="I27" t="s">
        <v>12</v>
      </c>
      <c r="J27">
        <v>2332.2000000000003</v>
      </c>
      <c r="K27">
        <f t="shared" si="10"/>
        <v>7.6357710809059753</v>
      </c>
      <c r="L27" s="35"/>
      <c r="M27">
        <f t="shared" si="8"/>
        <v>4.2537599780608453</v>
      </c>
      <c r="N27">
        <f t="shared" si="9"/>
        <v>5.0314035195775958E-2</v>
      </c>
      <c r="O27" s="10">
        <f t="shared" si="5"/>
        <v>1.1828132159612949E-2</v>
      </c>
    </row>
    <row r="28" spans="2:15" x14ac:dyDescent="0.25">
      <c r="B28" s="3" t="s">
        <v>31</v>
      </c>
      <c r="C28" s="3">
        <v>1.01E-2</v>
      </c>
      <c r="D28" s="3">
        <v>5.0003000000000002</v>
      </c>
      <c r="E28" s="3">
        <v>495.0792079207921</v>
      </c>
      <c r="F28" s="8">
        <f t="shared" si="11"/>
        <v>9.8035686704785281</v>
      </c>
      <c r="G28" s="9">
        <f t="shared" si="12"/>
        <v>1.9802020593131037E-2</v>
      </c>
      <c r="H28" s="41"/>
      <c r="I28" t="s">
        <v>31</v>
      </c>
      <c r="J28">
        <v>72.800000000000011</v>
      </c>
      <c r="K28">
        <f t="shared" si="10"/>
        <v>1.3490737563232043</v>
      </c>
      <c r="L28" s="35"/>
      <c r="M28">
        <f t="shared" si="8"/>
        <v>0.37056697430207697</v>
      </c>
      <c r="N28">
        <f t="shared" si="9"/>
        <v>1.0563295140795981E-2</v>
      </c>
      <c r="O28" s="10">
        <f t="shared" si="5"/>
        <v>2.8505765147287643E-2</v>
      </c>
    </row>
    <row r="29" spans="2:15" x14ac:dyDescent="0.25">
      <c r="B29" s="3" t="s">
        <v>32</v>
      </c>
      <c r="C29" s="3">
        <v>5.7000000000000002E-3</v>
      </c>
      <c r="D29" s="3">
        <v>4.8712999999999997</v>
      </c>
      <c r="E29" s="3">
        <v>854.61403508771923</v>
      </c>
      <c r="F29" s="8">
        <f t="shared" si="11"/>
        <v>29.986477899892936</v>
      </c>
      <c r="G29" s="9">
        <f t="shared" si="12"/>
        <v>3.5087743318906607E-2</v>
      </c>
      <c r="H29" s="41"/>
      <c r="I29" t="s">
        <v>32</v>
      </c>
      <c r="J29">
        <v>12.8</v>
      </c>
      <c r="K29">
        <f t="shared" si="10"/>
        <v>0.56568542494923801</v>
      </c>
      <c r="L29" s="35"/>
      <c r="M29">
        <f t="shared" si="8"/>
        <v>0.11247102037186095</v>
      </c>
      <c r="N29">
        <f t="shared" si="9"/>
        <v>6.4229980848891938E-3</v>
      </c>
      <c r="O29" s="10">
        <f t="shared" si="5"/>
        <v>5.7108027149153168E-2</v>
      </c>
    </row>
    <row r="30" spans="2:15" x14ac:dyDescent="0.25">
      <c r="B30" s="3" t="s">
        <v>13</v>
      </c>
      <c r="C30" s="4">
        <v>2.5381</v>
      </c>
      <c r="D30" s="3">
        <v>5.0625</v>
      </c>
      <c r="E30" s="3">
        <v>1.9946022615342185</v>
      </c>
      <c r="F30" s="8">
        <f t="shared" si="11"/>
        <v>1.7581981791480486E-4</v>
      </c>
      <c r="G30" s="9">
        <f t="shared" si="12"/>
        <v>8.8147808365346417E-5</v>
      </c>
      <c r="H30" s="41"/>
      <c r="I30" t="s">
        <v>13</v>
      </c>
      <c r="J30">
        <v>600</v>
      </c>
      <c r="K30">
        <f t="shared" si="10"/>
        <v>3.872983346207417</v>
      </c>
      <c r="L30" s="35"/>
      <c r="M30">
        <f t="shared" si="8"/>
        <v>1.2304619891642929E-2</v>
      </c>
      <c r="N30">
        <f t="shared" si="9"/>
        <v>1.3407320171749656E-4</v>
      </c>
      <c r="O30" s="10">
        <f t="shared" si="5"/>
        <v>1.0896167691336537E-2</v>
      </c>
    </row>
    <row r="31" spans="2:15" x14ac:dyDescent="0.25">
      <c r="B31" s="3" t="s">
        <v>14</v>
      </c>
      <c r="C31" s="4">
        <v>2.7002000000000002</v>
      </c>
      <c r="D31" s="3">
        <v>5.3585000000000003</v>
      </c>
      <c r="E31" s="3">
        <v>1.9844826309162285</v>
      </c>
      <c r="F31" s="8">
        <f t="shared" si="11"/>
        <v>1.6459518971101252E-4</v>
      </c>
      <c r="G31" s="9">
        <f t="shared" si="12"/>
        <v>8.2941108753881867E-5</v>
      </c>
      <c r="H31" s="41"/>
      <c r="I31" t="s">
        <v>14</v>
      </c>
      <c r="J31">
        <v>156.80000000000001</v>
      </c>
      <c r="K31">
        <f t="shared" si="10"/>
        <v>1.9798989873223332</v>
      </c>
      <c r="L31" s="35"/>
      <c r="M31">
        <f t="shared" si="8"/>
        <v>3.1992929220198293E-3</v>
      </c>
      <c r="N31">
        <f t="shared" si="9"/>
        <v>4.9200266509542736E-5</v>
      </c>
      <c r="O31" s="10">
        <f t="shared" si="5"/>
        <v>1.5378481342208837E-2</v>
      </c>
    </row>
    <row r="32" spans="2:15" x14ac:dyDescent="0.25">
      <c r="B32" s="3" t="s">
        <v>15</v>
      </c>
      <c r="C32" s="4">
        <v>2.6623999999999999</v>
      </c>
      <c r="D32" s="3">
        <v>5.5254000000000003</v>
      </c>
      <c r="E32" s="3">
        <v>2.0753455528846154</v>
      </c>
      <c r="F32" s="8">
        <f t="shared" si="11"/>
        <v>1.7305480235115642E-4</v>
      </c>
      <c r="G32" s="9">
        <f t="shared" si="12"/>
        <v>8.3386018347942026E-5</v>
      </c>
      <c r="H32" s="41"/>
      <c r="I32" t="s">
        <v>15</v>
      </c>
      <c r="J32">
        <v>61.6</v>
      </c>
      <c r="K32">
        <f t="shared" si="10"/>
        <v>1.2409673645990857</v>
      </c>
      <c r="L32" s="35"/>
      <c r="M32">
        <f t="shared" si="8"/>
        <v>1.3144127877310378E-3</v>
      </c>
      <c r="N32">
        <f t="shared" si="9"/>
        <v>2.8884296307965221E-5</v>
      </c>
      <c r="O32" s="10">
        <f t="shared" si="5"/>
        <v>2.1975057286094876E-2</v>
      </c>
    </row>
    <row r="33" spans="1:15" x14ac:dyDescent="0.25">
      <c r="B33" s="3" t="s">
        <v>16</v>
      </c>
      <c r="C33" s="4">
        <v>2.5741999999999998</v>
      </c>
      <c r="D33" s="3">
        <v>5.1252000000000004</v>
      </c>
      <c r="E33" s="3">
        <v>1.9909874912594208</v>
      </c>
      <c r="F33" s="8">
        <f t="shared" si="11"/>
        <v>1.7310314585262601E-4</v>
      </c>
      <c r="G33" s="9">
        <f t="shared" si="12"/>
        <v>8.6943361830529498E-5</v>
      </c>
      <c r="H33" s="41"/>
      <c r="I33" t="s">
        <v>16</v>
      </c>
      <c r="J33">
        <v>648</v>
      </c>
      <c r="K33">
        <f t="shared" si="10"/>
        <v>4.0249223594996213</v>
      </c>
      <c r="L33" s="35"/>
      <c r="M33">
        <f t="shared" si="8"/>
        <v>1.3264906163160915E-2</v>
      </c>
      <c r="N33">
        <f t="shared" si="9"/>
        <v>1.4264544974218669E-4</v>
      </c>
      <c r="O33" s="10">
        <f t="shared" si="5"/>
        <v>1.0753596594474174E-2</v>
      </c>
    </row>
    <row r="34" spans="1:15" x14ac:dyDescent="0.25">
      <c r="B34" s="3" t="s">
        <v>17</v>
      </c>
      <c r="C34" s="4">
        <v>2.5093000000000001</v>
      </c>
      <c r="D34" s="3">
        <v>5.0574000000000003</v>
      </c>
      <c r="E34" s="3">
        <v>2.0154624795759775</v>
      </c>
      <c r="F34" s="8">
        <f t="shared" si="11"/>
        <v>1.7932560206231394E-4</v>
      </c>
      <c r="G34" s="9">
        <f t="shared" si="12"/>
        <v>8.8974914631028662E-5</v>
      </c>
      <c r="H34" s="41"/>
      <c r="I34" t="s">
        <v>17</v>
      </c>
      <c r="J34">
        <v>616</v>
      </c>
      <c r="K34">
        <f t="shared" si="10"/>
        <v>3.9242833740697169</v>
      </c>
      <c r="L34" s="35"/>
      <c r="M34">
        <f t="shared" si="8"/>
        <v>1.276486054413733E-2</v>
      </c>
      <c r="N34">
        <f t="shared" si="9"/>
        <v>1.3845276740912825E-4</v>
      </c>
      <c r="O34" s="10">
        <f t="shared" si="5"/>
        <v>1.0846398746809429E-2</v>
      </c>
    </row>
    <row r="35" spans="1:15" x14ac:dyDescent="0.25">
      <c r="B35" s="3" t="s">
        <v>18</v>
      </c>
      <c r="C35" s="4">
        <v>2.4788999999999999</v>
      </c>
      <c r="D35" s="3">
        <v>5.0540000000000003</v>
      </c>
      <c r="E35" s="3">
        <v>2.0388075356004682</v>
      </c>
      <c r="F35" s="8">
        <f t="shared" si="11"/>
        <v>1.8321391048842223E-4</v>
      </c>
      <c r="G35" s="9">
        <f t="shared" si="12"/>
        <v>8.9863269234220384E-5</v>
      </c>
      <c r="H35" s="41"/>
      <c r="I35" t="s">
        <v>18</v>
      </c>
      <c r="J35">
        <v>672.8</v>
      </c>
      <c r="K35">
        <f t="shared" si="10"/>
        <v>4.1012193308819755</v>
      </c>
      <c r="L35" s="33"/>
      <c r="M35">
        <f t="shared" si="8"/>
        <v>1.4103368633213523E-2</v>
      </c>
      <c r="N35">
        <f t="shared" si="9"/>
        <v>1.5072684768947456E-4</v>
      </c>
      <c r="O35" s="10">
        <f t="shared" si="5"/>
        <v>1.0687294050764004E-2</v>
      </c>
    </row>
    <row r="36" spans="1:15" s="11" customFormat="1" ht="30" x14ac:dyDescent="0.25">
      <c r="H36" s="42" t="s">
        <v>58</v>
      </c>
      <c r="I36" s="12" t="s">
        <v>40</v>
      </c>
      <c r="J36" s="14">
        <v>1.011210213134527E-5</v>
      </c>
      <c r="K36" s="14">
        <v>7.2198999999999997E-8</v>
      </c>
      <c r="L36" s="34"/>
    </row>
    <row r="37" spans="1:15" s="11" customFormat="1" ht="45.75" thickBot="1" x14ac:dyDescent="0.3">
      <c r="A37" s="37"/>
      <c r="B37" s="37"/>
      <c r="C37" s="37"/>
      <c r="D37" s="37"/>
      <c r="E37" s="37"/>
      <c r="F37" s="37"/>
      <c r="G37" s="37"/>
      <c r="H37" s="45" t="s">
        <v>58</v>
      </c>
      <c r="I37" s="38" t="s">
        <v>53</v>
      </c>
      <c r="J37" s="39">
        <v>8.8981000721630706E-6</v>
      </c>
      <c r="K37" s="39">
        <v>5.9990999999999998E-8</v>
      </c>
      <c r="L37" s="40"/>
      <c r="M37" s="37"/>
      <c r="N37" s="37"/>
      <c r="O37" s="37"/>
    </row>
    <row r="38" spans="1:15" ht="30.75" thickTop="1" x14ac:dyDescent="0.25">
      <c r="A38" s="46" t="s">
        <v>49</v>
      </c>
      <c r="B38">
        <f>1/8</f>
        <v>0.125</v>
      </c>
      <c r="H38" t="s">
        <v>51</v>
      </c>
    </row>
    <row r="39" spans="1:15" ht="30" x14ac:dyDescent="0.25">
      <c r="A39" s="46" t="s">
        <v>50</v>
      </c>
      <c r="B39">
        <v>0.5</v>
      </c>
      <c r="H39" t="s">
        <v>59</v>
      </c>
    </row>
    <row r="42" spans="1:15" x14ac:dyDescent="0.25">
      <c r="C42" s="5"/>
    </row>
    <row r="43" spans="1:15" x14ac:dyDescent="0.25">
      <c r="C43" s="7"/>
      <c r="D43" s="16"/>
    </row>
    <row r="44" spans="1:15" x14ac:dyDescent="0.25">
      <c r="C44" s="5"/>
      <c r="D44" s="16"/>
    </row>
    <row r="45" spans="1:15" x14ac:dyDescent="0.25">
      <c r="C45" s="7"/>
      <c r="D4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pane ySplit="1" topLeftCell="A5" activePane="bottomLeft" state="frozen"/>
      <selection pane="bottomLeft" activeCell="B21" sqref="B21"/>
    </sheetView>
  </sheetViews>
  <sheetFormatPr defaultRowHeight="15" x14ac:dyDescent="0.25"/>
  <cols>
    <col min="1" max="1" width="17" bestFit="1" customWidth="1"/>
  </cols>
  <sheetData>
    <row r="1" spans="1:10" x14ac:dyDescent="0.25">
      <c r="A1" t="str">
        <f>Eu_Calculations!B5</f>
        <v>Sample ID</v>
      </c>
      <c r="B1" t="str">
        <f>Eu_Calculations!M5</f>
        <v>Eu 153</v>
      </c>
      <c r="C1" t="str">
        <f>Eu_Calculations!N5</f>
        <v>±</v>
      </c>
      <c r="D1" s="56" t="str">
        <f>Eu_Calculations!O5</f>
        <v>%</v>
      </c>
      <c r="F1" t="s">
        <v>60</v>
      </c>
      <c r="H1" t="s">
        <v>61</v>
      </c>
      <c r="I1" t="s">
        <v>33</v>
      </c>
      <c r="J1" t="s">
        <v>36</v>
      </c>
    </row>
    <row r="2" spans="1:10" x14ac:dyDescent="0.25">
      <c r="A2" t="str">
        <f>Eu_Calculations!B7</f>
        <v>87G Trace</v>
      </c>
      <c r="B2">
        <f>IF(Eu_Calculations!M7&gt;SUM($B$30:$D$30),Eu_Calculations!M7-SUM($B$30:$D$30),"LLD")</f>
        <v>3.4910126381668309</v>
      </c>
      <c r="C2">
        <f>IF(Eu_Calculations!M7&gt;SUM($B$30:$D$30),(Eu_Calculations!N7^2+$B$31^2+$C$31^2+$D$31^2)^0.5,"LLD")</f>
        <v>6.3181431389909157E-2</v>
      </c>
      <c r="D2" s="57">
        <f>IF(Eu_Calculations!M7&gt;SUM($B$30:$D$30),C2/B2,"LLD")</f>
        <v>1.8098310701930433E-2</v>
      </c>
      <c r="F2">
        <f t="shared" ref="F2:F29" si="0">IF(C2="LLD","LLD",C2^2)</f>
        <v>3.991893272477798E-3</v>
      </c>
      <c r="H2">
        <f t="shared" ref="H2:H29" si="1">IF(SUM(B2)=0,"LLD",SUM(B2))</f>
        <v>3.4910126381668309</v>
      </c>
      <c r="I2">
        <f t="shared" ref="I2:I29" si="2">IF(H2="LLD","LLD",SUM(F2)^0.5)</f>
        <v>6.3181431389909157E-2</v>
      </c>
      <c r="J2" s="10">
        <f>IF(H2="LLD","LLD",I2/H2)</f>
        <v>1.8098310701930433E-2</v>
      </c>
    </row>
    <row r="3" spans="1:10" x14ac:dyDescent="0.25">
      <c r="A3" t="str">
        <f>Eu_Calculations!B8</f>
        <v>90G Trace</v>
      </c>
      <c r="B3">
        <f>IF(Eu_Calculations!M8&gt;0,Eu_Calculations!M8-0,"LLD")</f>
        <v>0.11795041477539735</v>
      </c>
      <c r="C3">
        <f>IF(Eu_Calculations!M8&gt;SUM($B$30:$D$30),(Eu_Calculations!N8^2+$B$31^2+$C$31^2+$D$31^2)^0.5,"LLD")</f>
        <v>2.2989768175883355E-3</v>
      </c>
      <c r="D3" s="57">
        <f>IF(Eu_Calculations!M8&gt;SUM($B$30:$D$30),C3/B3,"LLD")</f>
        <v>1.9491044791712483E-2</v>
      </c>
      <c r="F3">
        <f t="shared" si="0"/>
        <v>5.285294407808591E-6</v>
      </c>
      <c r="H3">
        <f t="shared" si="1"/>
        <v>0.11795041477539735</v>
      </c>
      <c r="I3">
        <f t="shared" si="2"/>
        <v>2.2989768175883355E-3</v>
      </c>
      <c r="J3" s="10">
        <f t="shared" ref="J3:J29" si="3">IF(H3="LLD","LLD",I3/H3)</f>
        <v>1.9491044791712483E-2</v>
      </c>
    </row>
    <row r="4" spans="1:10" x14ac:dyDescent="0.25">
      <c r="A4" t="str">
        <f>Eu_Calculations!B9</f>
        <v>93G Trace</v>
      </c>
      <c r="B4">
        <f>IF(Eu_Calculations!M9&gt;0,Eu_Calculations!M9-0,"LLD")</f>
        <v>4.8943516299372646E-3</v>
      </c>
      <c r="C4">
        <f>IF(Eu_Calculations!M9&gt;SUM($B$30:$D$30),(Eu_Calculations!N9^2+$B$31^2+$C$31^2+$D$31^2)^0.5,"LLD")</f>
        <v>3.5635440090354861E-4</v>
      </c>
      <c r="D4" s="57">
        <f>IF(Eu_Calculations!M9&gt;SUM($B$30:$D$30),C4/B4,"LLD")</f>
        <v>7.2809317320773767E-2</v>
      </c>
      <c r="F4">
        <f t="shared" si="0"/>
        <v>1.2698845904332705E-7</v>
      </c>
      <c r="H4">
        <f t="shared" si="1"/>
        <v>4.8943516299372646E-3</v>
      </c>
      <c r="I4">
        <f t="shared" si="2"/>
        <v>3.5635440090354861E-4</v>
      </c>
      <c r="J4" s="10">
        <f t="shared" si="3"/>
        <v>7.2809317320773767E-2</v>
      </c>
    </row>
    <row r="5" spans="1:10" x14ac:dyDescent="0.25">
      <c r="A5" t="str">
        <f>Eu_Calculations!B10</f>
        <v>96G Trace</v>
      </c>
      <c r="B5">
        <f>IF(Eu_Calculations!M10&gt;0,Eu_Calculations!M10-0,"LLD")</f>
        <v>2.9161551228713452E-2</v>
      </c>
      <c r="C5">
        <f>IF(Eu_Calculations!M10&gt;SUM($B$30:$D$30),(Eu_Calculations!N10^2+$B$31^2+$C$31^2+$D$31^2)^0.5,"LLD")</f>
        <v>1.0551350139640246E-3</v>
      </c>
      <c r="D5" s="57">
        <f>IF(Eu_Calculations!M10&gt;SUM($B$30:$D$30),C5/B5,"LLD")</f>
        <v>3.6182403524717265E-2</v>
      </c>
      <c r="F5">
        <f t="shared" si="0"/>
        <v>1.1133098976928624E-6</v>
      </c>
      <c r="H5">
        <f t="shared" si="1"/>
        <v>2.9161551228713452E-2</v>
      </c>
      <c r="I5">
        <f t="shared" si="2"/>
        <v>1.0551350139640246E-3</v>
      </c>
      <c r="J5" s="10">
        <f t="shared" si="3"/>
        <v>3.6182403524717265E-2</v>
      </c>
    </row>
    <row r="6" spans="1:10" x14ac:dyDescent="0.25">
      <c r="A6" t="str">
        <f>Eu_Calculations!B11</f>
        <v>30G Trace Waste</v>
      </c>
      <c r="B6">
        <f>IF(Eu_Calculations!M11&gt;0,Eu_Calculations!M11-0,"LLD")</f>
        <v>4.6737851556638654</v>
      </c>
      <c r="C6">
        <f>IF(Eu_Calculations!M11&gt;SUM($B$30:$D$30),(Eu_Calculations!N11^2+$B$31^2+$C$31^2+$D$31^2)^0.5,"LLD")</f>
        <v>5.4195281476321217E-2</v>
      </c>
      <c r="D6" s="57">
        <f>IF(Eu_Calculations!M11&gt;SUM($B$30:$D$30),C6/B6,"LLD")</f>
        <v>1.1595586804122858E-2</v>
      </c>
      <c r="F6">
        <f t="shared" si="0"/>
        <v>2.9371285342976857E-3</v>
      </c>
      <c r="H6">
        <f t="shared" si="1"/>
        <v>4.6737851556638654</v>
      </c>
      <c r="I6">
        <f t="shared" si="2"/>
        <v>5.4195281476321217E-2</v>
      </c>
      <c r="J6" s="10">
        <f t="shared" si="3"/>
        <v>1.1595586804122858E-2</v>
      </c>
    </row>
    <row r="7" spans="1:10" x14ac:dyDescent="0.25">
      <c r="A7" t="str">
        <f>Eu_Calculations!B12</f>
        <v>30G Trace Original</v>
      </c>
      <c r="B7">
        <f>IF(Eu_Calculations!M12&gt;0,Eu_Calculations!M12-0,"LLD")</f>
        <v>3.5117272409591234</v>
      </c>
      <c r="C7">
        <f>IF(Eu_Calculations!M12&gt;SUM($B$30:$D$30),(Eu_Calculations!N12^2+$B$31^2+$C$31^2+$D$31^2)^0.5,"LLD")</f>
        <v>3.6076417009547099E-2</v>
      </c>
      <c r="D7" s="57">
        <f>IF(Eu_Calculations!M12&gt;SUM($B$30:$D$30),C7/B7,"LLD")</f>
        <v>1.0273126166738936E-2</v>
      </c>
      <c r="F7">
        <f t="shared" si="0"/>
        <v>1.3015078642467392E-3</v>
      </c>
      <c r="H7">
        <f t="shared" si="1"/>
        <v>3.5117272409591234</v>
      </c>
      <c r="I7">
        <f t="shared" si="2"/>
        <v>3.6076417009547099E-2</v>
      </c>
      <c r="J7" s="10">
        <f t="shared" si="3"/>
        <v>1.0273126166738936E-2</v>
      </c>
    </row>
    <row r="8" spans="1:10" x14ac:dyDescent="0.25">
      <c r="A8" t="str">
        <f>Eu_Calculations!B14</f>
        <v>42G taper</v>
      </c>
      <c r="B8">
        <f>IF(Eu_Calculations!M14&gt;SUM($B$30:$D$30),Eu_Calculations!M14-SUM($B$30:$D$30),"LLD")</f>
        <v>0.14630214004823658</v>
      </c>
      <c r="C8">
        <f>IF(Eu_Calculations!M14&gt;SUM($B$30:$D$30),(Eu_Calculations!N14^2+$B$31^2+$C$31^2+$D$31^2)^0.5,"LLD")</f>
        <v>1.9379011812326056E-3</v>
      </c>
      <c r="D8" s="57">
        <f>IF(Eu_Calculations!M14&gt;SUM($B$30:$D$30),C8/B8,"LLD")</f>
        <v>1.3245884035555936E-2</v>
      </c>
      <c r="F8">
        <f t="shared" si="0"/>
        <v>3.7554609882227284E-6</v>
      </c>
      <c r="H8">
        <f t="shared" si="1"/>
        <v>0.14630214004823658</v>
      </c>
      <c r="I8">
        <f t="shared" si="2"/>
        <v>1.9379011812326056E-3</v>
      </c>
      <c r="J8" s="10">
        <f t="shared" si="3"/>
        <v>1.3245884035555936E-2</v>
      </c>
    </row>
    <row r="9" spans="1:10" x14ac:dyDescent="0.25">
      <c r="A9" t="str">
        <f>Eu_Calculations!B15</f>
        <v>70G</v>
      </c>
      <c r="B9">
        <f>IF(Eu_Calculations!M15&gt;SUM($B$30:$D$30),Eu_Calculations!M15-SUM($B$30:$D$30),"LLD")</f>
        <v>2.8276617261420889E-2</v>
      </c>
      <c r="C9">
        <f>IF(Eu_Calculations!M15&gt;SUM($B$30:$D$30),(Eu_Calculations!N15^2+$B$31^2+$C$31^2+$D$31^2)^0.5,"LLD")</f>
        <v>1.1617924497612335E-3</v>
      </c>
      <c r="D9" s="57">
        <f>IF(Eu_Calculations!M15&gt;SUM($B$30:$D$30),C9/B9,"LLD")</f>
        <v>4.10866844156186E-2</v>
      </c>
      <c r="F9">
        <f t="shared" si="0"/>
        <v>1.3497616963222083E-6</v>
      </c>
      <c r="H9">
        <f t="shared" si="1"/>
        <v>2.8276617261420889E-2</v>
      </c>
      <c r="I9">
        <f t="shared" si="2"/>
        <v>1.1617924497612335E-3</v>
      </c>
      <c r="J9" s="10">
        <f t="shared" si="3"/>
        <v>4.10866844156186E-2</v>
      </c>
    </row>
    <row r="10" spans="1:10" x14ac:dyDescent="0.25">
      <c r="A10" t="str">
        <f>Eu_Calculations!B16</f>
        <v>71G</v>
      </c>
      <c r="B10">
        <f>IF(Eu_Calculations!M16&gt;SUM($B$30:$D$30),Eu_Calculations!M16-SUM($B$30:$D$30),"LLD")</f>
        <v>1.2277626620418595E-2</v>
      </c>
      <c r="C10">
        <f>IF(Eu_Calculations!M16&gt;SUM($B$30:$D$30),(Eu_Calculations!N16^2+$B$31^2+$C$31^2+$D$31^2)^0.5,"LLD")</f>
        <v>6.3861208444149209E-4</v>
      </c>
      <c r="D10" s="57">
        <f>IF(Eu_Calculations!M16&gt;SUM($B$30:$D$30),C10/B10,"LLD")</f>
        <v>5.20142943082691E-2</v>
      </c>
      <c r="F10">
        <f t="shared" si="0"/>
        <v>4.0782539439470744E-7</v>
      </c>
      <c r="H10">
        <f t="shared" si="1"/>
        <v>1.2277626620418595E-2</v>
      </c>
      <c r="I10">
        <f t="shared" si="2"/>
        <v>6.3861208444149209E-4</v>
      </c>
      <c r="J10" s="10">
        <f t="shared" si="3"/>
        <v>5.20142943082691E-2</v>
      </c>
    </row>
    <row r="11" spans="1:10" x14ac:dyDescent="0.25">
      <c r="A11" t="str">
        <f>Eu_Calculations!B17</f>
        <v>72G</v>
      </c>
      <c r="B11">
        <f>IF(Eu_Calculations!M17&gt;SUM($B$30:$D$30),Eu_Calculations!M17-SUM($B$30:$D$30),"LLD")</f>
        <v>1.6304319365898268E-2</v>
      </c>
      <c r="C11">
        <f>IF(Eu_Calculations!M17&gt;SUM($B$30:$D$30),(Eu_Calculations!N17^2+$B$31^2+$C$31^2+$D$31^2)^0.5,"LLD")</f>
        <v>8.1823282454989896E-4</v>
      </c>
      <c r="D11" s="57">
        <f>IF(Eu_Calculations!M17&gt;SUM($B$30:$D$30),C11/B11,"LLD")</f>
        <v>5.0185034173293709E-2</v>
      </c>
      <c r="F11">
        <f t="shared" si="0"/>
        <v>6.6950495517090571E-7</v>
      </c>
      <c r="H11">
        <f t="shared" si="1"/>
        <v>1.6304319365898268E-2</v>
      </c>
      <c r="I11">
        <f t="shared" si="2"/>
        <v>8.1823282454989896E-4</v>
      </c>
      <c r="J11" s="10">
        <f t="shared" si="3"/>
        <v>5.0185034173293709E-2</v>
      </c>
    </row>
    <row r="12" spans="1:10" x14ac:dyDescent="0.25">
      <c r="A12" t="str">
        <f>Eu_Calculations!B18</f>
        <v>73G</v>
      </c>
      <c r="B12">
        <f>IF(Eu_Calculations!M18&gt;SUM($B$30:$D$30),Eu_Calculations!M18-SUM($B$30:$D$30),"LLD")</f>
        <v>2.5778633289406924E-2</v>
      </c>
      <c r="C12">
        <f>IF(Eu_Calculations!M18&gt;SUM($B$30:$D$30),(Eu_Calculations!N18^2+$B$31^2+$C$31^2+$D$31^2)^0.5,"LLD")</f>
        <v>1.0558726586809815E-3</v>
      </c>
      <c r="D12" s="57">
        <f>IF(Eu_Calculations!M18&gt;SUM($B$30:$D$30),C12/B12,"LLD")</f>
        <v>4.0959217923894578E-2</v>
      </c>
      <c r="F12">
        <f t="shared" si="0"/>
        <v>1.1148670713500444E-6</v>
      </c>
      <c r="H12">
        <f t="shared" si="1"/>
        <v>2.5778633289406924E-2</v>
      </c>
      <c r="I12">
        <f t="shared" si="2"/>
        <v>1.0558726586809815E-3</v>
      </c>
      <c r="J12" s="10">
        <f t="shared" si="3"/>
        <v>4.0959217923894578E-2</v>
      </c>
    </row>
    <row r="13" spans="1:10" x14ac:dyDescent="0.25">
      <c r="A13" t="str">
        <f>Eu_Calculations!B19</f>
        <v xml:space="preserve">74G </v>
      </c>
      <c r="B13">
        <f>IF(Eu_Calculations!M19&gt;SUM($B$30:$D$30),Eu_Calculations!M19-SUM($B$30:$D$30),"LLD")</f>
        <v>2.9055125326505737E-2</v>
      </c>
      <c r="C13">
        <f>IF(Eu_Calculations!M19&gt;SUM($B$30:$D$30),(Eu_Calculations!N19^2+$B$31^2+$C$31^2+$D$31^2)^0.5,"LLD")</f>
        <v>7.8865871916171816E-4</v>
      </c>
      <c r="D13" s="57">
        <f>IF(Eu_Calculations!M19&gt;SUM($B$30:$D$30),C13/B13,"LLD")</f>
        <v>2.714353183127587E-2</v>
      </c>
      <c r="F13">
        <f t="shared" si="0"/>
        <v>6.2198257530980181E-7</v>
      </c>
      <c r="H13">
        <f t="shared" si="1"/>
        <v>2.9055125326505737E-2</v>
      </c>
      <c r="I13">
        <f t="shared" si="2"/>
        <v>7.8865871916171816E-4</v>
      </c>
      <c r="J13" s="10">
        <f t="shared" si="3"/>
        <v>2.714353183127587E-2</v>
      </c>
    </row>
    <row r="14" spans="1:10" x14ac:dyDescent="0.25">
      <c r="A14" t="str">
        <f>Eu_Calculations!B20</f>
        <v xml:space="preserve">75G trace waste </v>
      </c>
      <c r="B14" t="e">
        <f>IF(Eu_Calculations!M20&gt;SUM($B$30:$D$30),Eu_Calculations!M20-SUM($B$30:$D$30),"LLD")</f>
        <v>#VALUE!</v>
      </c>
      <c r="C14" t="e">
        <f>IF(Eu_Calculations!M20&gt;SUM($B$30:$D$30),(Eu_Calculations!N20^2+$B$31^2+$C$31^2+$D$31^2)^0.5,"LLD")</f>
        <v>#VALUE!</v>
      </c>
      <c r="D14" s="57" t="e">
        <f>IF(Eu_Calculations!M20&gt;SUM($B$30:$D$30),C14/B14,"LLD")</f>
        <v>#VALUE!</v>
      </c>
      <c r="F14" t="e">
        <f t="shared" si="0"/>
        <v>#VALUE!</v>
      </c>
      <c r="H14" t="e">
        <f t="shared" si="1"/>
        <v>#VALUE!</v>
      </c>
      <c r="I14" t="e">
        <f t="shared" si="2"/>
        <v>#VALUE!</v>
      </c>
      <c r="J14" s="10" t="e">
        <f t="shared" si="3"/>
        <v>#VALUE!</v>
      </c>
    </row>
    <row r="15" spans="1:10" x14ac:dyDescent="0.25">
      <c r="A15" t="str">
        <f>Eu_Calculations!B21</f>
        <v>81G trace</v>
      </c>
      <c r="B15">
        <f>IF(Eu_Calculations!M21&gt;SUM($B$30:$D$30),Eu_Calculations!M21-SUM($B$30:$D$30),"LLD")</f>
        <v>9.687085412426976E-3</v>
      </c>
      <c r="C15">
        <f>IF(Eu_Calculations!M21&gt;SUM($B$30:$D$30),(Eu_Calculations!N21^2+$B$31^2+$C$31^2+$D$31^2)^0.5,"LLD")</f>
        <v>8.6841235958674563E-4</v>
      </c>
      <c r="D15" s="57">
        <f>IF(Eu_Calculations!M21&gt;SUM($B$30:$D$30),C15/B15,"LLD")</f>
        <v>8.964640267058159E-2</v>
      </c>
      <c r="F15">
        <f t="shared" si="0"/>
        <v>7.5414002628301916E-7</v>
      </c>
      <c r="H15">
        <f t="shared" si="1"/>
        <v>9.687085412426976E-3</v>
      </c>
      <c r="I15">
        <f t="shared" si="2"/>
        <v>8.6841235958674563E-4</v>
      </c>
      <c r="J15" s="10">
        <f t="shared" si="3"/>
        <v>8.964640267058159E-2</v>
      </c>
    </row>
    <row r="16" spans="1:10" x14ac:dyDescent="0.25">
      <c r="A16" t="str">
        <f>Eu_Calculations!B22</f>
        <v>82G trace</v>
      </c>
      <c r="B16">
        <f>IF(Eu_Calculations!M22&gt;SUM($B$30:$D$30),Eu_Calculations!M22-SUM($B$30:$D$30),"LLD")</f>
        <v>1.712291322935074E-2</v>
      </c>
      <c r="C16">
        <f>IF(Eu_Calculations!M22&gt;SUM($B$30:$D$30),(Eu_Calculations!N22^2+$B$31^2+$C$31^2+$D$31^2)^0.5,"LLD")</f>
        <v>7.5414651122575685E-4</v>
      </c>
      <c r="D16" s="57">
        <f>IF(Eu_Calculations!M22&gt;SUM($B$30:$D$30),C16/B16,"LLD")</f>
        <v>4.4043119364353185E-2</v>
      </c>
      <c r="F16">
        <f t="shared" si="0"/>
        <v>5.6873696039398063E-7</v>
      </c>
      <c r="H16">
        <f t="shared" si="1"/>
        <v>1.712291322935074E-2</v>
      </c>
      <c r="I16">
        <f t="shared" si="2"/>
        <v>7.5414651122575685E-4</v>
      </c>
      <c r="J16" s="10">
        <f t="shared" si="3"/>
        <v>4.4043119364353185E-2</v>
      </c>
    </row>
    <row r="17" spans="1:14" x14ac:dyDescent="0.25">
      <c r="A17" t="str">
        <f>Eu_Calculations!B23</f>
        <v>83G Trace</v>
      </c>
      <c r="B17" t="e">
        <f>IF(Eu_Calculations!M23&gt;SUM($B$30:$D$30),Eu_Calculations!M23-SUM($B$30:$D$30),"LLD")</f>
        <v>#VALUE!</v>
      </c>
      <c r="C17" t="e">
        <f>IF(Eu_Calculations!M23&gt;SUM($B$30:$D$30),(Eu_Calculations!N23^2+$B$31^2+$C$31^2+$D$31^2)^0.5,"LLD")</f>
        <v>#VALUE!</v>
      </c>
      <c r="D17" s="57" t="e">
        <f>IF(Eu_Calculations!M23&gt;SUM($B$30:$D$30),C17/B17,"LLD")</f>
        <v>#VALUE!</v>
      </c>
      <c r="F17" t="e">
        <f t="shared" si="0"/>
        <v>#VALUE!</v>
      </c>
      <c r="H17" t="e">
        <f t="shared" si="1"/>
        <v>#VALUE!</v>
      </c>
      <c r="I17" t="e">
        <f t="shared" si="2"/>
        <v>#VALUE!</v>
      </c>
      <c r="J17" s="10" t="e">
        <f t="shared" si="3"/>
        <v>#VALUE!</v>
      </c>
    </row>
    <row r="18" spans="1:14" x14ac:dyDescent="0.25">
      <c r="A18" t="str">
        <f>Eu_Calculations!B24</f>
        <v>84G trace</v>
      </c>
      <c r="B18">
        <f>IF(Eu_Calculations!M24&gt;SUM($B$30:$D$30),Eu_Calculations!M24-SUM($B$30:$D$30),"LLD")</f>
        <v>2.4454929149671966E-2</v>
      </c>
      <c r="C18">
        <f>IF(Eu_Calculations!M24&gt;SUM($B$30:$D$30),(Eu_Calculations!N24^2+$B$31^2+$C$31^2+$D$31^2)^0.5,"LLD")</f>
        <v>9.5583986319678455E-4</v>
      </c>
      <c r="D18" s="57">
        <f>IF(Eu_Calculations!M24&gt;SUM($B$30:$D$30),C18/B18,"LLD")</f>
        <v>3.9085775196760528E-2</v>
      </c>
      <c r="F18">
        <f t="shared" si="0"/>
        <v>9.1362984407604786E-7</v>
      </c>
      <c r="H18">
        <f t="shared" si="1"/>
        <v>2.4454929149671966E-2</v>
      </c>
      <c r="I18">
        <f t="shared" si="2"/>
        <v>9.5583986319678455E-4</v>
      </c>
      <c r="J18" s="10">
        <f t="shared" si="3"/>
        <v>3.9085775196760528E-2</v>
      </c>
    </row>
    <row r="19" spans="1:14" x14ac:dyDescent="0.25">
      <c r="A19" t="str">
        <f>Eu_Calculations!B25</f>
        <v>86G Trace</v>
      </c>
      <c r="B19">
        <f>IF(Eu_Calculations!M25&gt;SUM($B$30:$D$30),Eu_Calculations!M25-SUM($B$30:$D$30),"LLD")</f>
        <v>0.71212221283975463</v>
      </c>
      <c r="C19">
        <f>IF(Eu_Calculations!M25&gt;SUM($B$30:$D$30),(Eu_Calculations!N25^2+$B$31^2+$C$31^2+$D$31^2)^0.5,"LLD")</f>
        <v>1.5908697821711476E-2</v>
      </c>
      <c r="D19" s="57">
        <f>IF(Eu_Calculations!M25&gt;SUM($B$30:$D$30),C19/B19,"LLD")</f>
        <v>2.2339842143487991E-2</v>
      </c>
      <c r="F19">
        <f t="shared" si="0"/>
        <v>2.5308666638252747E-4</v>
      </c>
      <c r="H19">
        <f t="shared" si="1"/>
        <v>0.71212221283975463</v>
      </c>
      <c r="I19">
        <f t="shared" si="2"/>
        <v>1.5908697821711476E-2</v>
      </c>
      <c r="J19" s="10">
        <f t="shared" si="3"/>
        <v>2.2339842143487991E-2</v>
      </c>
    </row>
    <row r="20" spans="1:14" x14ac:dyDescent="0.25">
      <c r="A20" t="str">
        <f>Eu_Calculations!B26</f>
        <v>24G Taper Waste</v>
      </c>
      <c r="B20">
        <f>IF(Eu_Calculations!M26&gt;SUM($B$30:$D$30),Eu_Calculations!M26-SUM($B$30:$D$30),"LLD")</f>
        <v>3.875270448662465</v>
      </c>
      <c r="C20">
        <f>IF(Eu_Calculations!M26&gt;SUM($B$30:$D$30),(Eu_Calculations!N26^2+$B$31^2+$C$31^2+$D$31^2)^0.5,"LLD")</f>
        <v>3.8705300621019928E-2</v>
      </c>
      <c r="D20" s="57">
        <f>IF(Eu_Calculations!M26&gt;SUM($B$30:$D$30),C20/B20,"LLD")</f>
        <v>9.9877675980985844E-3</v>
      </c>
      <c r="F20">
        <f t="shared" si="0"/>
        <v>1.4981002961635256E-3</v>
      </c>
      <c r="H20">
        <f t="shared" si="1"/>
        <v>3.875270448662465</v>
      </c>
      <c r="I20">
        <f t="shared" si="2"/>
        <v>3.8705300621019928E-2</v>
      </c>
      <c r="J20" s="10">
        <f t="shared" si="3"/>
        <v>9.9877675980985844E-3</v>
      </c>
    </row>
    <row r="21" spans="1:14" x14ac:dyDescent="0.25">
      <c r="A21" t="str">
        <f>Eu_Calculations!B27</f>
        <v>24G Trace Original</v>
      </c>
      <c r="B21">
        <f>IF(Eu_Calculations!M27&gt;SUM($B$30:$D$30),Eu_Calculations!M27-SUM($B$30:$D$30),"LLD")</f>
        <v>4.2537599780608453</v>
      </c>
      <c r="C21">
        <f>IF(Eu_Calculations!M27&gt;SUM($B$30:$D$30),(Eu_Calculations!N27^2+$B$31^2+$C$31^2+$D$31^2)^0.5,"LLD")</f>
        <v>5.0314035195775958E-2</v>
      </c>
      <c r="D21" s="57">
        <f>IF(Eu_Calculations!M27&gt;SUM($B$30:$D$30),C21/B21,"LLD")</f>
        <v>1.1828132159612949E-2</v>
      </c>
      <c r="F21">
        <f t="shared" si="0"/>
        <v>2.5315021376817819E-3</v>
      </c>
      <c r="H21">
        <f t="shared" si="1"/>
        <v>4.2537599780608453</v>
      </c>
      <c r="I21">
        <f t="shared" si="2"/>
        <v>5.0314035195775958E-2</v>
      </c>
      <c r="J21" s="10">
        <f t="shared" si="3"/>
        <v>1.1828132159612949E-2</v>
      </c>
    </row>
    <row r="22" spans="1:14" x14ac:dyDescent="0.25">
      <c r="A22" t="str">
        <f>Eu_Calculations!B28</f>
        <v>53G</v>
      </c>
      <c r="B22">
        <f>IF(Eu_Calculations!M28&gt;SUM($B$30:$D$30),Eu_Calculations!M28-SUM($B$30:$D$30),"LLD")</f>
        <v>0.37056697430207697</v>
      </c>
      <c r="C22">
        <f>IF(Eu_Calculations!M28&gt;SUM($B$30:$D$30),(Eu_Calculations!N28^2+$B$31^2+$C$31^2+$D$31^2)^0.5,"LLD")</f>
        <v>1.0563295140795981E-2</v>
      </c>
      <c r="D22" s="57">
        <f>IF(Eu_Calculations!M28&gt;SUM($B$30:$D$30),C22/B22,"LLD")</f>
        <v>2.8505765147287643E-2</v>
      </c>
      <c r="F22">
        <f t="shared" si="0"/>
        <v>1.1158320423156398E-4</v>
      </c>
      <c r="H22">
        <f t="shared" si="1"/>
        <v>0.37056697430207697</v>
      </c>
      <c r="I22">
        <f t="shared" si="2"/>
        <v>1.0563295140795981E-2</v>
      </c>
      <c r="J22" s="10">
        <f t="shared" si="3"/>
        <v>2.8505765147287643E-2</v>
      </c>
    </row>
    <row r="23" spans="1:14" x14ac:dyDescent="0.25">
      <c r="A23" t="str">
        <f>Eu_Calculations!B29</f>
        <v>94G</v>
      </c>
      <c r="B23">
        <f>IF(Eu_Calculations!M29&gt;SUM($B$30:$D$30),Eu_Calculations!M29-SUM($B$30:$D$30),"LLD")</f>
        <v>0.11247102037186095</v>
      </c>
      <c r="C23">
        <f>IF(Eu_Calculations!M29&gt;SUM($B$30:$D$30),(Eu_Calculations!N29^2+$B$31^2+$C$31^2+$D$31^2)^0.5,"LLD")</f>
        <v>6.4229980848891938E-3</v>
      </c>
      <c r="D23" s="57">
        <f>IF(Eu_Calculations!M29&gt;SUM($B$30:$D$30),C23/B23,"LLD")</f>
        <v>5.7108027149153168E-2</v>
      </c>
      <c r="F23">
        <f t="shared" si="0"/>
        <v>4.125490439849025E-5</v>
      </c>
      <c r="H23">
        <f t="shared" si="1"/>
        <v>0.11247102037186095</v>
      </c>
      <c r="I23">
        <f t="shared" si="2"/>
        <v>6.4229980848891938E-3</v>
      </c>
      <c r="J23" s="10">
        <f t="shared" si="3"/>
        <v>5.7108027149153168E-2</v>
      </c>
    </row>
    <row r="24" spans="1:14" x14ac:dyDescent="0.25">
      <c r="A24" t="str">
        <f>Eu_Calculations!B30</f>
        <v>47G</v>
      </c>
      <c r="B24">
        <f>IF(Eu_Calculations!M30&gt;SUM($B$30:$D$30),Eu_Calculations!M30-SUM($B$30:$D$30),"LLD")</f>
        <v>1.2304619891642929E-2</v>
      </c>
      <c r="C24">
        <f>IF(Eu_Calculations!M30&gt;SUM($B$30:$D$30),(Eu_Calculations!N30^2+$B$31^2+$C$31^2+$D$31^2)^0.5,"LLD")</f>
        <v>1.3407320171749656E-4</v>
      </c>
      <c r="D24" s="57">
        <f>IF(Eu_Calculations!M30&gt;SUM($B$30:$D$30),C24/B24,"LLD")</f>
        <v>1.0896167691336537E-2</v>
      </c>
      <c r="F24">
        <f t="shared" si="0"/>
        <v>1.7975623418780524E-8</v>
      </c>
      <c r="H24">
        <f t="shared" si="1"/>
        <v>1.2304619891642929E-2</v>
      </c>
      <c r="I24">
        <f t="shared" si="2"/>
        <v>1.3407320171749656E-4</v>
      </c>
      <c r="J24" s="10">
        <f t="shared" si="3"/>
        <v>1.0896167691336537E-2</v>
      </c>
    </row>
    <row r="25" spans="1:14" x14ac:dyDescent="0.25">
      <c r="A25" t="str">
        <f>Eu_Calculations!B31</f>
        <v>48G</v>
      </c>
      <c r="B25">
        <f>IF(Eu_Calculations!M31&gt;SUM($B$30:$D$30),Eu_Calculations!M31-SUM($B$30:$D$30),"LLD")</f>
        <v>3.1992929220198293E-3</v>
      </c>
      <c r="C25">
        <f>IF(Eu_Calculations!M31&gt;SUM($B$30:$D$30),(Eu_Calculations!N31^2+$B$31^2+$C$31^2+$D$31^2)^0.5,"LLD")</f>
        <v>4.9200266509542736E-5</v>
      </c>
      <c r="D25" s="57">
        <f>IF(Eu_Calculations!M31&gt;SUM($B$30:$D$30),C25/B25,"LLD")</f>
        <v>1.5378481342208837E-2</v>
      </c>
      <c r="F25">
        <f t="shared" si="0"/>
        <v>2.4206662246100324E-9</v>
      </c>
      <c r="H25">
        <f t="shared" si="1"/>
        <v>3.1992929220198293E-3</v>
      </c>
      <c r="I25">
        <f t="shared" si="2"/>
        <v>4.9200266509542736E-5</v>
      </c>
      <c r="J25" s="10">
        <f t="shared" si="3"/>
        <v>1.5378481342208837E-2</v>
      </c>
    </row>
    <row r="26" spans="1:14" x14ac:dyDescent="0.25">
      <c r="A26" t="str">
        <f>Eu_Calculations!B32</f>
        <v>49G</v>
      </c>
      <c r="B26">
        <f>IF(Eu_Calculations!M32&gt;SUM($B$30:$D$30),Eu_Calculations!M32-SUM($B$30:$D$30),"LLD")</f>
        <v>1.3144127877310378E-3</v>
      </c>
      <c r="C26">
        <f>IF(Eu_Calculations!M32&gt;SUM($B$30:$D$30),(Eu_Calculations!N32^2+$B$31^2+$C$31^2+$D$31^2)^0.5,"LLD")</f>
        <v>2.8884296307965221E-5</v>
      </c>
      <c r="D26" s="57">
        <f>IF(Eu_Calculations!M32&gt;SUM($B$30:$D$30),C26/B26,"LLD")</f>
        <v>2.1975057286094876E-2</v>
      </c>
      <c r="F26">
        <f t="shared" si="0"/>
        <v>8.3430257320633329E-10</v>
      </c>
      <c r="H26">
        <f t="shared" si="1"/>
        <v>1.3144127877310378E-3</v>
      </c>
      <c r="I26">
        <f t="shared" si="2"/>
        <v>2.8884296307965221E-5</v>
      </c>
      <c r="J26" s="10">
        <f t="shared" si="3"/>
        <v>2.1975057286094876E-2</v>
      </c>
    </row>
    <row r="27" spans="1:14" x14ac:dyDescent="0.25">
      <c r="A27" t="str">
        <f>Eu_Calculations!B33</f>
        <v>50G</v>
      </c>
      <c r="B27">
        <f>IF(Eu_Calculations!M33&gt;SUM($B$30:$D$30),Eu_Calculations!M33-SUM($B$30:$D$30),"LLD")</f>
        <v>1.3264906163160915E-2</v>
      </c>
      <c r="C27">
        <f>IF(Eu_Calculations!M33&gt;SUM($B$30:$D$30),(Eu_Calculations!N33^2+$B$31^2+$C$31^2+$D$31^2)^0.5,"LLD")</f>
        <v>1.4264544974218669E-4</v>
      </c>
      <c r="D27" s="57">
        <f>IF(Eu_Calculations!M33&gt;SUM($B$30:$D$30),C27/B27,"LLD")</f>
        <v>1.0753596594474174E-2</v>
      </c>
      <c r="F27">
        <f t="shared" si="0"/>
        <v>2.0347724332150708E-8</v>
      </c>
      <c r="H27">
        <f t="shared" si="1"/>
        <v>1.3264906163160915E-2</v>
      </c>
      <c r="I27">
        <f t="shared" si="2"/>
        <v>1.4264544974218669E-4</v>
      </c>
      <c r="J27" s="10">
        <f t="shared" si="3"/>
        <v>1.0753596594474174E-2</v>
      </c>
    </row>
    <row r="28" spans="1:14" x14ac:dyDescent="0.25">
      <c r="A28" t="str">
        <f>Eu_Calculations!B34</f>
        <v>51G</v>
      </c>
      <c r="B28">
        <f>IF(Eu_Calculations!M34&gt;SUM($B$30:$D$30),Eu_Calculations!M34-SUM($B$30:$D$30),"LLD")</f>
        <v>1.276486054413733E-2</v>
      </c>
      <c r="C28">
        <f>IF(Eu_Calculations!M34&gt;SUM($B$30:$D$30),(Eu_Calculations!N34^2+$B$31^2+$C$31^2+$D$31^2)^0.5,"LLD")</f>
        <v>1.3845276740912825E-4</v>
      </c>
      <c r="D28" s="57">
        <f>IF(Eu_Calculations!M34&gt;SUM($B$30:$D$30),C28/B28,"LLD")</f>
        <v>1.0846398746809429E-2</v>
      </c>
      <c r="F28">
        <f t="shared" si="0"/>
        <v>1.9169168803246166E-8</v>
      </c>
      <c r="H28">
        <f t="shared" si="1"/>
        <v>1.276486054413733E-2</v>
      </c>
      <c r="I28">
        <f t="shared" si="2"/>
        <v>1.3845276740912825E-4</v>
      </c>
      <c r="J28" s="10">
        <f t="shared" si="3"/>
        <v>1.0846398746809429E-2</v>
      </c>
    </row>
    <row r="29" spans="1:14" ht="15.75" thickBot="1" x14ac:dyDescent="0.3">
      <c r="A29" t="str">
        <f>Eu_Calculations!B35</f>
        <v>52G</v>
      </c>
      <c r="B29">
        <f>IF(Eu_Calculations!M35&gt;SUM($B$30:$D$30),Eu_Calculations!M35-SUM($B$30:$D$30),"LLD")</f>
        <v>1.4103368633213523E-2</v>
      </c>
      <c r="C29">
        <f>IF(Eu_Calculations!M35&gt;SUM($B$30:$D$30),(Eu_Calculations!N35^2+$B$31^2+$C$31^2+$D$31^2)^0.5,"LLD")</f>
        <v>1.5072684768947456E-4</v>
      </c>
      <c r="D29" s="57">
        <f>IF(Eu_Calculations!M35&gt;SUM($B$30:$D$30),C29/B29,"LLD")</f>
        <v>1.0687294050764004E-2</v>
      </c>
      <c r="F29">
        <f t="shared" si="0"/>
        <v>2.2718582614406061E-8</v>
      </c>
      <c r="H29">
        <f t="shared" si="1"/>
        <v>1.4103368633213523E-2</v>
      </c>
      <c r="I29">
        <f t="shared" si="2"/>
        <v>1.5072684768947456E-4</v>
      </c>
      <c r="J29" s="10">
        <f t="shared" si="3"/>
        <v>1.0687294050764004E-2</v>
      </c>
    </row>
    <row r="30" spans="1:14" ht="30.75" thickTop="1" x14ac:dyDescent="0.25">
      <c r="A30" s="59" t="s">
        <v>64</v>
      </c>
      <c r="B30" s="60">
        <v>0</v>
      </c>
      <c r="C30" s="53"/>
      <c r="D30" s="54"/>
      <c r="J30" s="10"/>
    </row>
    <row r="31" spans="1:14" ht="15.75" thickBot="1" x14ac:dyDescent="0.3">
      <c r="A31" s="58" t="s">
        <v>63</v>
      </c>
      <c r="B31" s="61">
        <v>0</v>
      </c>
      <c r="C31" s="51"/>
      <c r="D31" s="55"/>
    </row>
    <row r="32" spans="1:14" x14ac:dyDescent="0.25">
      <c r="B32" t="s">
        <v>55</v>
      </c>
      <c r="N32" s="25"/>
    </row>
    <row r="33" spans="2:14" x14ac:dyDescent="0.25">
      <c r="B33" t="s">
        <v>56</v>
      </c>
      <c r="N33" s="25"/>
    </row>
    <row r="35" spans="2:14" x14ac:dyDescent="0.25">
      <c r="H35" t="s">
        <v>42</v>
      </c>
    </row>
    <row r="36" spans="2:14" x14ac:dyDescent="0.25">
      <c r="H36" t="s">
        <v>43</v>
      </c>
    </row>
    <row r="37" spans="2:14" x14ac:dyDescent="0.25">
      <c r="H3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17" sqref="H17"/>
    </sheetView>
  </sheetViews>
  <sheetFormatPr defaultRowHeight="15" x14ac:dyDescent="0.25"/>
  <cols>
    <col min="1" max="1" width="17" bestFit="1" customWidth="1"/>
  </cols>
  <sheetData>
    <row r="1" spans="1:6" x14ac:dyDescent="0.25">
      <c r="A1" t="str">
        <f>PPB_Eu_Aliquot_Sent!A1</f>
        <v>Sample ID</v>
      </c>
      <c r="B1" s="26" t="str">
        <f>PPB_Eu_Aliquot_Sent!B1</f>
        <v>Eu 153</v>
      </c>
      <c r="C1" t="str">
        <f>PPB_Eu_Aliquot_Sent!C1</f>
        <v>±</v>
      </c>
      <c r="D1" t="str">
        <f>PPB_Eu_Aliquot_Sent!D1</f>
        <v>%</v>
      </c>
    </row>
    <row r="2" spans="1:6" x14ac:dyDescent="0.25">
      <c r="A2" t="str">
        <f>PPB_Eu_Aliquot_Sent!A2</f>
        <v>87G Trace</v>
      </c>
      <c r="B2" s="26">
        <f>PPB_Eu_Aliquot_Sent!B2</f>
        <v>3.4910126381668309</v>
      </c>
      <c r="C2">
        <f>PPB_Eu_Aliquot_Sent!C2</f>
        <v>6.3181431389909157E-2</v>
      </c>
      <c r="D2" s="10">
        <f>PPB_Eu_Aliquot_Sent!D2</f>
        <v>1.8098310701930433E-2</v>
      </c>
    </row>
    <row r="3" spans="1:6" x14ac:dyDescent="0.25">
      <c r="A3" t="str">
        <f>PPB_Eu_Aliquot_Sent!A3</f>
        <v>90G Trace</v>
      </c>
      <c r="B3" s="26">
        <f>PPB_Eu_Aliquot_Sent!B3</f>
        <v>0.11795041477539735</v>
      </c>
      <c r="C3">
        <f>PPB_Eu_Aliquot_Sent!C3</f>
        <v>2.2989768175883355E-3</v>
      </c>
      <c r="D3" s="10">
        <f>PPB_Eu_Aliquot_Sent!D3</f>
        <v>1.9491044791712483E-2</v>
      </c>
    </row>
    <row r="4" spans="1:6" x14ac:dyDescent="0.25">
      <c r="A4" t="str">
        <f>PPB_Eu_Aliquot_Sent!A4</f>
        <v>93G Trace</v>
      </c>
      <c r="B4" s="26">
        <f>IF(PPB_Eu_Aliquot_Sent!B4="LLD","LLD",PPB_Eu_Aliquot_Sent!B4*12)</f>
        <v>5.8732219559247179E-2</v>
      </c>
      <c r="C4">
        <f>IF(PPB_Eu_Aliquot_Sent!C4="LLD","LLD",PPB_Eu_Aliquot_Sent!C4*12)</f>
        <v>4.2762528108425835E-3</v>
      </c>
      <c r="D4" s="10">
        <f>IF(PPB_Eu_Aliquot_Sent!D4="LLD","LLD",PPB_Eu_Aliquot_Sent!D4*12)</f>
        <v>0.87371180784928515</v>
      </c>
    </row>
    <row r="5" spans="1:6" x14ac:dyDescent="0.25">
      <c r="A5" t="str">
        <f>PPB_Eu_Aliquot_Sent!A5</f>
        <v>96G Trace</v>
      </c>
      <c r="B5" s="26">
        <f>IF(PPB_Eu_Aliquot_Sent!B5="LLD","LLD",PPB_Eu_Aliquot_Sent!B5*144)</f>
        <v>4.1992633769347369</v>
      </c>
      <c r="C5">
        <f>IF(PPB_Eu_Aliquot_Sent!C5="LLD","LLD",PPB_Eu_Aliquot_Sent!C5*144)</f>
        <v>0.15193944201081955</v>
      </c>
      <c r="D5" s="10">
        <f>IF(PPB_Eu_Aliquot_Sent!D5="LLD","LLD",PPB_Eu_Aliquot_Sent!D5*144)</f>
        <v>5.2102661075592858</v>
      </c>
    </row>
    <row r="6" spans="1:6" x14ac:dyDescent="0.25">
      <c r="A6" t="str">
        <f>PPB_Eu_Aliquot_Sent!A6</f>
        <v>30G Trace Waste</v>
      </c>
      <c r="B6" s="26">
        <f>PPB_Eu_Aliquot_Sent!B6</f>
        <v>4.6737851556638654</v>
      </c>
      <c r="C6">
        <f>PPB_Eu_Aliquot_Sent!C6</f>
        <v>5.4195281476321217E-2</v>
      </c>
      <c r="D6" s="10">
        <f>PPB_Eu_Aliquot_Sent!D6</f>
        <v>1.1595586804122858E-2</v>
      </c>
    </row>
    <row r="7" spans="1:6" x14ac:dyDescent="0.25">
      <c r="A7" t="str">
        <f>PPB_Eu_Aliquot_Sent!A7</f>
        <v>30G Trace Original</v>
      </c>
      <c r="B7" s="26">
        <f>PPB_Eu_Aliquot_Sent!B7</f>
        <v>3.5117272409591234</v>
      </c>
      <c r="C7">
        <f>PPB_Eu_Aliquot_Sent!C7</f>
        <v>3.6076417009547099E-2</v>
      </c>
      <c r="D7" s="10">
        <f>PPB_Eu_Aliquot_Sent!D7</f>
        <v>1.0273126166738936E-2</v>
      </c>
    </row>
    <row r="9" spans="1:6" x14ac:dyDescent="0.25">
      <c r="B9">
        <f>B7/B3</f>
        <v>29.772911334361972</v>
      </c>
      <c r="C9">
        <f>(((D7/B3)^2)+((B7/(B3^2))^2)*D3^2)^0.5</f>
        <v>4.9206785310195258</v>
      </c>
      <c r="D9" s="10">
        <f>C9/B9</f>
        <v>0.16527367699309931</v>
      </c>
      <c r="F9" t="s">
        <v>48</v>
      </c>
    </row>
    <row r="12" spans="1:6" x14ac:dyDescent="0.25">
      <c r="B12" t="s">
        <v>46</v>
      </c>
    </row>
    <row r="17" spans="2:2" x14ac:dyDescent="0.25">
      <c r="B17" t="s">
        <v>47</v>
      </c>
    </row>
    <row r="18" spans="2:2" x14ac:dyDescent="0.25">
      <c r="B18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Eu_Calculations</vt:lpstr>
      <vt:lpstr>PPB_Eu_Aliquot_Sent</vt:lpstr>
      <vt:lpstr>PPB_Eu_to_Stock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Mendoza, Paul Michael</cp:lastModifiedBy>
  <dcterms:created xsi:type="dcterms:W3CDTF">2015-10-01T14:52:56Z</dcterms:created>
  <dcterms:modified xsi:type="dcterms:W3CDTF">2015-12-16T12:31:05Z</dcterms:modified>
</cp:coreProperties>
</file>