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chool\Research\Calculations\Mass_Spec\Elements\"/>
    </mc:Choice>
  </mc:AlternateContent>
  <bookViews>
    <workbookView xWindow="0" yWindow="0" windowWidth="19200" windowHeight="9030"/>
  </bookViews>
  <sheets>
    <sheet name="Mo_Calculations" sheetId="1" r:id="rId1"/>
    <sheet name="PPB_Mo_Aliquot_Sent" sheetId="2" r:id="rId2"/>
    <sheet name="DF" sheetId="5" r:id="rId3"/>
    <sheet name="PPB_Mo_to_Stock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5" l="1"/>
  <c r="T2" i="5"/>
  <c r="R2" i="5"/>
  <c r="J2" i="5"/>
  <c r="K2" i="5"/>
  <c r="L2" i="5"/>
  <c r="M2" i="5"/>
  <c r="N2" i="5"/>
  <c r="O2" i="5"/>
  <c r="P2" i="5"/>
  <c r="Q2" i="5"/>
  <c r="I2" i="5"/>
  <c r="C30" i="2" l="1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B31" i="2"/>
  <c r="B30" i="2"/>
  <c r="F3" i="2" l="1"/>
  <c r="F5" i="2"/>
  <c r="F5" i="4" s="1"/>
  <c r="F7" i="2"/>
  <c r="F9" i="2"/>
  <c r="F11" i="2"/>
  <c r="F13" i="2"/>
  <c r="F15" i="2"/>
  <c r="F17" i="2"/>
  <c r="F19" i="2"/>
  <c r="F21" i="2"/>
  <c r="F23" i="2"/>
  <c r="F25" i="2"/>
  <c r="F27" i="2"/>
  <c r="F29" i="2"/>
  <c r="E3" i="2"/>
  <c r="L4" i="5" s="1"/>
  <c r="E5" i="2"/>
  <c r="L6" i="5" s="1"/>
  <c r="E7" i="2"/>
  <c r="L8" i="5" s="1"/>
  <c r="E9" i="2"/>
  <c r="L10" i="5" s="1"/>
  <c r="E11" i="2"/>
  <c r="L12" i="5" s="1"/>
  <c r="E13" i="2"/>
  <c r="L14" i="5" s="1"/>
  <c r="E15" i="2"/>
  <c r="L16" i="5" s="1"/>
  <c r="E17" i="2"/>
  <c r="L18" i="5" s="1"/>
  <c r="E19" i="2"/>
  <c r="L20" i="5" s="1"/>
  <c r="E21" i="2"/>
  <c r="L22" i="5" s="1"/>
  <c r="E23" i="2"/>
  <c r="L24" i="5" s="1"/>
  <c r="E25" i="2"/>
  <c r="L26" i="5" s="1"/>
  <c r="E27" i="2"/>
  <c r="L28" i="5" s="1"/>
  <c r="E29" i="2"/>
  <c r="L30" i="5" s="1"/>
  <c r="F4" i="2"/>
  <c r="F4" i="4" s="1"/>
  <c r="F8" i="2"/>
  <c r="F12" i="2"/>
  <c r="F16" i="2"/>
  <c r="F20" i="2"/>
  <c r="F24" i="2"/>
  <c r="F28" i="2"/>
  <c r="E4" i="2"/>
  <c r="E8" i="2"/>
  <c r="L9" i="5" s="1"/>
  <c r="E12" i="2"/>
  <c r="L13" i="5" s="1"/>
  <c r="E16" i="2"/>
  <c r="L17" i="5" s="1"/>
  <c r="E20" i="2"/>
  <c r="L21" i="5" s="1"/>
  <c r="E24" i="2"/>
  <c r="L25" i="5" s="1"/>
  <c r="E28" i="2"/>
  <c r="L29" i="5" s="1"/>
  <c r="F6" i="2"/>
  <c r="F10" i="2"/>
  <c r="F14" i="2"/>
  <c r="F18" i="2"/>
  <c r="F22" i="2"/>
  <c r="F26" i="2"/>
  <c r="F2" i="2"/>
  <c r="E6" i="2"/>
  <c r="L7" i="5" s="1"/>
  <c r="E10" i="2"/>
  <c r="L11" i="5" s="1"/>
  <c r="E14" i="2"/>
  <c r="L15" i="5" s="1"/>
  <c r="E18" i="2"/>
  <c r="L19" i="5" s="1"/>
  <c r="E22" i="2"/>
  <c r="L23" i="5" s="1"/>
  <c r="E26" i="2"/>
  <c r="L27" i="5" s="1"/>
  <c r="E2" i="2"/>
  <c r="L3" i="5" s="1"/>
  <c r="C3" i="2"/>
  <c r="C5" i="2"/>
  <c r="C5" i="4" s="1"/>
  <c r="C7" i="2"/>
  <c r="C9" i="2"/>
  <c r="C11" i="2"/>
  <c r="C13" i="2"/>
  <c r="C15" i="2"/>
  <c r="C17" i="2"/>
  <c r="C19" i="2"/>
  <c r="C21" i="2"/>
  <c r="C23" i="2"/>
  <c r="C25" i="2"/>
  <c r="C27" i="2"/>
  <c r="C29" i="2"/>
  <c r="B3" i="2"/>
  <c r="I4" i="5" s="1"/>
  <c r="B5" i="2"/>
  <c r="I6" i="5" s="1"/>
  <c r="B7" i="2"/>
  <c r="I8" i="5" s="1"/>
  <c r="B9" i="2"/>
  <c r="I10" i="5" s="1"/>
  <c r="B11" i="2"/>
  <c r="I12" i="5" s="1"/>
  <c r="B13" i="2"/>
  <c r="I14" i="5" s="1"/>
  <c r="B15" i="2"/>
  <c r="I16" i="5" s="1"/>
  <c r="B17" i="2"/>
  <c r="I18" i="5" s="1"/>
  <c r="B19" i="2"/>
  <c r="I20" i="5" s="1"/>
  <c r="B21" i="2"/>
  <c r="I22" i="5" s="1"/>
  <c r="B23" i="2"/>
  <c r="I24" i="5" s="1"/>
  <c r="B25" i="2"/>
  <c r="I26" i="5" s="1"/>
  <c r="B27" i="2"/>
  <c r="I28" i="5" s="1"/>
  <c r="B29" i="2"/>
  <c r="I30" i="5" s="1"/>
  <c r="C4" i="2"/>
  <c r="C4" i="4" s="1"/>
  <c r="C8" i="2"/>
  <c r="C12" i="2"/>
  <c r="C16" i="2"/>
  <c r="C20" i="2"/>
  <c r="C24" i="2"/>
  <c r="C28" i="2"/>
  <c r="B4" i="2"/>
  <c r="B8" i="2"/>
  <c r="I9" i="5" s="1"/>
  <c r="B12" i="2"/>
  <c r="I13" i="5" s="1"/>
  <c r="B16" i="2"/>
  <c r="I17" i="5" s="1"/>
  <c r="B20" i="2"/>
  <c r="I21" i="5" s="1"/>
  <c r="B24" i="2"/>
  <c r="I25" i="5" s="1"/>
  <c r="B28" i="2"/>
  <c r="I29" i="5" s="1"/>
  <c r="C6" i="2"/>
  <c r="C10" i="2"/>
  <c r="C14" i="2"/>
  <c r="C18" i="2"/>
  <c r="C22" i="2"/>
  <c r="C26" i="2"/>
  <c r="C2" i="2"/>
  <c r="B6" i="2"/>
  <c r="I7" i="5" s="1"/>
  <c r="B10" i="2"/>
  <c r="I11" i="5" s="1"/>
  <c r="B14" i="2"/>
  <c r="I15" i="5" s="1"/>
  <c r="B18" i="2"/>
  <c r="I19" i="5" s="1"/>
  <c r="B22" i="2"/>
  <c r="I23" i="5" s="1"/>
  <c r="B26" i="2"/>
  <c r="I27" i="5" s="1"/>
  <c r="B2" i="2"/>
  <c r="I3" i="5" s="1"/>
  <c r="I3" i="2"/>
  <c r="I5" i="2"/>
  <c r="I5" i="4" s="1"/>
  <c r="I7" i="2"/>
  <c r="I9" i="2"/>
  <c r="I11" i="2"/>
  <c r="I13" i="2"/>
  <c r="I15" i="2"/>
  <c r="I17" i="2"/>
  <c r="I19" i="2"/>
  <c r="I21" i="2"/>
  <c r="I23" i="2"/>
  <c r="I25" i="2"/>
  <c r="I27" i="2"/>
  <c r="I29" i="2"/>
  <c r="H3" i="2"/>
  <c r="O4" i="5" s="1"/>
  <c r="H5" i="2"/>
  <c r="O6" i="5" s="1"/>
  <c r="H7" i="2"/>
  <c r="O8" i="5" s="1"/>
  <c r="H9" i="2"/>
  <c r="O10" i="5" s="1"/>
  <c r="H11" i="2"/>
  <c r="O12" i="5" s="1"/>
  <c r="H13" i="2"/>
  <c r="O14" i="5" s="1"/>
  <c r="H15" i="2"/>
  <c r="O16" i="5" s="1"/>
  <c r="H17" i="2"/>
  <c r="O18" i="5" s="1"/>
  <c r="H19" i="2"/>
  <c r="O20" i="5" s="1"/>
  <c r="H21" i="2"/>
  <c r="O22" i="5" s="1"/>
  <c r="P22" i="5" s="1"/>
  <c r="Q22" i="5" s="1"/>
  <c r="H23" i="2"/>
  <c r="O24" i="5" s="1"/>
  <c r="H25" i="2"/>
  <c r="O26" i="5" s="1"/>
  <c r="H27" i="2"/>
  <c r="O28" i="5" s="1"/>
  <c r="H29" i="2"/>
  <c r="O30" i="5" s="1"/>
  <c r="I4" i="2"/>
  <c r="I4" i="4" s="1"/>
  <c r="I8" i="2"/>
  <c r="I12" i="2"/>
  <c r="I16" i="2"/>
  <c r="I20" i="2"/>
  <c r="I24" i="2"/>
  <c r="I28" i="2"/>
  <c r="H4" i="2"/>
  <c r="H8" i="2"/>
  <c r="O9" i="5" s="1"/>
  <c r="H12" i="2"/>
  <c r="O13" i="5" s="1"/>
  <c r="H16" i="2"/>
  <c r="O17" i="5" s="1"/>
  <c r="H20" i="2"/>
  <c r="O21" i="5" s="1"/>
  <c r="H24" i="2"/>
  <c r="O25" i="5" s="1"/>
  <c r="H28" i="2"/>
  <c r="O29" i="5" s="1"/>
  <c r="I6" i="2"/>
  <c r="I10" i="2"/>
  <c r="I14" i="2"/>
  <c r="I18" i="2"/>
  <c r="I22" i="2"/>
  <c r="I26" i="2"/>
  <c r="I2" i="2"/>
  <c r="H6" i="2"/>
  <c r="O7" i="5" s="1"/>
  <c r="H10" i="2"/>
  <c r="O11" i="5" s="1"/>
  <c r="H14" i="2"/>
  <c r="O15" i="5" s="1"/>
  <c r="H18" i="2"/>
  <c r="O19" i="5" s="1"/>
  <c r="H22" i="2"/>
  <c r="O23" i="5" s="1"/>
  <c r="H26" i="2"/>
  <c r="O27" i="5" s="1"/>
  <c r="H2" i="2"/>
  <c r="O3" i="5" s="1"/>
  <c r="J14" i="2"/>
  <c r="J17" i="2"/>
  <c r="G14" i="2"/>
  <c r="G17" i="2"/>
  <c r="D14" i="2"/>
  <c r="D17" i="2"/>
  <c r="I36" i="5" l="1"/>
  <c r="I32" i="5"/>
  <c r="P12" i="5"/>
  <c r="Q12" i="5" s="1"/>
  <c r="K15" i="5"/>
  <c r="J15" i="5"/>
  <c r="P18" i="5"/>
  <c r="Q18" i="5"/>
  <c r="J18" i="5"/>
  <c r="K18" i="5"/>
  <c r="M18" i="5"/>
  <c r="N18" i="5"/>
  <c r="E5" i="4"/>
  <c r="Q15" i="5"/>
  <c r="P15" i="5"/>
  <c r="M15" i="5"/>
  <c r="N15" i="5"/>
  <c r="M11" i="5"/>
  <c r="N11" i="5" s="1"/>
  <c r="Q30" i="5"/>
  <c r="P30" i="5"/>
  <c r="M30" i="5"/>
  <c r="N30" i="5"/>
  <c r="J30" i="5"/>
  <c r="K30" i="5"/>
  <c r="Q29" i="5"/>
  <c r="P29" i="5"/>
  <c r="J29" i="5"/>
  <c r="K29" i="5"/>
  <c r="N29" i="5"/>
  <c r="M29" i="5"/>
  <c r="P28" i="5"/>
  <c r="Q28" i="5"/>
  <c r="N28" i="5"/>
  <c r="M28" i="5"/>
  <c r="J28" i="5"/>
  <c r="K28" i="5"/>
  <c r="J27" i="5"/>
  <c r="K27" i="5"/>
  <c r="N27" i="5"/>
  <c r="M27" i="5"/>
  <c r="P27" i="5"/>
  <c r="Q27" i="5"/>
  <c r="Q26" i="5"/>
  <c r="P26" i="5"/>
  <c r="J26" i="5"/>
  <c r="K26" i="5"/>
  <c r="N26" i="5"/>
  <c r="M26" i="5"/>
  <c r="Q25" i="5"/>
  <c r="P25" i="5"/>
  <c r="K25" i="5"/>
  <c r="J25" i="5"/>
  <c r="N25" i="5"/>
  <c r="M25" i="5"/>
  <c r="J24" i="5"/>
  <c r="K24" i="5" s="1"/>
  <c r="P24" i="5"/>
  <c r="Q24" i="5" s="1"/>
  <c r="M24" i="5"/>
  <c r="N24" i="5" s="1"/>
  <c r="J23" i="5"/>
  <c r="K23" i="5" s="1"/>
  <c r="M23" i="5"/>
  <c r="N23" i="5" s="1"/>
  <c r="P23" i="5"/>
  <c r="Q23" i="5" s="1"/>
  <c r="J22" i="5"/>
  <c r="K22" i="5" s="1"/>
  <c r="M22" i="5"/>
  <c r="N22" i="5" s="1"/>
  <c r="P21" i="5"/>
  <c r="Q21" i="5" s="1"/>
  <c r="M21" i="5"/>
  <c r="N21" i="5" s="1"/>
  <c r="J21" i="5"/>
  <c r="K21" i="5" s="1"/>
  <c r="P20" i="5"/>
  <c r="Q20" i="5" s="1"/>
  <c r="J20" i="5"/>
  <c r="K20" i="5" s="1"/>
  <c r="M20" i="5"/>
  <c r="N20" i="5" s="1"/>
  <c r="M19" i="5"/>
  <c r="N19" i="5" s="1"/>
  <c r="J19" i="5"/>
  <c r="K19" i="5" s="1"/>
  <c r="P19" i="5"/>
  <c r="Q19" i="5" s="1"/>
  <c r="P17" i="5"/>
  <c r="Q17" i="5" s="1"/>
  <c r="J17" i="5"/>
  <c r="K17" i="5" s="1"/>
  <c r="M17" i="5"/>
  <c r="N17" i="5" s="1"/>
  <c r="P16" i="5"/>
  <c r="Q16" i="5" s="1"/>
  <c r="J16" i="5"/>
  <c r="K16" i="5" s="1"/>
  <c r="M16" i="5"/>
  <c r="N16" i="5" s="1"/>
  <c r="N14" i="5"/>
  <c r="L38" i="5"/>
  <c r="M14" i="5"/>
  <c r="O38" i="5"/>
  <c r="P14" i="5"/>
  <c r="Q14" i="5" s="1"/>
  <c r="I38" i="5"/>
  <c r="J14" i="5"/>
  <c r="K14" i="5"/>
  <c r="M13" i="5"/>
  <c r="N13" i="5" s="1"/>
  <c r="P13" i="5"/>
  <c r="Q13" i="5" s="1"/>
  <c r="J13" i="5"/>
  <c r="K13" i="5" s="1"/>
  <c r="M12" i="5"/>
  <c r="N12" i="5" s="1"/>
  <c r="J12" i="5"/>
  <c r="K12" i="5" s="1"/>
  <c r="P11" i="5"/>
  <c r="Q11" i="5" s="1"/>
  <c r="J11" i="5"/>
  <c r="K11" i="5"/>
  <c r="P10" i="5"/>
  <c r="Q10" i="5" s="1"/>
  <c r="J10" i="5"/>
  <c r="K10" i="5" s="1"/>
  <c r="M10" i="5"/>
  <c r="N10" i="5" s="1"/>
  <c r="M9" i="5"/>
  <c r="L37" i="5"/>
  <c r="N9" i="5"/>
  <c r="P9" i="5"/>
  <c r="Q9" i="5" s="1"/>
  <c r="O37" i="5"/>
  <c r="J9" i="5"/>
  <c r="I37" i="5"/>
  <c r="K9" i="5"/>
  <c r="O36" i="5"/>
  <c r="P8" i="5"/>
  <c r="J8" i="5"/>
  <c r="K8" i="5" s="1"/>
  <c r="L36" i="5"/>
  <c r="M8" i="5"/>
  <c r="P7" i="5"/>
  <c r="Q7" i="5" s="1"/>
  <c r="M7" i="5"/>
  <c r="N7" i="5"/>
  <c r="J7" i="5"/>
  <c r="K7" i="5" s="1"/>
  <c r="J6" i="5"/>
  <c r="K6" i="5" s="1"/>
  <c r="I35" i="5"/>
  <c r="P6" i="5"/>
  <c r="Q6" i="5" s="1"/>
  <c r="O35" i="5"/>
  <c r="M6" i="5"/>
  <c r="N6" i="5" s="1"/>
  <c r="L35" i="5"/>
  <c r="B5" i="4"/>
  <c r="H5" i="4"/>
  <c r="E4" i="4"/>
  <c r="L5" i="5"/>
  <c r="L33" i="5" s="1"/>
  <c r="B4" i="4"/>
  <c r="I5" i="5"/>
  <c r="I33" i="5" s="1"/>
  <c r="H4" i="4"/>
  <c r="O5" i="5"/>
  <c r="L32" i="5"/>
  <c r="M4" i="5"/>
  <c r="N4" i="5" s="1"/>
  <c r="O32" i="5"/>
  <c r="P4" i="5"/>
  <c r="Q4" i="5" s="1"/>
  <c r="J4" i="5"/>
  <c r="K4" i="5" s="1"/>
  <c r="J3" i="5"/>
  <c r="K3" i="5" s="1"/>
  <c r="M3" i="5"/>
  <c r="N3" i="5" s="1"/>
  <c r="P3" i="5"/>
  <c r="Q3" i="5"/>
  <c r="D29" i="2"/>
  <c r="D27" i="2"/>
  <c r="D25" i="2"/>
  <c r="G28" i="2"/>
  <c r="G26" i="2"/>
  <c r="G24" i="2"/>
  <c r="G8" i="2"/>
  <c r="G29" i="2"/>
  <c r="G27" i="2"/>
  <c r="G25" i="2"/>
  <c r="D2" i="2"/>
  <c r="J2" i="2"/>
  <c r="D23" i="2"/>
  <c r="D21" i="2"/>
  <c r="D19" i="2"/>
  <c r="D15" i="2"/>
  <c r="D13" i="2"/>
  <c r="D11" i="2"/>
  <c r="D9" i="2"/>
  <c r="D7" i="2"/>
  <c r="D5" i="2"/>
  <c r="D3" i="2"/>
  <c r="G22" i="2"/>
  <c r="G20" i="2"/>
  <c r="G18" i="2"/>
  <c r="G16" i="2"/>
  <c r="G12" i="2"/>
  <c r="G10" i="2"/>
  <c r="G6" i="2"/>
  <c r="G4" i="2"/>
  <c r="G23" i="2"/>
  <c r="G21" i="2"/>
  <c r="G19" i="2"/>
  <c r="G15" i="2"/>
  <c r="G13" i="2"/>
  <c r="G11" i="2"/>
  <c r="G9" i="2"/>
  <c r="G7" i="2"/>
  <c r="G5" i="2"/>
  <c r="G5" i="4" s="1"/>
  <c r="G3" i="2"/>
  <c r="J28" i="2"/>
  <c r="J26" i="2"/>
  <c r="J24" i="2"/>
  <c r="D28" i="2"/>
  <c r="D26" i="2"/>
  <c r="D24" i="2"/>
  <c r="D22" i="2"/>
  <c r="D20" i="2"/>
  <c r="D18" i="2"/>
  <c r="D16" i="2"/>
  <c r="D12" i="2"/>
  <c r="D10" i="2"/>
  <c r="D8" i="2"/>
  <c r="D6" i="2"/>
  <c r="D4" i="2"/>
  <c r="J22" i="2"/>
  <c r="J20" i="2"/>
  <c r="J18" i="2"/>
  <c r="J16" i="2"/>
  <c r="J12" i="2"/>
  <c r="J10" i="2"/>
  <c r="J8" i="2"/>
  <c r="J6" i="2"/>
  <c r="J4" i="2"/>
  <c r="J29" i="2"/>
  <c r="J27" i="2"/>
  <c r="J25" i="2"/>
  <c r="J23" i="2"/>
  <c r="J21" i="2"/>
  <c r="J19" i="2"/>
  <c r="J15" i="2"/>
  <c r="J13" i="2"/>
  <c r="J11" i="2"/>
  <c r="J9" i="2"/>
  <c r="J7" i="2"/>
  <c r="J5" i="2"/>
  <c r="J3" i="2"/>
  <c r="G2" i="2"/>
  <c r="N3" i="1"/>
  <c r="L3" i="1"/>
  <c r="J3" i="1"/>
  <c r="B38" i="1"/>
  <c r="D5" i="4" l="1"/>
  <c r="G4" i="4"/>
  <c r="M36" i="5"/>
  <c r="N36" i="5" s="1"/>
  <c r="J32" i="5"/>
  <c r="J36" i="5"/>
  <c r="K36" i="5" s="1"/>
  <c r="P36" i="5"/>
  <c r="Q36" i="5" s="1"/>
  <c r="P32" i="5"/>
  <c r="Q32" i="5" s="1"/>
  <c r="N8" i="5"/>
  <c r="M32" i="5"/>
  <c r="N32" i="5" s="1"/>
  <c r="Q8" i="5"/>
  <c r="O34" i="5"/>
  <c r="P5" i="5"/>
  <c r="Q5" i="5" s="1"/>
  <c r="O33" i="5"/>
  <c r="I34" i="5"/>
  <c r="J5" i="5"/>
  <c r="K5" i="5" s="1"/>
  <c r="M5" i="5"/>
  <c r="N5" i="5" s="1"/>
  <c r="L34" i="5"/>
  <c r="K32" i="5"/>
  <c r="M8" i="2"/>
  <c r="M14" i="2"/>
  <c r="M17" i="2"/>
  <c r="M24" i="2"/>
  <c r="M25" i="2"/>
  <c r="M26" i="2"/>
  <c r="M27" i="2"/>
  <c r="M28" i="2"/>
  <c r="M29" i="2"/>
  <c r="Q14" i="2"/>
  <c r="R15" i="5" s="1"/>
  <c r="Q17" i="2"/>
  <c r="R18" i="5" s="1"/>
  <c r="N8" i="2"/>
  <c r="N14" i="2"/>
  <c r="N17" i="2"/>
  <c r="N24" i="2"/>
  <c r="N25" i="2"/>
  <c r="N26" i="2"/>
  <c r="N27" i="2"/>
  <c r="N28" i="2"/>
  <c r="N29" i="2"/>
  <c r="O14" i="2"/>
  <c r="O17" i="2"/>
  <c r="O24" i="2"/>
  <c r="O25" i="2"/>
  <c r="O26" i="2"/>
  <c r="O27" i="2"/>
  <c r="O28" i="2"/>
  <c r="O29" i="2"/>
  <c r="S18" i="5" l="1"/>
  <c r="T18" i="5"/>
  <c r="S15" i="5"/>
  <c r="T15" i="5"/>
  <c r="Q29" i="2"/>
  <c r="R30" i="5" s="1"/>
  <c r="Q27" i="2"/>
  <c r="R28" i="5" s="1"/>
  <c r="Q25" i="2"/>
  <c r="R26" i="5" s="1"/>
  <c r="Q23" i="2"/>
  <c r="R24" i="5" s="1"/>
  <c r="Q21" i="2"/>
  <c r="R22" i="5" s="1"/>
  <c r="Q19" i="2"/>
  <c r="R20" i="5" s="1"/>
  <c r="S17" i="2"/>
  <c r="R17" i="2"/>
  <c r="Q15" i="2"/>
  <c r="R16" i="5" s="1"/>
  <c r="Q13" i="2"/>
  <c r="R14" i="5" s="1"/>
  <c r="Q11" i="2"/>
  <c r="R12" i="5" s="1"/>
  <c r="Q9" i="2"/>
  <c r="R10" i="5" s="1"/>
  <c r="Q7" i="2"/>
  <c r="R8" i="5" s="1"/>
  <c r="Q5" i="2"/>
  <c r="R6" i="5" s="1"/>
  <c r="Q3" i="2"/>
  <c r="R4" i="5" s="1"/>
  <c r="Q28" i="2"/>
  <c r="R29" i="5" s="1"/>
  <c r="Q26" i="2"/>
  <c r="R27" i="5" s="1"/>
  <c r="Q24" i="2"/>
  <c r="R25" i="5" s="1"/>
  <c r="Q22" i="2"/>
  <c r="R23" i="5" s="1"/>
  <c r="Q20" i="2"/>
  <c r="R21" i="5" s="1"/>
  <c r="Q18" i="2"/>
  <c r="R19" i="5" s="1"/>
  <c r="Q16" i="2"/>
  <c r="R17" i="5" s="1"/>
  <c r="S14" i="2"/>
  <c r="R14" i="2"/>
  <c r="Q12" i="2"/>
  <c r="R13" i="5" s="1"/>
  <c r="Q10" i="2"/>
  <c r="R11" i="5" s="1"/>
  <c r="Q8" i="2"/>
  <c r="R9" i="5" s="1"/>
  <c r="Q6" i="2"/>
  <c r="R7" i="5" s="1"/>
  <c r="Q4" i="2"/>
  <c r="R5" i="5" s="1"/>
  <c r="Q2" i="2"/>
  <c r="R3" i="5" s="1"/>
  <c r="L2" i="1"/>
  <c r="N2" i="1"/>
  <c r="J2" i="1"/>
  <c r="N5" i="1"/>
  <c r="N4" i="1"/>
  <c r="L5" i="1"/>
  <c r="L4" i="1"/>
  <c r="T30" i="5" l="1"/>
  <c r="S30" i="5"/>
  <c r="S29" i="5"/>
  <c r="T29" i="5"/>
  <c r="T28" i="5"/>
  <c r="S28" i="5"/>
  <c r="T27" i="5"/>
  <c r="S27" i="5"/>
  <c r="S26" i="5"/>
  <c r="T26" i="5"/>
  <c r="T25" i="5"/>
  <c r="S25" i="5"/>
  <c r="R38" i="5"/>
  <c r="R37" i="5"/>
  <c r="R36" i="5"/>
  <c r="V36" i="5" s="1"/>
  <c r="R35" i="5"/>
  <c r="R34" i="5"/>
  <c r="R32" i="5"/>
  <c r="V32" i="5" s="1"/>
  <c r="R33" i="5"/>
  <c r="R24" i="2"/>
  <c r="S24" i="2" s="1"/>
  <c r="R28" i="2"/>
  <c r="S28" i="2" s="1"/>
  <c r="R27" i="2"/>
  <c r="S27" i="2" s="1"/>
  <c r="R26" i="2"/>
  <c r="S26" i="2" s="1"/>
  <c r="R25" i="2"/>
  <c r="S25" i="2" s="1"/>
  <c r="R29" i="2"/>
  <c r="S29" i="2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A22" i="2" l="1"/>
  <c r="A23" i="2"/>
  <c r="A24" i="2"/>
  <c r="A25" i="2"/>
  <c r="A26" i="2"/>
  <c r="A27" i="2"/>
  <c r="A28" i="2"/>
  <c r="A29" i="2"/>
  <c r="Q34" i="1" l="1"/>
  <c r="Q7" i="1" l="1"/>
  <c r="Q14" i="1"/>
  <c r="Q16" i="1"/>
  <c r="Q18" i="1"/>
  <c r="Q20" i="1"/>
  <c r="Q22" i="1"/>
  <c r="Q24" i="1"/>
  <c r="Q26" i="1"/>
  <c r="Q28" i="1"/>
  <c r="Q30" i="1"/>
  <c r="Q32" i="1"/>
  <c r="Q8" i="1"/>
  <c r="Q10" i="1"/>
  <c r="Q12" i="1"/>
  <c r="Q11" i="1"/>
  <c r="Q33" i="1"/>
  <c r="Q29" i="1"/>
  <c r="Q25" i="1"/>
  <c r="Q21" i="1"/>
  <c r="Q17" i="1"/>
  <c r="Q13" i="1"/>
  <c r="Q9" i="1"/>
  <c r="Q31" i="1"/>
  <c r="Q27" i="1"/>
  <c r="Q23" i="1"/>
  <c r="Q19" i="1"/>
  <c r="Q15" i="1"/>
  <c r="T34" i="1"/>
  <c r="W34" i="1" l="1"/>
  <c r="W7" i="1"/>
  <c r="W8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12" i="1"/>
  <c r="W16" i="1"/>
  <c r="W20" i="1"/>
  <c r="W24" i="1"/>
  <c r="W28" i="1"/>
  <c r="W32" i="1"/>
  <c r="W10" i="1"/>
  <c r="W14" i="1"/>
  <c r="W18" i="1"/>
  <c r="W22" i="1"/>
  <c r="W26" i="1"/>
  <c r="W30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7" i="1"/>
  <c r="T9" i="1"/>
  <c r="T13" i="1"/>
  <c r="T17" i="1"/>
  <c r="T21" i="1"/>
  <c r="T25" i="1"/>
  <c r="T29" i="1"/>
  <c r="T33" i="1"/>
  <c r="T11" i="1"/>
  <c r="T15" i="1"/>
  <c r="T19" i="1"/>
  <c r="T23" i="1"/>
  <c r="T27" i="1"/>
  <c r="T31" i="1"/>
  <c r="X19" i="1"/>
  <c r="X22" i="1"/>
  <c r="M14" i="1"/>
  <c r="M15" i="1"/>
  <c r="M16" i="1"/>
  <c r="M17" i="1"/>
  <c r="M18" i="1"/>
  <c r="M19" i="1"/>
  <c r="U19" i="1" s="1"/>
  <c r="M20" i="1"/>
  <c r="M21" i="1"/>
  <c r="M22" i="1"/>
  <c r="U22" i="1" s="1"/>
  <c r="M23" i="1"/>
  <c r="M24" i="1"/>
  <c r="M25" i="1"/>
  <c r="M26" i="1"/>
  <c r="M27" i="1"/>
  <c r="M28" i="1"/>
  <c r="M29" i="1"/>
  <c r="M30" i="1"/>
  <c r="M31" i="1"/>
  <c r="M32" i="1"/>
  <c r="M33" i="1"/>
  <c r="M34" i="1"/>
  <c r="M13" i="1"/>
  <c r="M8" i="1"/>
  <c r="M9" i="1"/>
  <c r="M10" i="1"/>
  <c r="M11" i="1"/>
  <c r="M12" i="1"/>
  <c r="M7" i="1"/>
  <c r="K14" i="1"/>
  <c r="K15" i="1"/>
  <c r="K16" i="1"/>
  <c r="K17" i="1"/>
  <c r="K18" i="1"/>
  <c r="K19" i="1"/>
  <c r="R19" i="1" s="1"/>
  <c r="S19" i="1" s="1"/>
  <c r="K20" i="1"/>
  <c r="K21" i="1"/>
  <c r="K22" i="1"/>
  <c r="R22" i="1" s="1"/>
  <c r="S22" i="1" s="1"/>
  <c r="K23" i="1"/>
  <c r="K24" i="1"/>
  <c r="K25" i="1"/>
  <c r="K26" i="1"/>
  <c r="K27" i="1"/>
  <c r="K28" i="1"/>
  <c r="K29" i="1"/>
  <c r="K30" i="1"/>
  <c r="K31" i="1"/>
  <c r="K32" i="1"/>
  <c r="K33" i="1"/>
  <c r="K34" i="1"/>
  <c r="K13" i="1"/>
  <c r="K8" i="1"/>
  <c r="K9" i="1"/>
  <c r="K10" i="1"/>
  <c r="K11" i="1"/>
  <c r="K12" i="1"/>
  <c r="K7" i="1"/>
  <c r="V19" i="1" l="1"/>
  <c r="V22" i="1"/>
  <c r="E7" i="4"/>
  <c r="E3" i="4"/>
  <c r="H7" i="4"/>
  <c r="H6" i="4"/>
  <c r="B2" i="4"/>
  <c r="B11" i="4" s="1"/>
  <c r="B6" i="4"/>
  <c r="B3" i="4"/>
  <c r="H2" i="4"/>
  <c r="Y19" i="1"/>
  <c r="E6" i="4"/>
  <c r="E2" i="4"/>
  <c r="B7" i="4"/>
  <c r="H3" i="4"/>
  <c r="Y22" i="1"/>
  <c r="H11" i="4" l="1"/>
  <c r="E11" i="4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1" i="2"/>
  <c r="C1" i="2"/>
  <c r="C1" i="4" s="1"/>
  <c r="D1" i="2"/>
  <c r="D1" i="4" s="1"/>
  <c r="E1" i="2"/>
  <c r="E1" i="4" s="1"/>
  <c r="F1" i="2"/>
  <c r="F1" i="4" s="1"/>
  <c r="G1" i="2"/>
  <c r="G1" i="4" s="1"/>
  <c r="H1" i="2"/>
  <c r="H1" i="4" s="1"/>
  <c r="I1" i="2"/>
  <c r="I1" i="4" s="1"/>
  <c r="J1" i="2"/>
  <c r="J1" i="4" s="1"/>
  <c r="B1" i="2"/>
  <c r="B1" i="4" s="1"/>
  <c r="A1" i="4" l="1"/>
  <c r="A6" i="4"/>
  <c r="A4" i="4"/>
  <c r="A2" i="4"/>
  <c r="A7" i="4"/>
  <c r="A5" i="4"/>
  <c r="A3" i="4"/>
  <c r="F27" i="1" l="1"/>
  <c r="F28" i="1"/>
  <c r="F29" i="1"/>
  <c r="F30" i="1"/>
  <c r="F31" i="1"/>
  <c r="F32" i="1"/>
  <c r="F33" i="1"/>
  <c r="F34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3" i="1"/>
  <c r="F24" i="1"/>
  <c r="F25" i="1"/>
  <c r="F26" i="1"/>
  <c r="F7" i="1"/>
  <c r="R34" i="1" l="1"/>
  <c r="X34" i="1"/>
  <c r="U34" i="1"/>
  <c r="R26" i="1"/>
  <c r="U26" i="1"/>
  <c r="X26" i="1"/>
  <c r="R24" i="1"/>
  <c r="U24" i="1"/>
  <c r="X24" i="1"/>
  <c r="U21" i="1"/>
  <c r="R21" i="1"/>
  <c r="X21" i="1"/>
  <c r="R18" i="1"/>
  <c r="U18" i="1"/>
  <c r="X18" i="1"/>
  <c r="R16" i="1"/>
  <c r="U16" i="1"/>
  <c r="X16" i="1"/>
  <c r="R14" i="1"/>
  <c r="U14" i="1"/>
  <c r="X14" i="1"/>
  <c r="R12" i="1"/>
  <c r="U12" i="1"/>
  <c r="X12" i="1"/>
  <c r="R10" i="1"/>
  <c r="U10" i="1"/>
  <c r="X10" i="1"/>
  <c r="R8" i="1"/>
  <c r="U8" i="1"/>
  <c r="X8" i="1"/>
  <c r="R33" i="1"/>
  <c r="S33" i="1" s="1"/>
  <c r="X33" i="1"/>
  <c r="Y33" i="1" s="1"/>
  <c r="U33" i="1"/>
  <c r="V33" i="1" s="1"/>
  <c r="X31" i="1"/>
  <c r="Y31" i="1" s="1"/>
  <c r="R31" i="1"/>
  <c r="S31" i="1" s="1"/>
  <c r="U31" i="1"/>
  <c r="V31" i="1" s="1"/>
  <c r="U29" i="1"/>
  <c r="R29" i="1"/>
  <c r="X29" i="1"/>
  <c r="X27" i="1"/>
  <c r="U27" i="1"/>
  <c r="R27" i="1"/>
  <c r="R7" i="1"/>
  <c r="M2" i="2" s="1"/>
  <c r="X7" i="1"/>
  <c r="U7" i="1"/>
  <c r="R25" i="1"/>
  <c r="X25" i="1"/>
  <c r="U25" i="1"/>
  <c r="X23" i="1"/>
  <c r="R23" i="1"/>
  <c r="U23" i="1"/>
  <c r="R20" i="1"/>
  <c r="U20" i="1"/>
  <c r="X20" i="1"/>
  <c r="R17" i="1"/>
  <c r="X17" i="1"/>
  <c r="U17" i="1"/>
  <c r="X15" i="1"/>
  <c r="R15" i="1"/>
  <c r="U15" i="1"/>
  <c r="R13" i="1"/>
  <c r="U13" i="1"/>
  <c r="X13" i="1"/>
  <c r="X11" i="1"/>
  <c r="U11" i="1"/>
  <c r="R11" i="1"/>
  <c r="X9" i="1"/>
  <c r="R9" i="1"/>
  <c r="U9" i="1"/>
  <c r="R32" i="1"/>
  <c r="S32" i="1" s="1"/>
  <c r="U32" i="1"/>
  <c r="V32" i="1" s="1"/>
  <c r="X32" i="1"/>
  <c r="Y32" i="1" s="1"/>
  <c r="R30" i="1"/>
  <c r="S30" i="1" s="1"/>
  <c r="U30" i="1"/>
  <c r="V30" i="1" s="1"/>
  <c r="X30" i="1"/>
  <c r="Y30" i="1" s="1"/>
  <c r="R28" i="1"/>
  <c r="U28" i="1"/>
  <c r="X28" i="1"/>
  <c r="G26" i="1"/>
  <c r="G7" i="1"/>
  <c r="G25" i="1"/>
  <c r="G23" i="1"/>
  <c r="G20" i="1"/>
  <c r="G17" i="1"/>
  <c r="G15" i="1"/>
  <c r="G13" i="1"/>
  <c r="G11" i="1"/>
  <c r="G9" i="1"/>
  <c r="G34" i="1"/>
  <c r="G32" i="1"/>
  <c r="G30" i="1"/>
  <c r="G28" i="1"/>
  <c r="G24" i="1"/>
  <c r="G21" i="1"/>
  <c r="G18" i="1"/>
  <c r="G16" i="1"/>
  <c r="G14" i="1"/>
  <c r="G12" i="1"/>
  <c r="G10" i="1"/>
  <c r="G8" i="1"/>
  <c r="G33" i="1"/>
  <c r="G31" i="1"/>
  <c r="G29" i="1"/>
  <c r="G27" i="1"/>
  <c r="O23" i="2" l="1"/>
  <c r="M23" i="2"/>
  <c r="M4" i="2"/>
  <c r="M6" i="2"/>
  <c r="O6" i="2"/>
  <c r="N10" i="2"/>
  <c r="O10" i="2"/>
  <c r="O12" i="2"/>
  <c r="O15" i="2"/>
  <c r="M15" i="2"/>
  <c r="M18" i="2"/>
  <c r="N20" i="2"/>
  <c r="M20" i="2"/>
  <c r="O2" i="2"/>
  <c r="M22" i="2"/>
  <c r="O22" i="2"/>
  <c r="O3" i="2"/>
  <c r="M3" i="2"/>
  <c r="N5" i="2"/>
  <c r="O7" i="2"/>
  <c r="M7" i="2"/>
  <c r="N9" i="2"/>
  <c r="O11" i="2"/>
  <c r="M11" i="2"/>
  <c r="N13" i="2"/>
  <c r="O16" i="2"/>
  <c r="N16" i="2"/>
  <c r="N19" i="2"/>
  <c r="O21" i="2"/>
  <c r="M21" i="2"/>
  <c r="N23" i="2"/>
  <c r="N4" i="2"/>
  <c r="O4" i="2"/>
  <c r="N6" i="2"/>
  <c r="O8" i="2"/>
  <c r="R8" i="2" s="1"/>
  <c r="M10" i="2"/>
  <c r="N12" i="2"/>
  <c r="M12" i="2"/>
  <c r="N15" i="2"/>
  <c r="N18" i="2"/>
  <c r="O18" i="2"/>
  <c r="O20" i="2"/>
  <c r="N2" i="2"/>
  <c r="N22" i="2"/>
  <c r="N3" i="2"/>
  <c r="O5" i="2"/>
  <c r="M5" i="2"/>
  <c r="N7" i="2"/>
  <c r="O9" i="2"/>
  <c r="M9" i="2"/>
  <c r="N11" i="2"/>
  <c r="O13" i="2"/>
  <c r="M13" i="2"/>
  <c r="M16" i="2"/>
  <c r="O19" i="2"/>
  <c r="M19" i="2"/>
  <c r="N21" i="2"/>
  <c r="Y9" i="1"/>
  <c r="Y23" i="1"/>
  <c r="Y10" i="1"/>
  <c r="Y21" i="1"/>
  <c r="V9" i="1"/>
  <c r="V23" i="1"/>
  <c r="V10" i="1"/>
  <c r="V21" i="1"/>
  <c r="V20" i="1"/>
  <c r="S20" i="1"/>
  <c r="S23" i="1"/>
  <c r="S21" i="1"/>
  <c r="S9" i="1"/>
  <c r="S10" i="1"/>
  <c r="V34" i="1"/>
  <c r="S34" i="1"/>
  <c r="Y34" i="1"/>
  <c r="S28" i="1"/>
  <c r="S11" i="1"/>
  <c r="Y11" i="1"/>
  <c r="Y13" i="1"/>
  <c r="V13" i="1"/>
  <c r="V15" i="1"/>
  <c r="Y15" i="1"/>
  <c r="V17" i="1"/>
  <c r="Y25" i="1"/>
  <c r="S25" i="1"/>
  <c r="I2" i="4"/>
  <c r="J2" i="4"/>
  <c r="V27" i="1"/>
  <c r="Y27" i="1"/>
  <c r="S29" i="1"/>
  <c r="Y8" i="1"/>
  <c r="S8" i="1"/>
  <c r="Y12" i="1"/>
  <c r="S12" i="1"/>
  <c r="Y14" i="1"/>
  <c r="S14" i="1"/>
  <c r="V16" i="1"/>
  <c r="V18" i="1"/>
  <c r="Y24" i="1"/>
  <c r="S24" i="1"/>
  <c r="Y26" i="1"/>
  <c r="S26" i="1"/>
  <c r="Y28" i="1"/>
  <c r="V28" i="1"/>
  <c r="V11" i="1"/>
  <c r="S13" i="1"/>
  <c r="S15" i="1"/>
  <c r="S17" i="1"/>
  <c r="V25" i="1"/>
  <c r="V7" i="1"/>
  <c r="S7" i="1"/>
  <c r="S27" i="1"/>
  <c r="Y29" i="1"/>
  <c r="V29" i="1"/>
  <c r="V8" i="1"/>
  <c r="V12" i="1"/>
  <c r="V14" i="1"/>
  <c r="Y16" i="1"/>
  <c r="S16" i="1"/>
  <c r="Y18" i="1"/>
  <c r="S18" i="1"/>
  <c r="V24" i="1"/>
  <c r="V26" i="1"/>
  <c r="Y17" i="1"/>
  <c r="Y20" i="1"/>
  <c r="Y7" i="1"/>
  <c r="S8" i="2" l="1"/>
  <c r="S9" i="5"/>
  <c r="T9" i="5" s="1"/>
  <c r="R19" i="2"/>
  <c r="R16" i="2"/>
  <c r="R12" i="2"/>
  <c r="R10" i="2"/>
  <c r="R13" i="2"/>
  <c r="R5" i="2"/>
  <c r="R9" i="2"/>
  <c r="R2" i="2"/>
  <c r="R21" i="2"/>
  <c r="R11" i="2"/>
  <c r="R7" i="2"/>
  <c r="R3" i="2"/>
  <c r="R22" i="2"/>
  <c r="R20" i="2"/>
  <c r="R18" i="2"/>
  <c r="R15" i="2"/>
  <c r="R6" i="2"/>
  <c r="R4" i="2"/>
  <c r="R23" i="2"/>
  <c r="J5" i="4"/>
  <c r="J4" i="4"/>
  <c r="D4" i="4"/>
  <c r="F7" i="4"/>
  <c r="G7" i="4"/>
  <c r="F3" i="4"/>
  <c r="G3" i="4"/>
  <c r="C2" i="4"/>
  <c r="D2" i="4"/>
  <c r="F2" i="4"/>
  <c r="G2" i="4"/>
  <c r="C7" i="4"/>
  <c r="D7" i="4"/>
  <c r="I7" i="4"/>
  <c r="J7" i="4"/>
  <c r="C3" i="4"/>
  <c r="D3" i="4"/>
  <c r="I3" i="4"/>
  <c r="J3" i="4"/>
  <c r="I6" i="4"/>
  <c r="J6" i="4"/>
  <c r="C6" i="4"/>
  <c r="D6" i="4"/>
  <c r="F6" i="4"/>
  <c r="G6" i="4"/>
  <c r="S23" i="2" l="1"/>
  <c r="S24" i="5"/>
  <c r="T24" i="5" s="1"/>
  <c r="S22" i="2"/>
  <c r="S23" i="5"/>
  <c r="T23" i="5" s="1"/>
  <c r="S21" i="2"/>
  <c r="S22" i="5"/>
  <c r="T22" i="5" s="1"/>
  <c r="S20" i="2"/>
  <c r="S21" i="5"/>
  <c r="T21" i="5" s="1"/>
  <c r="S19" i="2"/>
  <c r="S20" i="5"/>
  <c r="T20" i="5" s="1"/>
  <c r="S18" i="2"/>
  <c r="S19" i="5"/>
  <c r="T19" i="5" s="1"/>
  <c r="S16" i="2"/>
  <c r="S17" i="5"/>
  <c r="T17" i="5" s="1"/>
  <c r="S15" i="2"/>
  <c r="S16" i="5"/>
  <c r="T16" i="5" s="1"/>
  <c r="S13" i="2"/>
  <c r="S14" i="5"/>
  <c r="T14" i="5" s="1"/>
  <c r="S12" i="2"/>
  <c r="S13" i="5"/>
  <c r="T13" i="5" s="1"/>
  <c r="S11" i="2"/>
  <c r="S12" i="5"/>
  <c r="T12" i="5" s="1"/>
  <c r="S10" i="2"/>
  <c r="S11" i="5"/>
  <c r="T11" i="5" s="1"/>
  <c r="S9" i="2"/>
  <c r="S10" i="5"/>
  <c r="T10" i="5" s="1"/>
  <c r="S7" i="2"/>
  <c r="S8" i="5"/>
  <c r="S6" i="2"/>
  <c r="S7" i="5"/>
  <c r="T7" i="5" s="1"/>
  <c r="S5" i="2"/>
  <c r="S6" i="5"/>
  <c r="T6" i="5" s="1"/>
  <c r="S4" i="2"/>
  <c r="S5" i="5"/>
  <c r="T5" i="5" s="1"/>
  <c r="S3" i="2"/>
  <c r="S4" i="5"/>
  <c r="S2" i="2"/>
  <c r="S3" i="5"/>
  <c r="T3" i="5" s="1"/>
  <c r="S36" i="5" l="1"/>
  <c r="T8" i="5"/>
  <c r="S32" i="5"/>
  <c r="T4" i="5"/>
  <c r="T36" i="5" l="1"/>
  <c r="W36" i="5"/>
  <c r="X36" i="5" s="1"/>
  <c r="T32" i="5"/>
  <c r="W32" i="5"/>
  <c r="X32" i="5" s="1"/>
</calcChain>
</file>

<file path=xl/sharedStrings.xml><?xml version="1.0" encoding="utf-8"?>
<sst xmlns="http://schemas.openxmlformats.org/spreadsheetml/2006/main" count="187" uniqueCount="92">
  <si>
    <t>Sample ID</t>
  </si>
  <si>
    <t>Total aliquot (g)</t>
  </si>
  <si>
    <t>Total dilution mass (g)</t>
  </si>
  <si>
    <t>DF initial</t>
  </si>
  <si>
    <t>87G Trace</t>
  </si>
  <si>
    <t>90G Trace</t>
  </si>
  <si>
    <t>93G Trace</t>
  </si>
  <si>
    <t>96G Trace</t>
  </si>
  <si>
    <t>30G Trace Waste</t>
  </si>
  <si>
    <t>30G Trace Original</t>
  </si>
  <si>
    <t>86G Trace</t>
  </si>
  <si>
    <t>24G Taper Waste</t>
  </si>
  <si>
    <t>24G Trace Original</t>
  </si>
  <si>
    <t>47G</t>
  </si>
  <si>
    <t>48G</t>
  </si>
  <si>
    <t>49G</t>
  </si>
  <si>
    <t>50G</t>
  </si>
  <si>
    <t>51G</t>
  </si>
  <si>
    <t>52G</t>
  </si>
  <si>
    <t>42G taper</t>
  </si>
  <si>
    <t>70G</t>
  </si>
  <si>
    <t>71G</t>
  </si>
  <si>
    <t>72G</t>
  </si>
  <si>
    <t>73G</t>
  </si>
  <si>
    <t xml:space="preserve">74G </t>
  </si>
  <si>
    <t xml:space="preserve">75G trace waste </t>
  </si>
  <si>
    <t>**</t>
  </si>
  <si>
    <t>81G trace</t>
  </si>
  <si>
    <t>82G trace</t>
  </si>
  <si>
    <t>83G Trace</t>
  </si>
  <si>
    <t>84G trace</t>
  </si>
  <si>
    <t>53G</t>
  </si>
  <si>
    <t>94G</t>
  </si>
  <si>
    <t>±</t>
  </si>
  <si>
    <t>Avg (ppb/cps)</t>
  </si>
  <si>
    <t>g</t>
  </si>
  <si>
    <t>%</t>
  </si>
  <si>
    <t>Assumed Mass Error =</t>
  </si>
  <si>
    <t xml:space="preserve">Assumed Count Time = </t>
  </si>
  <si>
    <t>seconds</t>
  </si>
  <si>
    <t>ppb</t>
  </si>
  <si>
    <t>You may question, as I did, why the % error decreases…I plugged in the standard error propagation formula, and these are the results</t>
  </si>
  <si>
    <t>If you see an error in my calculations please let me know.</t>
  </si>
  <si>
    <t>These results are before background is subtracted out</t>
  </si>
  <si>
    <t>Some of the % errors drastically increase because the numbers are near the LLD</t>
  </si>
  <si>
    <t>In order to go up to original solutions 93G Trace and 96G Trace had to be multiplied by constants</t>
  </si>
  <si>
    <t>Vial 30G Trace Original is the original stock solution</t>
  </si>
  <si>
    <t>Mo 97</t>
  </si>
  <si>
    <t>Mo 98</t>
  </si>
  <si>
    <t>Mo 100</t>
  </si>
  <si>
    <t>Background subtracted Mo values reported above. Isotopes 98 and 100 had Ru subtracted out as well</t>
  </si>
  <si>
    <t>Lower limits of detection were determined based on the background Mo levels within each sample</t>
  </si>
  <si>
    <t>Vial 87G basically vial 30G after 4 TBP contacts…</t>
  </si>
  <si>
    <t>Based on dry run and blanks sent I would estimate the Mo concentration in TBP to be about ???? ppb</t>
  </si>
  <si>
    <t>Based on dry run and blanks sent I would estimate the Mo concentration in the vials themselves to be ????</t>
  </si>
  <si>
    <t>Mo Response</t>
  </si>
  <si>
    <t>Ru Response</t>
  </si>
  <si>
    <t>% of STD</t>
  </si>
  <si>
    <t>% of Prop</t>
  </si>
  <si>
    <t>±^2</t>
  </si>
  <si>
    <t>Sum Mo</t>
  </si>
  <si>
    <t>Ru Background on masses 98 &amp; 100 (Also lots of Mo background)</t>
  </si>
  <si>
    <t>Assumed response with no Ru (Ru subtracted (and Mo) in PPB_Mo_Aliquot_Sent)</t>
  </si>
  <si>
    <t>MSCS-M (ppb/cps)</t>
  </si>
  <si>
    <t>CPS</t>
  </si>
  <si>
    <t>MS-D (ppb/cps)</t>
  </si>
  <si>
    <t>MS-C (ppb/cps)</t>
  </si>
  <si>
    <t>± (ppb)</t>
  </si>
  <si>
    <t>Background (Mo/Ru) (ppb)</t>
  </si>
  <si>
    <t>Background</t>
  </si>
  <si>
    <t>DR (x3)</t>
  </si>
  <si>
    <t xml:space="preserve"> Distribution Ratio</t>
  </si>
  <si>
    <t>These Numbers Match…I am happy. This isn't exactly the distribution ratio, but rather a three contact distribution ratio. Contaminates Aren't considered</t>
  </si>
  <si>
    <t>U ppb</t>
  </si>
  <si>
    <t>Pu ppb</t>
  </si>
  <si>
    <t>Over Pu tot</t>
  </si>
  <si>
    <t>Evaporation Correction</t>
  </si>
  <si>
    <t>DF M1</t>
  </si>
  <si>
    <t>DF M2</t>
  </si>
  <si>
    <t>DF M3</t>
  </si>
  <si>
    <t>DF MT</t>
  </si>
  <si>
    <t>DF S</t>
  </si>
  <si>
    <t>DF P1</t>
  </si>
  <si>
    <t>DF P2</t>
  </si>
  <si>
    <t>8_/4</t>
  </si>
  <si>
    <t>4_/5</t>
  </si>
  <si>
    <t>5_/6</t>
  </si>
  <si>
    <t>8_/6</t>
  </si>
  <si>
    <t>8_/20</t>
  </si>
  <si>
    <t>22_/9</t>
  </si>
  <si>
    <t>14_/23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</si>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</sst>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3" fillId="0" borderId="2" applyNumberFormat="0" applyFont="0" applyFill="0" applyAlignment="0" applyProtection="0"/>
  </cellStyleXfs>
  <cellXfs count="63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ont="1" applyFill="1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2" fontId="0" fillId="0" borderId="0" xfId="0" applyNumberFormat="1" applyBorder="1"/>
    <xf numFmtId="10" fontId="0" fillId="0" borderId="0" xfId="0" applyNumberFormat="1" applyBorder="1"/>
    <xf numFmtId="10" fontId="0" fillId="0" borderId="0" xfId="0" applyNumberFormat="1"/>
    <xf numFmtId="0" fontId="0" fillId="0" borderId="2" xfId="0" applyBorder="1"/>
    <xf numFmtId="11" fontId="0" fillId="0" borderId="0" xfId="0" applyNumberFormat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4" borderId="0" xfId="0" applyNumberFormat="1" applyFill="1" applyBorder="1"/>
    <xf numFmtId="9" fontId="0" fillId="4" borderId="0" xfId="0" applyNumberFormat="1" applyFill="1" applyBorder="1"/>
    <xf numFmtId="0" fontId="0" fillId="4" borderId="0" xfId="0" applyFill="1"/>
    <xf numFmtId="10" fontId="0" fillId="4" borderId="0" xfId="0" applyNumberFormat="1" applyFill="1"/>
    <xf numFmtId="10" fontId="0" fillId="4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Border="1"/>
    <xf numFmtId="0" fontId="0" fillId="0" borderId="2" xfId="1" applyFont="1"/>
    <xf numFmtId="0" fontId="0" fillId="3" borderId="0" xfId="0" applyFill="1" applyAlignment="1">
      <alignment wrapText="1"/>
    </xf>
    <xf numFmtId="0" fontId="0" fillId="3" borderId="0" xfId="0" applyFill="1"/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2" fillId="3" borderId="0" xfId="0" applyFont="1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2" fillId="3" borderId="0" xfId="0" applyFont="1" applyFill="1"/>
    <xf numFmtId="0" fontId="0" fillId="0" borderId="3" xfId="0" applyBorder="1"/>
    <xf numFmtId="0" fontId="0" fillId="3" borderId="3" xfId="0" applyFill="1" applyBorder="1"/>
    <xf numFmtId="11" fontId="0" fillId="0" borderId="3" xfId="0" applyNumberFormat="1" applyBorder="1"/>
    <xf numFmtId="0" fontId="0" fillId="4" borderId="3" xfId="0" applyFill="1" applyBorder="1"/>
    <xf numFmtId="0" fontId="0" fillId="0" borderId="4" xfId="0" applyBorder="1" applyAlignment="1">
      <alignment horizontal="center"/>
    </xf>
    <xf numFmtId="0" fontId="0" fillId="0" borderId="4" xfId="0" applyFill="1" applyBorder="1"/>
    <xf numFmtId="0" fontId="0" fillId="3" borderId="4" xfId="0" applyFill="1" applyBorder="1"/>
    <xf numFmtId="0" fontId="0" fillId="0" borderId="4" xfId="0" applyBorder="1"/>
    <xf numFmtId="0" fontId="0" fillId="4" borderId="4" xfId="0" applyFill="1" applyBorder="1"/>
    <xf numFmtId="0" fontId="0" fillId="0" borderId="0" xfId="0" applyAlignment="1">
      <alignment wrapText="1"/>
    </xf>
    <xf numFmtId="0" fontId="0" fillId="0" borderId="0" xfId="0" applyNumberFormat="1"/>
    <xf numFmtId="0" fontId="0" fillId="0" borderId="5" xfId="0" applyFill="1" applyBorder="1"/>
    <xf numFmtId="0" fontId="2" fillId="0" borderId="6" xfId="0" applyFon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0" borderId="7" xfId="0" applyFill="1" applyBorder="1"/>
    <xf numFmtId="0" fontId="0" fillId="0" borderId="6" xfId="0" applyBorder="1"/>
    <xf numFmtId="0" fontId="2" fillId="0" borderId="6" xfId="0" applyFont="1" applyBorder="1"/>
    <xf numFmtId="0" fontId="0" fillId="0" borderId="8" xfId="0" applyBorder="1"/>
    <xf numFmtId="0" fontId="0" fillId="0" borderId="9" xfId="0" applyBorder="1"/>
    <xf numFmtId="10" fontId="0" fillId="0" borderId="9" xfId="0" applyNumberFormat="1" applyBorder="1"/>
    <xf numFmtId="10" fontId="0" fillId="0" borderId="10" xfId="0" applyNumberFormat="1" applyBorder="1"/>
    <xf numFmtId="0" fontId="0" fillId="0" borderId="5" xfId="0" applyBorder="1"/>
    <xf numFmtId="0" fontId="0" fillId="0" borderId="11" xfId="0" applyBorder="1"/>
    <xf numFmtId="0" fontId="0" fillId="0" borderId="9" xfId="0" applyBorder="1" applyAlignment="1">
      <alignment wrapText="1"/>
    </xf>
    <xf numFmtId="0" fontId="0" fillId="0" borderId="12" xfId="0" applyBorder="1"/>
    <xf numFmtId="10" fontId="0" fillId="3" borderId="0" xfId="0" applyNumberFormat="1" applyFill="1"/>
    <xf numFmtId="16" fontId="0" fillId="0" borderId="0" xfId="0" applyNumberFormat="1"/>
    <xf numFmtId="0" fontId="0" fillId="5" borderId="3" xfId="0" applyFill="1" applyBorder="1"/>
    <xf numFmtId="0" fontId="0" fillId="5" borderId="8" xfId="0" applyFill="1" applyBorder="1"/>
    <xf numFmtId="0" fontId="0" fillId="5" borderId="0" xfId="0" applyFill="1"/>
    <xf numFmtId="0" fontId="0" fillId="5" borderId="5" xfId="0" applyFill="1" applyBorder="1"/>
  </cellXfs>
  <cellStyles count="2">
    <cellStyle name="Normal" xfId="0" builtinId="0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abSelected="1" workbookViewId="0">
      <pane ySplit="1" topLeftCell="A6" activePane="bottomLeft" state="frozen"/>
      <selection activeCell="G1" sqref="G1"/>
      <selection pane="bottomLeft" activeCell="A35" sqref="A35"/>
    </sheetView>
  </sheetViews>
  <sheetFormatPr defaultRowHeight="15" x14ac:dyDescent="0.25"/>
  <cols>
    <col min="1" max="1" width="8.140625" customWidth="1"/>
    <col min="2" max="2" width="14.42578125" customWidth="1"/>
    <col min="4" max="4" width="14.28515625" customWidth="1"/>
    <col min="6" max="6" width="5.5703125" bestFit="1" customWidth="1"/>
    <col min="7" max="7" width="8.42578125" bestFit="1" customWidth="1"/>
    <col min="8" max="8" width="13.5703125" customWidth="1"/>
    <col min="9" max="9" width="13.42578125" bestFit="1" customWidth="1"/>
    <col min="10" max="10" width="12" bestFit="1" customWidth="1"/>
    <col min="11" max="11" width="13.42578125" bestFit="1" customWidth="1"/>
    <col min="12" max="12" width="11" customWidth="1"/>
    <col min="13" max="13" width="13.42578125" bestFit="1" customWidth="1"/>
    <col min="14" max="14" width="12" bestFit="1" customWidth="1"/>
    <col min="15" max="15" width="13.42578125" bestFit="1" customWidth="1"/>
    <col min="17" max="17" width="13.42578125" bestFit="1" customWidth="1"/>
    <col min="18" max="18" width="12" bestFit="1" customWidth="1"/>
    <col min="19" max="19" width="13.42578125" bestFit="1" customWidth="1"/>
    <col min="20" max="20" width="12" bestFit="1" customWidth="1"/>
    <col min="26" max="26" width="12" bestFit="1" customWidth="1"/>
  </cols>
  <sheetData>
    <row r="1" spans="1:28" x14ac:dyDescent="0.25">
      <c r="H1" s="32"/>
      <c r="J1" s="5">
        <v>97</v>
      </c>
      <c r="K1" s="5"/>
      <c r="L1" s="5">
        <v>98</v>
      </c>
      <c r="M1" s="5"/>
      <c r="N1" s="5">
        <v>100</v>
      </c>
      <c r="O1" s="5"/>
      <c r="P1" s="36"/>
      <c r="Q1" s="5" t="s">
        <v>40</v>
      </c>
      <c r="R1" s="5"/>
      <c r="S1" s="5"/>
      <c r="T1" s="5" t="s">
        <v>40</v>
      </c>
      <c r="U1" s="5"/>
      <c r="V1" s="5"/>
      <c r="W1" s="5" t="s">
        <v>40</v>
      </c>
      <c r="X1" s="5"/>
    </row>
    <row r="2" spans="1:28" x14ac:dyDescent="0.25">
      <c r="C2" t="s">
        <v>38</v>
      </c>
      <c r="E2">
        <v>40</v>
      </c>
      <c r="F2" t="s">
        <v>39</v>
      </c>
      <c r="H2" s="32" t="s">
        <v>55</v>
      </c>
      <c r="I2" s="5" t="s">
        <v>34</v>
      </c>
      <c r="J2" s="14">
        <f>AVERAGE(J6,J35,J37)</f>
        <v>2.6278100824128365E-5</v>
      </c>
      <c r="K2" s="5" t="s">
        <v>34</v>
      </c>
      <c r="L2" s="14">
        <f t="shared" ref="L2:N2" si="0">AVERAGE(L6,L35,L37)</f>
        <v>2.5076979419218933E-5</v>
      </c>
      <c r="M2" s="5" t="s">
        <v>34</v>
      </c>
      <c r="N2" s="14">
        <f t="shared" si="0"/>
        <v>2.3519359239539503E-5</v>
      </c>
      <c r="O2" s="5"/>
      <c r="P2" s="36"/>
    </row>
    <row r="3" spans="1:28" x14ac:dyDescent="0.25">
      <c r="C3" t="s">
        <v>37</v>
      </c>
      <c r="E3">
        <v>2.0000000000000001E-4</v>
      </c>
      <c r="F3" t="s">
        <v>35</v>
      </c>
      <c r="H3" s="32"/>
      <c r="I3" s="8" t="s">
        <v>33</v>
      </c>
      <c r="J3" s="14">
        <f>$B$39*((K6^2+K35^2+K37^2)^0.5)+$B$38*_xlfn.STDEV.S(J35,J6,J37)</f>
        <v>5.2449983140948245E-7</v>
      </c>
      <c r="K3" s="8" t="s">
        <v>33</v>
      </c>
      <c r="L3" s="14">
        <f>$B$39*((M6^2+M35^2+M37^2)^0.5)+$B$38*_xlfn.STDEV.S(L35,L6,L37)</f>
        <v>4.7873341497866361E-7</v>
      </c>
      <c r="M3" s="8" t="s">
        <v>33</v>
      </c>
      <c r="N3" s="14">
        <f>$B$39*((O6^2+O35^2+O37^2)^0.5)+$B$38*_xlfn.STDEV.S(N35,N6,N37)</f>
        <v>5.1645057595532623E-7</v>
      </c>
      <c r="O3" s="8"/>
      <c r="P3" s="36"/>
      <c r="Q3" s="5"/>
      <c r="R3" s="5"/>
      <c r="S3" s="5"/>
      <c r="T3" s="5"/>
      <c r="U3" s="5"/>
      <c r="V3" s="5"/>
      <c r="W3" s="5"/>
      <c r="X3" s="5"/>
    </row>
    <row r="4" spans="1:28" x14ac:dyDescent="0.25">
      <c r="H4" s="32" t="s">
        <v>56</v>
      </c>
      <c r="I4" s="5" t="s">
        <v>34</v>
      </c>
      <c r="J4" s="14"/>
      <c r="K4" s="5" t="s">
        <v>34</v>
      </c>
      <c r="L4" s="14">
        <f>L36</f>
        <v>2.5948939717754599E-5</v>
      </c>
      <c r="M4" s="5" t="s">
        <v>34</v>
      </c>
      <c r="N4" s="14">
        <f>N36</f>
        <v>2.4028521220230799E-5</v>
      </c>
      <c r="O4" s="5"/>
      <c r="P4" s="36"/>
      <c r="Q4" s="5"/>
      <c r="R4" s="5"/>
      <c r="S4" s="22" t="s">
        <v>43</v>
      </c>
      <c r="T4" s="5"/>
      <c r="U4" s="5"/>
      <c r="V4" s="5"/>
      <c r="W4" s="5"/>
      <c r="X4" s="5"/>
    </row>
    <row r="5" spans="1:28" ht="60.75" thickBot="1" x14ac:dyDescent="0.3">
      <c r="A5" s="41" t="s">
        <v>76</v>
      </c>
      <c r="B5" s="1" t="s">
        <v>0</v>
      </c>
      <c r="C5" s="2" t="s">
        <v>1</v>
      </c>
      <c r="D5" s="2" t="s">
        <v>2</v>
      </c>
      <c r="E5" s="2" t="s">
        <v>3</v>
      </c>
      <c r="F5" s="8" t="s">
        <v>33</v>
      </c>
      <c r="G5" s="8" t="s">
        <v>36</v>
      </c>
      <c r="H5" s="43"/>
      <c r="I5" s="44" t="s">
        <v>33</v>
      </c>
      <c r="J5" s="45" t="s">
        <v>64</v>
      </c>
      <c r="K5" s="44" t="s">
        <v>33</v>
      </c>
      <c r="L5" s="45">
        <f>M36</f>
        <v>3.60720755713444E-7</v>
      </c>
      <c r="M5" s="44" t="s">
        <v>33</v>
      </c>
      <c r="N5" s="45">
        <f>O36</f>
        <v>2.00017516029103E-7</v>
      </c>
      <c r="O5" s="44" t="s">
        <v>33</v>
      </c>
      <c r="P5" s="46"/>
      <c r="Q5" s="47" t="s">
        <v>47</v>
      </c>
      <c r="R5" s="48" t="s">
        <v>33</v>
      </c>
      <c r="S5" s="48" t="s">
        <v>36</v>
      </c>
      <c r="T5" s="47" t="s">
        <v>48</v>
      </c>
      <c r="U5" s="48" t="s">
        <v>33</v>
      </c>
      <c r="V5" s="48" t="s">
        <v>36</v>
      </c>
      <c r="W5" s="48" t="s">
        <v>49</v>
      </c>
      <c r="X5" s="48" t="s">
        <v>33</v>
      </c>
      <c r="Y5" s="48" t="s">
        <v>36</v>
      </c>
      <c r="Z5" s="7"/>
      <c r="AA5" s="7"/>
      <c r="AB5" s="7"/>
    </row>
    <row r="6" spans="1:28" s="26" customFormat="1" ht="30.75" thickTop="1" x14ac:dyDescent="0.25">
      <c r="B6" s="27"/>
      <c r="C6" s="28"/>
      <c r="D6" s="28"/>
      <c r="E6" s="28"/>
      <c r="F6" s="29"/>
      <c r="G6" s="29"/>
      <c r="H6" s="33" t="s">
        <v>55</v>
      </c>
      <c r="I6" s="25" t="s">
        <v>63</v>
      </c>
      <c r="J6" s="30">
        <v>2.9153776859578101E-5</v>
      </c>
      <c r="K6" s="29">
        <v>2.4442977038753201E-7</v>
      </c>
      <c r="L6" s="30">
        <v>2.75485635608373E-5</v>
      </c>
      <c r="M6" s="29">
        <v>2.0190240766911399E-7</v>
      </c>
      <c r="N6" s="30">
        <v>2.6422243967995802E-5</v>
      </c>
      <c r="O6" s="29">
        <v>2.1614437912049899E-7</v>
      </c>
      <c r="P6" s="38"/>
      <c r="R6" s="31"/>
      <c r="S6" s="31"/>
      <c r="U6" s="31"/>
      <c r="V6" s="31"/>
      <c r="W6" s="31"/>
      <c r="X6" s="31"/>
      <c r="Y6" s="31"/>
      <c r="Z6" s="31"/>
      <c r="AA6" s="31"/>
      <c r="AB6" s="31"/>
    </row>
    <row r="7" spans="1:28" x14ac:dyDescent="0.25">
      <c r="A7">
        <v>1</v>
      </c>
      <c r="B7" s="6" t="s">
        <v>4</v>
      </c>
      <c r="C7" s="3">
        <v>1.34E-2</v>
      </c>
      <c r="D7" s="3">
        <v>5.0464000000000002</v>
      </c>
      <c r="E7" s="3">
        <v>376.597014925373</v>
      </c>
      <c r="F7" s="10">
        <f>(((1/C7)^2)*($E$3^2)+((D7/(C7^2))^2)*($E$3^2))^0.5</f>
        <v>5.6208707851070203</v>
      </c>
      <c r="G7" s="11">
        <f>F7/E7</f>
        <v>1.4925425753098069E-2</v>
      </c>
      <c r="H7" s="32"/>
      <c r="I7" t="s">
        <v>4</v>
      </c>
      <c r="J7">
        <v>4377.5600000000004</v>
      </c>
      <c r="K7">
        <f>(J7/$E$2)^0.5</f>
        <v>10.46130966944388</v>
      </c>
      <c r="L7">
        <v>6481.68</v>
      </c>
      <c r="M7">
        <f>(L7/$E$2)^0.5</f>
        <v>12.729571870255496</v>
      </c>
      <c r="N7">
        <v>6092.7</v>
      </c>
      <c r="O7" s="9">
        <f>(N7/$E$2)^0.5</f>
        <v>12.341697614185822</v>
      </c>
      <c r="P7" s="37"/>
      <c r="Q7">
        <f t="shared" ref="Q7:Q34" si="1">$J$2*J7*E7</f>
        <v>43.321447097282316</v>
      </c>
      <c r="R7">
        <f t="shared" ref="R7:R34" si="2">((J7*E7*$J$3)^2+($J$2*E7*K7)^2+($J$2*J7*F7)^2)^0.5</f>
        <v>1.0846500633785485</v>
      </c>
      <c r="S7" s="12">
        <f>R7/Q7</f>
        <v>2.5037253740459467E-2</v>
      </c>
      <c r="T7">
        <f t="shared" ref="T7:T34" si="3">$L$2*L7*E7</f>
        <v>61.212438818391774</v>
      </c>
      <c r="U7">
        <f t="shared" ref="U7:U34" si="4">((L7*E7*$L$3)^2+($L$2*E7*M7)^2+($L$2*L7*F7)^2)^0.5</f>
        <v>1.4881983788112352</v>
      </c>
      <c r="V7" s="12">
        <f>U7/T7</f>
        <v>2.4312025587258482E-2</v>
      </c>
      <c r="W7">
        <f t="shared" ref="W7:W34" si="5">$N$2*N7*E7</f>
        <v>53.964996504142469</v>
      </c>
      <c r="X7">
        <f t="shared" ref="X7:X34" si="6">((N7*E7*$N$3)^2+($N$2*E7*O7)^2+($N$2*N7*F7)^2)^0.5</f>
        <v>1.4369782033707361</v>
      </c>
      <c r="Y7" s="12">
        <f>X7/W7</f>
        <v>2.6627968061860813E-2</v>
      </c>
      <c r="AB7" s="12"/>
    </row>
    <row r="8" spans="1:28" x14ac:dyDescent="0.25">
      <c r="A8">
        <v>1</v>
      </c>
      <c r="B8" s="6" t="s">
        <v>5</v>
      </c>
      <c r="C8" s="3">
        <v>3.9E-2</v>
      </c>
      <c r="D8" s="3">
        <v>4.9492000000000003</v>
      </c>
      <c r="E8" s="3">
        <v>126.90256410256411</v>
      </c>
      <c r="F8" s="10">
        <f t="shared" ref="F8:F12" si="7">(((1/C8)^2)*($E$3^2)+((D8/(C8^2))^2)*($E$3^2))^0.5</f>
        <v>0.65080258498519816</v>
      </c>
      <c r="G8" s="11">
        <f t="shared" ref="G8:G12" si="8">F8/E8</f>
        <v>5.1283643446259448E-3</v>
      </c>
      <c r="H8" s="32"/>
      <c r="I8" t="s">
        <v>5</v>
      </c>
      <c r="J8">
        <v>885.59999999999991</v>
      </c>
      <c r="K8">
        <f t="shared" ref="K8:K12" si="9">(J8/$E$2)^0.5</f>
        <v>4.7053161424074359</v>
      </c>
      <c r="L8">
        <v>2324.1999999999998</v>
      </c>
      <c r="M8">
        <f t="shared" ref="M8:M12" si="10">(L8/$E$2)^0.5</f>
        <v>7.6226635764672181</v>
      </c>
      <c r="N8">
        <v>1122.4399999999998</v>
      </c>
      <c r="O8" s="9">
        <f t="shared" ref="O8:O12" si="11">(N8/$E$2)^0.5</f>
        <v>5.2972634444588458</v>
      </c>
      <c r="P8" s="39"/>
      <c r="Q8">
        <f t="shared" si="1"/>
        <v>2.953262016304516</v>
      </c>
      <c r="R8">
        <f t="shared" si="2"/>
        <v>6.285068686216233E-2</v>
      </c>
      <c r="S8" s="12">
        <f t="shared" ref="S8:S34" si="12">R8/Q8</f>
        <v>2.1281784858631955E-2</v>
      </c>
      <c r="T8">
        <f t="shared" si="3"/>
        <v>7.3963783312816123</v>
      </c>
      <c r="U8">
        <f t="shared" si="4"/>
        <v>0.14820573060140452</v>
      </c>
      <c r="V8" s="12">
        <f t="shared" ref="V8:V12" si="13">U8/T8</f>
        <v>2.0037608132428251E-2</v>
      </c>
      <c r="W8">
        <f t="shared" si="5"/>
        <v>3.3501096202367764</v>
      </c>
      <c r="X8">
        <f t="shared" si="6"/>
        <v>7.717987344553176E-2</v>
      </c>
      <c r="Y8" s="12">
        <f t="shared" ref="Y8:Y34" si="14">X8/W8</f>
        <v>2.3038014332222627E-2</v>
      </c>
      <c r="AB8" s="12"/>
    </row>
    <row r="9" spans="1:28" x14ac:dyDescent="0.25">
      <c r="A9">
        <v>1</v>
      </c>
      <c r="B9" s="6" t="s">
        <v>6</v>
      </c>
      <c r="C9" s="3">
        <v>5.0299999999999997E-2</v>
      </c>
      <c r="D9" s="3">
        <v>4.9884000000000004</v>
      </c>
      <c r="E9" s="3">
        <v>99.172962226640166</v>
      </c>
      <c r="F9" s="10">
        <f t="shared" si="7"/>
        <v>0.39434593954365693</v>
      </c>
      <c r="G9" s="11">
        <f t="shared" si="8"/>
        <v>3.9763452728421821E-3</v>
      </c>
      <c r="H9" s="32"/>
      <c r="I9" t="s">
        <v>6</v>
      </c>
      <c r="J9">
        <v>1080.8399999999999</v>
      </c>
      <c r="K9">
        <f t="shared" si="9"/>
        <v>5.1981727558825899</v>
      </c>
      <c r="L9">
        <v>2751.5</v>
      </c>
      <c r="M9">
        <f t="shared" si="10"/>
        <v>8.2938230026930277</v>
      </c>
      <c r="N9">
        <v>1265.7</v>
      </c>
      <c r="O9" s="9">
        <f t="shared" si="11"/>
        <v>5.6251666641976046</v>
      </c>
      <c r="P9" s="39"/>
      <c r="Q9">
        <f t="shared" si="1"/>
        <v>2.8167523732170059</v>
      </c>
      <c r="R9">
        <f t="shared" si="2"/>
        <v>5.8904904365983619E-2</v>
      </c>
      <c r="S9" s="12">
        <f t="shared" si="12"/>
        <v>2.0912347470114483E-2</v>
      </c>
      <c r="T9">
        <f t="shared" si="3"/>
        <v>6.8428658524252395</v>
      </c>
      <c r="U9">
        <f t="shared" si="4"/>
        <v>0.13502250659849629</v>
      </c>
      <c r="V9" s="12">
        <f t="shared" si="13"/>
        <v>1.9731865202449028E-2</v>
      </c>
      <c r="W9">
        <f t="shared" si="5"/>
        <v>2.9522256638717246</v>
      </c>
      <c r="X9">
        <f t="shared" si="6"/>
        <v>6.7174670272384412E-2</v>
      </c>
      <c r="Y9" s="12">
        <f t="shared" si="14"/>
        <v>2.2753907702396825E-2</v>
      </c>
      <c r="AB9" s="12"/>
    </row>
    <row r="10" spans="1:28" x14ac:dyDescent="0.25">
      <c r="A10">
        <v>1</v>
      </c>
      <c r="B10" s="6" t="s">
        <v>7</v>
      </c>
      <c r="C10" s="3">
        <v>3.6399999999999995E-2</v>
      </c>
      <c r="D10" s="3">
        <v>4.9635000000000007</v>
      </c>
      <c r="E10" s="3">
        <v>136.35989010989016</v>
      </c>
      <c r="F10" s="10">
        <f t="shared" si="7"/>
        <v>0.74925031224172078</v>
      </c>
      <c r="G10" s="11">
        <f t="shared" si="8"/>
        <v>5.4946532417847541E-3</v>
      </c>
      <c r="H10" s="32"/>
      <c r="I10" t="s">
        <v>7</v>
      </c>
      <c r="J10">
        <v>915.19999999999993</v>
      </c>
      <c r="K10">
        <f t="shared" si="9"/>
        <v>4.7833042972405595</v>
      </c>
      <c r="L10">
        <v>2176.1999999999998</v>
      </c>
      <c r="M10">
        <f t="shared" si="10"/>
        <v>7.3759745118865476</v>
      </c>
      <c r="N10">
        <v>989.59999999999991</v>
      </c>
      <c r="O10" s="9">
        <f t="shared" si="11"/>
        <v>4.9739320461783549</v>
      </c>
      <c r="P10" s="39"/>
      <c r="Q10">
        <f t="shared" si="1"/>
        <v>3.2794168865055382</v>
      </c>
      <c r="R10">
        <f t="shared" si="2"/>
        <v>7.0020922172399885E-2</v>
      </c>
      <c r="S10" s="12">
        <f t="shared" si="12"/>
        <v>2.1351637987999862E-2</v>
      </c>
      <c r="T10">
        <f t="shared" si="3"/>
        <v>7.4415031864060301</v>
      </c>
      <c r="U10">
        <f t="shared" si="4"/>
        <v>0.14996583498531774</v>
      </c>
      <c r="V10" s="12">
        <f t="shared" si="13"/>
        <v>2.0152626590185695E-2</v>
      </c>
      <c r="W10">
        <f t="shared" si="5"/>
        <v>3.1737434300485061</v>
      </c>
      <c r="X10">
        <f t="shared" si="6"/>
        <v>7.3589182097446498E-2</v>
      </c>
      <c r="Y10" s="12">
        <f t="shared" si="14"/>
        <v>2.3186871818533166E-2</v>
      </c>
      <c r="AB10" s="12"/>
    </row>
    <row r="11" spans="1:28" x14ac:dyDescent="0.25">
      <c r="A11">
        <v>1</v>
      </c>
      <c r="B11" s="6" t="s">
        <v>8</v>
      </c>
      <c r="C11" s="3">
        <v>2.8899999999999999E-2</v>
      </c>
      <c r="D11" s="3">
        <v>4.9984000000000002</v>
      </c>
      <c r="E11" s="3">
        <v>172.95501730103808</v>
      </c>
      <c r="F11" s="10">
        <f t="shared" si="7"/>
        <v>1.1969405411901297</v>
      </c>
      <c r="G11" s="11">
        <f t="shared" si="8"/>
        <v>6.9205308979662979E-3</v>
      </c>
      <c r="H11" s="32"/>
      <c r="I11" t="s">
        <v>8</v>
      </c>
      <c r="J11">
        <v>10719.82</v>
      </c>
      <c r="K11">
        <f t="shared" si="9"/>
        <v>16.37056810254305</v>
      </c>
      <c r="L11">
        <v>15295.800000000001</v>
      </c>
      <c r="M11">
        <f t="shared" si="10"/>
        <v>19.554922653899709</v>
      </c>
      <c r="N11">
        <v>14494.840000000002</v>
      </c>
      <c r="O11" s="9">
        <f t="shared" si="11"/>
        <v>19.036044757249339</v>
      </c>
      <c r="P11" s="39"/>
      <c r="Q11">
        <f t="shared" si="1"/>
        <v>48.720824894992951</v>
      </c>
      <c r="R11">
        <f t="shared" si="2"/>
        <v>1.0319280886202524</v>
      </c>
      <c r="S11" s="12">
        <f t="shared" si="12"/>
        <v>2.1180431383178489E-2</v>
      </c>
      <c r="T11">
        <f t="shared" si="3"/>
        <v>66.340781766905337</v>
      </c>
      <c r="U11">
        <f t="shared" si="4"/>
        <v>1.3497983972540786</v>
      </c>
      <c r="V11" s="12">
        <f t="shared" si="13"/>
        <v>2.0346434897266119E-2</v>
      </c>
      <c r="W11">
        <f t="shared" si="5"/>
        <v>58.961982368155944</v>
      </c>
      <c r="X11">
        <f t="shared" si="6"/>
        <v>1.3597041945674655</v>
      </c>
      <c r="Y11" s="12">
        <f t="shared" si="14"/>
        <v>2.3060693347749642E-2</v>
      </c>
      <c r="AB11" s="12"/>
    </row>
    <row r="12" spans="1:28" x14ac:dyDescent="0.25">
      <c r="A12">
        <v>1</v>
      </c>
      <c r="B12" s="6" t="s">
        <v>9</v>
      </c>
      <c r="C12" s="3">
        <v>4.4299999999999999E-2</v>
      </c>
      <c r="D12" s="3">
        <v>4.9031000000000002</v>
      </c>
      <c r="E12" s="3">
        <v>110.67945823927766</v>
      </c>
      <c r="F12" s="10">
        <f t="shared" si="7"/>
        <v>0.499701921883555</v>
      </c>
      <c r="G12" s="11">
        <f t="shared" si="8"/>
        <v>4.5148569556895607E-3</v>
      </c>
      <c r="H12" s="32"/>
      <c r="I12" t="s">
        <v>9</v>
      </c>
      <c r="J12">
        <v>11373.98</v>
      </c>
      <c r="K12">
        <f t="shared" si="9"/>
        <v>16.86266586278694</v>
      </c>
      <c r="L12">
        <v>17061.3</v>
      </c>
      <c r="M12">
        <f t="shared" si="10"/>
        <v>20.652663266513596</v>
      </c>
      <c r="N12">
        <v>15941.379999999997</v>
      </c>
      <c r="O12" s="9">
        <f t="shared" si="11"/>
        <v>19.963328880725278</v>
      </c>
      <c r="P12" s="39"/>
      <c r="Q12">
        <f t="shared" si="1"/>
        <v>33.080606211645417</v>
      </c>
      <c r="R12">
        <f t="shared" si="2"/>
        <v>0.6787304699831751</v>
      </c>
      <c r="S12" s="12">
        <f t="shared" si="12"/>
        <v>2.0517473762141657E-2</v>
      </c>
      <c r="T12">
        <f t="shared" si="3"/>
        <v>47.353748986972455</v>
      </c>
      <c r="U12">
        <f t="shared" si="4"/>
        <v>0.93071317180835622</v>
      </c>
      <c r="V12" s="12">
        <f t="shared" si="13"/>
        <v>1.9654477031256931E-2</v>
      </c>
      <c r="W12">
        <f t="shared" si="5"/>
        <v>41.497164715664368</v>
      </c>
      <c r="X12">
        <f t="shared" si="6"/>
        <v>0.9317284910225464</v>
      </c>
      <c r="Y12" s="12">
        <f t="shared" si="14"/>
        <v>2.24528229195099E-2</v>
      </c>
      <c r="AB12" s="12"/>
    </row>
    <row r="13" spans="1:28" x14ac:dyDescent="0.25">
      <c r="A13">
        <v>1</v>
      </c>
      <c r="B13" s="6" t="s">
        <v>19</v>
      </c>
      <c r="C13" s="3">
        <v>9.3700000000000006E-2</v>
      </c>
      <c r="D13" s="3">
        <v>5.0049000000000001</v>
      </c>
      <c r="E13" s="3">
        <v>53.414087513340448</v>
      </c>
      <c r="F13" s="10">
        <f t="shared" ref="F13:F18" si="15">(((1/C13)^2)*($E$3^2)+((D13/(C13^2))^2)*($E$3^2))^0.5</f>
        <v>0.11403083782205169</v>
      </c>
      <c r="G13" s="11">
        <f t="shared" ref="G13:G18" si="16">F13/E13</f>
        <v>2.1348457519483393E-3</v>
      </c>
      <c r="H13" s="34"/>
      <c r="I13" t="s">
        <v>19</v>
      </c>
      <c r="J13">
        <v>408</v>
      </c>
      <c r="K13">
        <f>(J13/$E$2)^0.5</f>
        <v>3.1937438845342623</v>
      </c>
      <c r="L13">
        <v>988.82</v>
      </c>
      <c r="M13">
        <f>(L13/$E$2)^0.5</f>
        <v>4.971971439982334</v>
      </c>
      <c r="N13">
        <v>506.4</v>
      </c>
      <c r="O13">
        <f>(N13/$E$2)^0.5</f>
        <v>3.5580893749314391</v>
      </c>
      <c r="P13" s="39"/>
      <c r="Q13">
        <f t="shared" si="1"/>
        <v>0.57267727705858551</v>
      </c>
      <c r="R13">
        <f t="shared" si="2"/>
        <v>1.2338728617442998E-2</v>
      </c>
      <c r="S13" s="12">
        <f t="shared" si="12"/>
        <v>2.1545692681954852E-2</v>
      </c>
      <c r="T13">
        <f t="shared" si="3"/>
        <v>1.3244887660472568</v>
      </c>
      <c r="U13">
        <f t="shared" si="4"/>
        <v>2.6300006802434665E-2</v>
      </c>
      <c r="V13" s="12">
        <f t="shared" ref="V13:V34" si="17">U13/T13</f>
        <v>1.9856723195111114E-2</v>
      </c>
      <c r="W13">
        <f t="shared" si="5"/>
        <v>0.63617265306036974</v>
      </c>
      <c r="X13">
        <f t="shared" si="6"/>
        <v>1.4729873151918314E-2</v>
      </c>
      <c r="Y13" s="12">
        <f t="shared" si="14"/>
        <v>2.3153892392354249E-2</v>
      </c>
      <c r="AB13" s="12"/>
    </row>
    <row r="14" spans="1:28" x14ac:dyDescent="0.25">
      <c r="A14">
        <v>1</v>
      </c>
      <c r="B14" s="6" t="s">
        <v>20</v>
      </c>
      <c r="C14" s="3">
        <v>2.87E-2</v>
      </c>
      <c r="D14" s="3">
        <v>4.9332000000000003</v>
      </c>
      <c r="E14" s="3">
        <v>171.88850174216029</v>
      </c>
      <c r="F14" s="10">
        <f t="shared" si="15"/>
        <v>1.1978495510797849</v>
      </c>
      <c r="G14" s="11">
        <f t="shared" si="16"/>
        <v>6.968759044026154E-3</v>
      </c>
      <c r="H14" s="34"/>
      <c r="I14" t="s">
        <v>20</v>
      </c>
      <c r="J14">
        <v>1034.4399999999998</v>
      </c>
      <c r="K14">
        <f t="shared" ref="K14:K34" si="18">(J14/$E$2)^0.5</f>
        <v>5.0853711762269622</v>
      </c>
      <c r="L14">
        <v>2590.6800000000003</v>
      </c>
      <c r="M14">
        <f t="shared" ref="M14:M34" si="19">(L14/$E$2)^0.5</f>
        <v>8.0477947289925336</v>
      </c>
      <c r="N14">
        <v>1200.08</v>
      </c>
      <c r="O14">
        <f t="shared" ref="O14:O34" si="20">(N14/$E$2)^0.5</f>
        <v>5.4774081461946942</v>
      </c>
      <c r="P14" s="39"/>
      <c r="Q14">
        <f t="shared" si="1"/>
        <v>4.6724655316715591</v>
      </c>
      <c r="R14">
        <f t="shared" si="2"/>
        <v>0.10141683740495062</v>
      </c>
      <c r="S14" s="12">
        <f t="shared" si="12"/>
        <v>2.1705208249801489E-2</v>
      </c>
      <c r="T14">
        <f t="shared" si="3"/>
        <v>11.166982151530297</v>
      </c>
      <c r="U14">
        <f t="shared" si="4"/>
        <v>0.22957935906372406</v>
      </c>
      <c r="V14" s="12">
        <f t="shared" si="17"/>
        <v>2.0558764753847398E-2</v>
      </c>
      <c r="W14">
        <f t="shared" si="5"/>
        <v>4.8515723225378249</v>
      </c>
      <c r="X14">
        <f t="shared" si="6"/>
        <v>0.11394200615181228</v>
      </c>
      <c r="Y14" s="12">
        <f t="shared" si="14"/>
        <v>2.3485583348412289E-2</v>
      </c>
      <c r="AB14" s="12"/>
    </row>
    <row r="15" spans="1:28" x14ac:dyDescent="0.25">
      <c r="A15">
        <v>1</v>
      </c>
      <c r="B15" s="6" t="s">
        <v>21</v>
      </c>
      <c r="C15" s="3">
        <v>4.0600000000000004E-2</v>
      </c>
      <c r="D15" s="3">
        <v>5.0502000000000002</v>
      </c>
      <c r="E15" s="3">
        <v>124.38916256157634</v>
      </c>
      <c r="F15" s="10">
        <f t="shared" si="15"/>
        <v>0.61277429625328761</v>
      </c>
      <c r="G15" s="11">
        <f t="shared" si="16"/>
        <v>4.9262675592815098E-3</v>
      </c>
      <c r="H15" s="32"/>
      <c r="I15" t="s">
        <v>21</v>
      </c>
      <c r="J15">
        <v>1143.2799999999997</v>
      </c>
      <c r="K15">
        <f t="shared" si="18"/>
        <v>5.3462136133903213</v>
      </c>
      <c r="L15">
        <v>2806.7200000000003</v>
      </c>
      <c r="M15">
        <f t="shared" si="19"/>
        <v>8.3766341689248911</v>
      </c>
      <c r="N15">
        <v>1284.0999999999999</v>
      </c>
      <c r="O15">
        <f t="shared" si="20"/>
        <v>5.6659068117998554</v>
      </c>
      <c r="P15" s="39"/>
      <c r="Q15">
        <f t="shared" si="1"/>
        <v>3.7370518608862029</v>
      </c>
      <c r="R15">
        <f t="shared" si="2"/>
        <v>7.8790651010657631E-2</v>
      </c>
      <c r="S15" s="12">
        <f t="shared" si="12"/>
        <v>2.1083638639141939E-2</v>
      </c>
      <c r="T15">
        <f t="shared" si="3"/>
        <v>8.7550142407207261</v>
      </c>
      <c r="U15">
        <f t="shared" si="4"/>
        <v>0.17457958000763821</v>
      </c>
      <c r="V15" s="12">
        <f t="shared" si="17"/>
        <v>1.9940524961757976E-2</v>
      </c>
      <c r="W15">
        <f t="shared" si="5"/>
        <v>3.7567031206718688</v>
      </c>
      <c r="X15">
        <f t="shared" si="6"/>
        <v>8.6151783821073941E-2</v>
      </c>
      <c r="Y15" s="12">
        <f t="shared" si="14"/>
        <v>2.2932816635685093E-2</v>
      </c>
      <c r="AB15" s="12"/>
    </row>
    <row r="16" spans="1:28" x14ac:dyDescent="0.25">
      <c r="A16">
        <v>1</v>
      </c>
      <c r="B16" s="6" t="s">
        <v>22</v>
      </c>
      <c r="C16" s="3">
        <v>3.2599999999999997E-2</v>
      </c>
      <c r="D16" s="3">
        <v>4.9707999999999997</v>
      </c>
      <c r="E16" s="3">
        <v>152.47852760736197</v>
      </c>
      <c r="F16" s="10">
        <f t="shared" si="15"/>
        <v>0.93547120688552143</v>
      </c>
      <c r="G16" s="11">
        <f t="shared" si="16"/>
        <v>6.1351012602534798E-3</v>
      </c>
      <c r="H16" s="32"/>
      <c r="I16" t="s">
        <v>22</v>
      </c>
      <c r="J16">
        <v>1049.5999999999999</v>
      </c>
      <c r="K16">
        <f t="shared" si="18"/>
        <v>5.1224993899462792</v>
      </c>
      <c r="L16">
        <v>2828.3200000000006</v>
      </c>
      <c r="M16">
        <f t="shared" si="19"/>
        <v>8.4088049091413701</v>
      </c>
      <c r="N16">
        <v>1181.6799999999998</v>
      </c>
      <c r="O16">
        <f t="shared" si="20"/>
        <v>5.4352552837930244</v>
      </c>
      <c r="P16" s="39"/>
      <c r="Q16">
        <f t="shared" si="1"/>
        <v>4.2055856896311505</v>
      </c>
      <c r="R16">
        <f t="shared" si="2"/>
        <v>9.0184356539491126E-2</v>
      </c>
      <c r="S16" s="12">
        <f t="shared" si="12"/>
        <v>2.1443946977906119E-2</v>
      </c>
      <c r="T16">
        <f t="shared" si="3"/>
        <v>10.814649725762036</v>
      </c>
      <c r="U16">
        <f t="shared" si="4"/>
        <v>0.21922761259480589</v>
      </c>
      <c r="V16" s="12">
        <f t="shared" si="17"/>
        <v>2.0271355814009812E-2</v>
      </c>
      <c r="W16">
        <f t="shared" si="5"/>
        <v>4.2377375866027842</v>
      </c>
      <c r="X16">
        <f t="shared" si="6"/>
        <v>9.856479008781556E-2</v>
      </c>
      <c r="Y16" s="12">
        <f t="shared" si="14"/>
        <v>2.3258823387134454E-2</v>
      </c>
      <c r="AB16" s="12"/>
    </row>
    <row r="17" spans="1:28" x14ac:dyDescent="0.25">
      <c r="A17">
        <v>1</v>
      </c>
      <c r="B17" s="6" t="s">
        <v>23</v>
      </c>
      <c r="C17" s="3">
        <v>3.2399999999999998E-2</v>
      </c>
      <c r="D17" s="3">
        <v>5.0772000000000004</v>
      </c>
      <c r="E17" s="3">
        <v>156.70370370370372</v>
      </c>
      <c r="F17" s="10">
        <f t="shared" si="15"/>
        <v>0.96732650868068526</v>
      </c>
      <c r="G17" s="11">
        <f t="shared" si="16"/>
        <v>6.1729651936607184E-3</v>
      </c>
      <c r="H17" s="32"/>
      <c r="I17" t="s">
        <v>23</v>
      </c>
      <c r="J17">
        <v>1005.6</v>
      </c>
      <c r="K17">
        <f t="shared" si="18"/>
        <v>5.0139804546886699</v>
      </c>
      <c r="L17">
        <v>2601.1</v>
      </c>
      <c r="M17">
        <f t="shared" si="19"/>
        <v>8.0639630455502456</v>
      </c>
      <c r="N17">
        <v>1167.28</v>
      </c>
      <c r="O17">
        <f t="shared" si="20"/>
        <v>5.4020366529671007</v>
      </c>
      <c r="P17" s="39"/>
      <c r="Q17">
        <f t="shared" si="1"/>
        <v>4.1409358295027294</v>
      </c>
      <c r="R17">
        <f t="shared" si="2"/>
        <v>8.8943511064723577E-2</v>
      </c>
      <c r="S17" s="12">
        <f t="shared" si="12"/>
        <v>2.1479084614408162E-2</v>
      </c>
      <c r="T17">
        <f t="shared" si="3"/>
        <v>10.221427058110178</v>
      </c>
      <c r="U17">
        <f t="shared" si="4"/>
        <v>0.20751411395832187</v>
      </c>
      <c r="V17" s="12">
        <f t="shared" si="17"/>
        <v>2.0301872994697944E-2</v>
      </c>
      <c r="W17">
        <f t="shared" si="5"/>
        <v>4.3020929685330245</v>
      </c>
      <c r="X17">
        <f t="shared" si="6"/>
        <v>0.10012883536120816</v>
      </c>
      <c r="Y17" s="12">
        <f t="shared" si="14"/>
        <v>2.3274447133891485E-2</v>
      </c>
      <c r="AB17" s="12"/>
    </row>
    <row r="18" spans="1:28" x14ac:dyDescent="0.25">
      <c r="A18">
        <v>1</v>
      </c>
      <c r="B18" s="6" t="s">
        <v>24</v>
      </c>
      <c r="C18" s="3">
        <v>6.7900000000000002E-2</v>
      </c>
      <c r="D18" s="3">
        <v>4.9969000000000001</v>
      </c>
      <c r="E18" s="3">
        <v>73.592047128129607</v>
      </c>
      <c r="F18" s="10">
        <f t="shared" si="15"/>
        <v>0.21678598240630462</v>
      </c>
      <c r="G18" s="11">
        <f t="shared" si="16"/>
        <v>2.9457800246929259E-3</v>
      </c>
      <c r="H18" s="32"/>
      <c r="I18" t="s">
        <v>24</v>
      </c>
      <c r="J18">
        <v>1351.3</v>
      </c>
      <c r="K18">
        <f t="shared" si="18"/>
        <v>5.8122715008850028</v>
      </c>
      <c r="L18">
        <v>3386.0800000000004</v>
      </c>
      <c r="M18">
        <f t="shared" si="19"/>
        <v>9.2006521507988772</v>
      </c>
      <c r="N18">
        <v>1494.5</v>
      </c>
      <c r="O18">
        <f t="shared" si="20"/>
        <v>6.1124872188005428</v>
      </c>
      <c r="P18" s="39"/>
      <c r="Q18">
        <f t="shared" si="1"/>
        <v>2.6132239832920177</v>
      </c>
      <c r="R18">
        <f t="shared" si="2"/>
        <v>5.3908671254672552E-2</v>
      </c>
      <c r="S18" s="12">
        <f t="shared" si="12"/>
        <v>2.0629181271618717E-2</v>
      </c>
      <c r="T18">
        <f t="shared" si="3"/>
        <v>6.2488963640336026</v>
      </c>
      <c r="U18">
        <f t="shared" si="4"/>
        <v>0.12189513420633917</v>
      </c>
      <c r="V18" s="12">
        <f t="shared" si="17"/>
        <v>1.9506665994322402E-2</v>
      </c>
      <c r="W18">
        <f t="shared" si="5"/>
        <v>2.5867370825047149</v>
      </c>
      <c r="X18">
        <f t="shared" si="6"/>
        <v>5.8278141700977851E-2</v>
      </c>
      <c r="Y18" s="12">
        <f t="shared" si="14"/>
        <v>2.2529596105897099E-2</v>
      </c>
      <c r="AB18" s="12"/>
    </row>
    <row r="19" spans="1:28" s="19" customFormat="1" x14ac:dyDescent="0.25">
      <c r="A19" s="19">
        <v>1</v>
      </c>
      <c r="B19" s="15" t="s">
        <v>25</v>
      </c>
      <c r="C19" s="16" t="s">
        <v>26</v>
      </c>
      <c r="D19" s="15">
        <v>5.5175000000000001</v>
      </c>
      <c r="E19" s="16" t="s">
        <v>26</v>
      </c>
      <c r="F19" s="17"/>
      <c r="G19" s="18"/>
      <c r="H19" s="35"/>
      <c r="I19" s="19" t="s">
        <v>25</v>
      </c>
      <c r="J19" s="19">
        <v>290.40000000000003</v>
      </c>
      <c r="K19" s="19">
        <f t="shared" si="18"/>
        <v>2.6944387170614958</v>
      </c>
      <c r="L19" s="19">
        <v>748</v>
      </c>
      <c r="M19" s="19">
        <f t="shared" si="19"/>
        <v>4.3243496620879309</v>
      </c>
      <c r="N19" s="19">
        <v>341.6</v>
      </c>
      <c r="O19" s="19">
        <f t="shared" si="20"/>
        <v>2.9223278392404919</v>
      </c>
      <c r="P19" s="40"/>
      <c r="Q19" s="19" t="e">
        <f t="shared" si="1"/>
        <v>#VALUE!</v>
      </c>
      <c r="R19" s="19" t="e">
        <f t="shared" si="2"/>
        <v>#VALUE!</v>
      </c>
      <c r="S19" s="20" t="e">
        <f t="shared" si="12"/>
        <v>#VALUE!</v>
      </c>
      <c r="T19" s="19" t="e">
        <f t="shared" si="3"/>
        <v>#VALUE!</v>
      </c>
      <c r="U19" s="19" t="e">
        <f t="shared" si="4"/>
        <v>#VALUE!</v>
      </c>
      <c r="V19" s="20" t="e">
        <f t="shared" si="17"/>
        <v>#VALUE!</v>
      </c>
      <c r="W19" s="19" t="e">
        <f t="shared" si="5"/>
        <v>#VALUE!</v>
      </c>
      <c r="X19" s="19" t="e">
        <f t="shared" si="6"/>
        <v>#VALUE!</v>
      </c>
      <c r="Y19" s="20" t="e">
        <f t="shared" si="14"/>
        <v>#VALUE!</v>
      </c>
      <c r="AB19" s="20"/>
    </row>
    <row r="20" spans="1:28" x14ac:dyDescent="0.25">
      <c r="A20">
        <v>1</v>
      </c>
      <c r="B20" s="6" t="s">
        <v>27</v>
      </c>
      <c r="C20" s="3">
        <v>1.6500000000000001E-2</v>
      </c>
      <c r="D20" s="3">
        <v>4.8581000000000003</v>
      </c>
      <c r="E20" s="3">
        <v>294.43030303030304</v>
      </c>
      <c r="F20" s="10">
        <f>(((1/C20)^2)*($E$3^2)+((D20/(C20^2))^2)*($E$3^2))^0.5</f>
        <v>3.5688727420627053</v>
      </c>
      <c r="G20" s="11">
        <f>F20/E20</f>
        <v>1.2121282032900648E-2</v>
      </c>
      <c r="H20" s="32"/>
      <c r="I20" t="s">
        <v>27</v>
      </c>
      <c r="J20">
        <v>1107.26</v>
      </c>
      <c r="K20">
        <f t="shared" si="18"/>
        <v>5.261321126865381</v>
      </c>
      <c r="L20">
        <v>2959.56</v>
      </c>
      <c r="M20">
        <f t="shared" si="19"/>
        <v>8.6016858812676951</v>
      </c>
      <c r="N20">
        <v>1282.5</v>
      </c>
      <c r="O20">
        <f t="shared" si="20"/>
        <v>5.6623758264530624</v>
      </c>
      <c r="P20" s="39"/>
      <c r="Q20">
        <f t="shared" si="1"/>
        <v>8.5669472298898945</v>
      </c>
      <c r="R20">
        <f t="shared" si="2"/>
        <v>0.20415388121209344</v>
      </c>
      <c r="S20" s="12">
        <f t="shared" si="12"/>
        <v>2.3830411899796108E-2</v>
      </c>
      <c r="T20">
        <f t="shared" si="3"/>
        <v>21.851682336510724</v>
      </c>
      <c r="U20">
        <f t="shared" si="4"/>
        <v>0.49820968804735083</v>
      </c>
      <c r="V20" s="12">
        <f t="shared" si="17"/>
        <v>2.2799603269672321E-2</v>
      </c>
      <c r="W20">
        <f t="shared" si="5"/>
        <v>8.881071477179443</v>
      </c>
      <c r="X20">
        <f t="shared" si="6"/>
        <v>0.22617906748479752</v>
      </c>
      <c r="Y20" s="12">
        <f t="shared" si="14"/>
        <v>2.5467542747063913E-2</v>
      </c>
      <c r="AB20" s="12"/>
    </row>
    <row r="21" spans="1:28" x14ac:dyDescent="0.25">
      <c r="A21">
        <v>1</v>
      </c>
      <c r="B21" s="6" t="s">
        <v>28</v>
      </c>
      <c r="C21" s="3">
        <v>4.0399999999999998E-2</v>
      </c>
      <c r="D21" s="3">
        <v>4.9471999999999996</v>
      </c>
      <c r="E21" s="3">
        <v>122.45544554455445</v>
      </c>
      <c r="F21" s="10">
        <f>(((1/C21)^2)*($E$3^2)+((D21/(C21^2))^2)*($E$3^2))^0.5</f>
        <v>0.6062352900703305</v>
      </c>
      <c r="G21" s="11">
        <f>F21/E21</f>
        <v>4.9506601145782167E-3</v>
      </c>
      <c r="H21" s="32"/>
      <c r="I21" t="s">
        <v>28</v>
      </c>
      <c r="J21">
        <v>1084.0200000000002</v>
      </c>
      <c r="K21">
        <f t="shared" si="18"/>
        <v>5.2058140573785385</v>
      </c>
      <c r="L21">
        <v>2911.52</v>
      </c>
      <c r="M21">
        <f t="shared" si="19"/>
        <v>8.531588363253352</v>
      </c>
      <c r="N21">
        <v>1216.9000000000001</v>
      </c>
      <c r="O21">
        <f t="shared" si="20"/>
        <v>5.5156595253876937</v>
      </c>
      <c r="P21" s="39"/>
      <c r="Q21">
        <f t="shared" si="1"/>
        <v>3.4882642121508551</v>
      </c>
      <c r="R21">
        <f t="shared" si="2"/>
        <v>7.3664025011074913E-2</v>
      </c>
      <c r="S21" s="12">
        <f t="shared" si="12"/>
        <v>2.1117673585182316E-2</v>
      </c>
      <c r="T21">
        <f t="shared" si="3"/>
        <v>8.9407325564692357</v>
      </c>
      <c r="U21">
        <f t="shared" si="4"/>
        <v>0.1782650344205802</v>
      </c>
      <c r="V21" s="12">
        <f t="shared" si="17"/>
        <v>1.9938526658153214E-2</v>
      </c>
      <c r="W21">
        <f t="shared" si="5"/>
        <v>3.5047615816070361</v>
      </c>
      <c r="X21">
        <f t="shared" si="6"/>
        <v>8.0474555325369679E-2</v>
      </c>
      <c r="Y21" s="12">
        <f t="shared" si="14"/>
        <v>2.2961492087707071E-2</v>
      </c>
      <c r="AB21" s="12"/>
    </row>
    <row r="22" spans="1:28" s="19" customFormat="1" x14ac:dyDescent="0.25">
      <c r="A22" s="19">
        <v>1</v>
      </c>
      <c r="B22" s="15" t="s">
        <v>29</v>
      </c>
      <c r="C22" s="16" t="s">
        <v>26</v>
      </c>
      <c r="D22" s="15">
        <v>4.9318</v>
      </c>
      <c r="E22" s="16" t="s">
        <v>26</v>
      </c>
      <c r="F22" s="17"/>
      <c r="G22" s="21"/>
      <c r="H22" s="35"/>
      <c r="I22" s="19" t="s">
        <v>29</v>
      </c>
      <c r="J22" s="19">
        <v>892.8</v>
      </c>
      <c r="K22" s="19">
        <f t="shared" si="18"/>
        <v>4.724404724407087</v>
      </c>
      <c r="L22" s="19">
        <v>2321.8199999999997</v>
      </c>
      <c r="M22" s="19">
        <f t="shared" si="19"/>
        <v>7.6187597415852402</v>
      </c>
      <c r="N22" s="19">
        <v>964</v>
      </c>
      <c r="O22" s="19">
        <f t="shared" si="20"/>
        <v>4.9091750834534311</v>
      </c>
      <c r="P22" s="40"/>
      <c r="Q22" s="19" t="e">
        <f t="shared" si="1"/>
        <v>#VALUE!</v>
      </c>
      <c r="R22" s="19" t="e">
        <f t="shared" si="2"/>
        <v>#VALUE!</v>
      </c>
      <c r="S22" s="20" t="e">
        <f t="shared" si="12"/>
        <v>#VALUE!</v>
      </c>
      <c r="T22" s="19" t="e">
        <f t="shared" si="3"/>
        <v>#VALUE!</v>
      </c>
      <c r="U22" s="19" t="e">
        <f t="shared" si="4"/>
        <v>#VALUE!</v>
      </c>
      <c r="V22" s="20" t="e">
        <f t="shared" si="17"/>
        <v>#VALUE!</v>
      </c>
      <c r="W22" s="19" t="e">
        <f t="shared" si="5"/>
        <v>#VALUE!</v>
      </c>
      <c r="X22" s="19" t="e">
        <f t="shared" si="6"/>
        <v>#VALUE!</v>
      </c>
      <c r="Y22" s="20" t="e">
        <f t="shared" si="14"/>
        <v>#VALUE!</v>
      </c>
      <c r="AB22" s="20"/>
    </row>
    <row r="23" spans="1:28" x14ac:dyDescent="0.25">
      <c r="A23">
        <v>1</v>
      </c>
      <c r="B23" s="6" t="s">
        <v>30</v>
      </c>
      <c r="C23" s="3">
        <v>3.6400000000000002E-2</v>
      </c>
      <c r="D23" s="3">
        <v>4.9192</v>
      </c>
      <c r="E23" s="3">
        <v>135.14285714285714</v>
      </c>
      <c r="F23" s="10">
        <f t="shared" ref="F23:F34" si="21">(((1/C23)^2)*($E$3^2)+((D23/(C23^2))^2)*($E$3^2))^0.5</f>
        <v>0.7425634993450424</v>
      </c>
      <c r="G23" s="11">
        <f t="shared" ref="G23:G34" si="22">F23/E23</f>
        <v>5.4946559148153244E-3</v>
      </c>
      <c r="H23" s="32"/>
      <c r="I23" t="s">
        <v>30</v>
      </c>
      <c r="J23">
        <v>1118.44</v>
      </c>
      <c r="K23">
        <f t="shared" si="18"/>
        <v>5.2878161843997571</v>
      </c>
      <c r="L23">
        <v>2916.34</v>
      </c>
      <c r="M23">
        <f t="shared" si="19"/>
        <v>8.5386474338738214</v>
      </c>
      <c r="N23">
        <v>1304.0999999999999</v>
      </c>
      <c r="O23">
        <f t="shared" si="20"/>
        <v>5.7098598932022844</v>
      </c>
      <c r="P23" s="39"/>
      <c r="Q23">
        <f t="shared" si="1"/>
        <v>3.9719133164440383</v>
      </c>
      <c r="R23">
        <f t="shared" si="2"/>
        <v>8.4343895201288099E-2</v>
      </c>
      <c r="S23" s="12">
        <f t="shared" si="12"/>
        <v>2.1235079540154522E-2</v>
      </c>
      <c r="T23">
        <f t="shared" si="3"/>
        <v>9.8834023226907028</v>
      </c>
      <c r="U23">
        <f t="shared" si="4"/>
        <v>0.19846030889224636</v>
      </c>
      <c r="V23" s="12">
        <f t="shared" si="17"/>
        <v>2.0080160901333886E-2</v>
      </c>
      <c r="W23">
        <f t="shared" si="5"/>
        <v>4.1450471685045942</v>
      </c>
      <c r="X23">
        <f t="shared" si="6"/>
        <v>9.5564566392661601E-2</v>
      </c>
      <c r="Y23" s="12">
        <f t="shared" si="14"/>
        <v>2.3055121572268709E-2</v>
      </c>
      <c r="AB23" s="12"/>
    </row>
    <row r="24" spans="1:28" x14ac:dyDescent="0.25">
      <c r="A24">
        <v>1</v>
      </c>
      <c r="B24" s="3" t="s">
        <v>10</v>
      </c>
      <c r="C24" s="3">
        <v>1.21E-2</v>
      </c>
      <c r="D24" s="3">
        <v>4.9885000000000002</v>
      </c>
      <c r="E24" s="3">
        <v>412.27272727272731</v>
      </c>
      <c r="F24" s="10">
        <f t="shared" si="21"/>
        <v>6.8144452902538699</v>
      </c>
      <c r="G24" s="11">
        <f t="shared" si="22"/>
        <v>1.6528974243173664E-2</v>
      </c>
      <c r="H24" s="32"/>
      <c r="I24" t="s">
        <v>10</v>
      </c>
      <c r="J24">
        <v>1139.26</v>
      </c>
      <c r="K24">
        <f t="shared" si="18"/>
        <v>5.3368061609917969</v>
      </c>
      <c r="L24">
        <v>2858.7000000000003</v>
      </c>
      <c r="M24">
        <f t="shared" si="19"/>
        <v>8.4538452789248524</v>
      </c>
      <c r="N24">
        <v>1230.48</v>
      </c>
      <c r="O24">
        <f t="shared" si="20"/>
        <v>5.5463501512255791</v>
      </c>
      <c r="P24" s="39"/>
      <c r="Q24">
        <f t="shared" si="1"/>
        <v>12.342451524736868</v>
      </c>
      <c r="R24">
        <f t="shared" si="2"/>
        <v>0.32503931164508604</v>
      </c>
      <c r="S24" s="12">
        <f t="shared" si="12"/>
        <v>2.633506892805201E-2</v>
      </c>
      <c r="T24">
        <f t="shared" si="3"/>
        <v>29.554826312095052</v>
      </c>
      <c r="U24">
        <f t="shared" si="4"/>
        <v>0.75141450350740557</v>
      </c>
      <c r="V24" s="12">
        <f t="shared" si="17"/>
        <v>2.5424426304271525E-2</v>
      </c>
      <c r="W24">
        <f t="shared" si="5"/>
        <v>11.93121443157327</v>
      </c>
      <c r="X24">
        <f t="shared" si="6"/>
        <v>0.33230120986832379</v>
      </c>
      <c r="Y24" s="12">
        <f t="shared" si="14"/>
        <v>2.785141544258592E-2</v>
      </c>
      <c r="AB24" s="12"/>
    </row>
    <row r="25" spans="1:28" x14ac:dyDescent="0.25">
      <c r="A25">
        <v>1</v>
      </c>
      <c r="B25" s="3" t="s">
        <v>11</v>
      </c>
      <c r="C25" s="3">
        <v>4.9700000000000001E-2</v>
      </c>
      <c r="D25" s="3">
        <v>4.8765000000000001</v>
      </c>
      <c r="E25" s="3">
        <v>98.118712273641847</v>
      </c>
      <c r="F25" s="10">
        <f t="shared" si="21"/>
        <v>0.39486441854832172</v>
      </c>
      <c r="G25" s="11">
        <f t="shared" si="22"/>
        <v>4.0243538607303581E-3</v>
      </c>
      <c r="H25" s="32"/>
      <c r="I25" t="s">
        <v>11</v>
      </c>
      <c r="J25">
        <v>17219.099999999999</v>
      </c>
      <c r="K25">
        <f t="shared" si="18"/>
        <v>20.747951706132341</v>
      </c>
      <c r="L25">
        <v>24447.920000000002</v>
      </c>
      <c r="M25">
        <f t="shared" si="19"/>
        <v>24.722418975496716</v>
      </c>
      <c r="N25">
        <v>23472.44</v>
      </c>
      <c r="O25">
        <f t="shared" si="20"/>
        <v>24.224182132736701</v>
      </c>
      <c r="P25" s="37"/>
      <c r="Q25">
        <f t="shared" si="1"/>
        <v>44.39726965060364</v>
      </c>
      <c r="R25">
        <f t="shared" si="2"/>
        <v>0.90556511025058384</v>
      </c>
      <c r="S25" s="12">
        <f t="shared" si="12"/>
        <v>2.039686488329517E-2</v>
      </c>
      <c r="T25">
        <f t="shared" si="3"/>
        <v>60.154618814049101</v>
      </c>
      <c r="U25">
        <f t="shared" si="4"/>
        <v>1.17519901471271</v>
      </c>
      <c r="V25" s="12">
        <f t="shared" si="17"/>
        <v>1.9536305571904687E-2</v>
      </c>
      <c r="W25">
        <f t="shared" si="5"/>
        <v>54.167097273480856</v>
      </c>
      <c r="X25">
        <f t="shared" si="6"/>
        <v>1.2105317154562438</v>
      </c>
      <c r="Y25" s="12">
        <f t="shared" si="14"/>
        <v>2.2348100163914381E-2</v>
      </c>
      <c r="AB25" s="12"/>
    </row>
    <row r="26" spans="1:28" x14ac:dyDescent="0.25">
      <c r="A26">
        <v>1</v>
      </c>
      <c r="B26" s="3" t="s">
        <v>12</v>
      </c>
      <c r="C26" s="3">
        <v>2.7699999999999999E-2</v>
      </c>
      <c r="D26" s="3">
        <v>4.9138999999999999</v>
      </c>
      <c r="E26" s="3">
        <v>177.39711191335741</v>
      </c>
      <c r="F26" s="10">
        <f t="shared" si="21"/>
        <v>1.2808659236544595</v>
      </c>
      <c r="G26" s="11">
        <f t="shared" si="22"/>
        <v>7.2203313224177392E-3</v>
      </c>
      <c r="H26" s="32"/>
      <c r="I26" t="s">
        <v>12</v>
      </c>
      <c r="J26">
        <v>6262.38</v>
      </c>
      <c r="K26">
        <f t="shared" si="18"/>
        <v>12.512373875488217</v>
      </c>
      <c r="L26">
        <v>9397.1200000000008</v>
      </c>
      <c r="M26">
        <f t="shared" si="19"/>
        <v>15.327361155789344</v>
      </c>
      <c r="N26">
        <v>9069.7000000000007</v>
      </c>
      <c r="O26">
        <f t="shared" si="20"/>
        <v>15.057971310903737</v>
      </c>
      <c r="P26" s="39"/>
      <c r="Q26">
        <f t="shared" si="1"/>
        <v>29.193081295608906</v>
      </c>
      <c r="R26">
        <f t="shared" si="2"/>
        <v>0.6223743610126985</v>
      </c>
      <c r="S26" s="12">
        <f t="shared" si="12"/>
        <v>2.1319241867980319E-2</v>
      </c>
      <c r="T26">
        <f t="shared" si="3"/>
        <v>41.803875088986828</v>
      </c>
      <c r="U26">
        <f t="shared" si="4"/>
        <v>0.85595187896124614</v>
      </c>
      <c r="V26" s="12">
        <f t="shared" si="17"/>
        <v>2.0475419494944032E-2</v>
      </c>
      <c r="W26">
        <f t="shared" si="5"/>
        <v>37.841204596622759</v>
      </c>
      <c r="X26">
        <f t="shared" si="6"/>
        <v>0.87695854223017389</v>
      </c>
      <c r="Y26" s="12">
        <f t="shared" si="14"/>
        <v>2.3174699420336117E-2</v>
      </c>
      <c r="AB26" s="12"/>
    </row>
    <row r="27" spans="1:28" x14ac:dyDescent="0.25">
      <c r="A27">
        <v>1</v>
      </c>
      <c r="B27" s="3" t="s">
        <v>31</v>
      </c>
      <c r="C27" s="3">
        <v>1.01E-2</v>
      </c>
      <c r="D27" s="3">
        <v>5.0003000000000002</v>
      </c>
      <c r="E27" s="3">
        <v>495.0792079207921</v>
      </c>
      <c r="F27" s="10">
        <f t="shared" si="21"/>
        <v>9.8035686704785281</v>
      </c>
      <c r="G27" s="11">
        <f t="shared" si="22"/>
        <v>1.9802020593131037E-2</v>
      </c>
      <c r="H27" s="32"/>
      <c r="I27" t="s">
        <v>31</v>
      </c>
      <c r="J27">
        <v>100</v>
      </c>
      <c r="K27">
        <f t="shared" si="18"/>
        <v>1.5811388300841898</v>
      </c>
      <c r="L27">
        <v>271.2</v>
      </c>
      <c r="M27">
        <f t="shared" si="19"/>
        <v>2.6038433132583072</v>
      </c>
      <c r="N27">
        <v>138.39999999999998</v>
      </c>
      <c r="O27">
        <f t="shared" si="20"/>
        <v>1.8601075237738274</v>
      </c>
      <c r="P27" s="39"/>
      <c r="Q27">
        <f t="shared" si="1"/>
        <v>1.3009741341672185</v>
      </c>
      <c r="R27">
        <f t="shared" si="2"/>
        <v>4.1965336465552228E-2</v>
      </c>
      <c r="S27" s="12">
        <f t="shared" si="12"/>
        <v>3.2256856891636161E-2</v>
      </c>
      <c r="T27">
        <f t="shared" si="3"/>
        <v>3.3669727084659824</v>
      </c>
      <c r="U27">
        <f t="shared" si="4"/>
        <v>9.8091197691916904E-2</v>
      </c>
      <c r="V27" s="12">
        <f t="shared" si="17"/>
        <v>2.9133350990720674E-2</v>
      </c>
      <c r="W27">
        <f t="shared" si="5"/>
        <v>1.6115220908472236</v>
      </c>
      <c r="X27">
        <f t="shared" si="6"/>
        <v>5.2341804258195748E-2</v>
      </c>
      <c r="Y27" s="12">
        <f t="shared" si="14"/>
        <v>3.2479731153221829E-2</v>
      </c>
      <c r="AB27" s="12"/>
    </row>
    <row r="28" spans="1:28" x14ac:dyDescent="0.25">
      <c r="A28">
        <v>1</v>
      </c>
      <c r="B28" s="3" t="s">
        <v>32</v>
      </c>
      <c r="C28" s="3">
        <v>5.7000000000000002E-3</v>
      </c>
      <c r="D28" s="3">
        <v>4.8712999999999997</v>
      </c>
      <c r="E28" s="3">
        <v>854.61403508771923</v>
      </c>
      <c r="F28" s="10">
        <f t="shared" si="21"/>
        <v>29.986477899892936</v>
      </c>
      <c r="G28" s="11">
        <f t="shared" si="22"/>
        <v>3.5087743318906607E-2</v>
      </c>
      <c r="H28" s="32"/>
      <c r="I28" t="s">
        <v>32</v>
      </c>
      <c r="J28">
        <v>634.4</v>
      </c>
      <c r="K28">
        <f t="shared" si="18"/>
        <v>3.9824615503479754</v>
      </c>
      <c r="L28">
        <v>1691.3</v>
      </c>
      <c r="M28">
        <f t="shared" si="19"/>
        <v>6.5024995194155917</v>
      </c>
      <c r="N28">
        <v>676</v>
      </c>
      <c r="O28">
        <f t="shared" si="20"/>
        <v>4.1109609582188931</v>
      </c>
      <c r="P28" s="39"/>
      <c r="Q28">
        <f t="shared" si="1"/>
        <v>14.247122869873568</v>
      </c>
      <c r="R28">
        <f t="shared" si="2"/>
        <v>0.58203321760802162</v>
      </c>
      <c r="S28" s="12">
        <f t="shared" si="12"/>
        <v>4.0852684638437928E-2</v>
      </c>
      <c r="T28">
        <f t="shared" si="3"/>
        <v>36.246484662206996</v>
      </c>
      <c r="U28">
        <f t="shared" si="4"/>
        <v>1.4545549860419023</v>
      </c>
      <c r="V28" s="12">
        <f t="shared" si="17"/>
        <v>4.0129546343524961E-2</v>
      </c>
      <c r="W28">
        <f t="shared" si="5"/>
        <v>13.587582763609209</v>
      </c>
      <c r="X28">
        <f t="shared" si="6"/>
        <v>0.56845955737463361</v>
      </c>
      <c r="Y28" s="12">
        <f t="shared" si="14"/>
        <v>4.1836695110855485E-2</v>
      </c>
      <c r="AB28" s="12"/>
    </row>
    <row r="29" spans="1:28" x14ac:dyDescent="0.25">
      <c r="A29">
        <v>1</v>
      </c>
      <c r="B29" s="3" t="s">
        <v>13</v>
      </c>
      <c r="C29" s="4">
        <v>2.5381</v>
      </c>
      <c r="D29" s="3">
        <v>5.0625</v>
      </c>
      <c r="E29" s="3">
        <v>1.9946022615342185</v>
      </c>
      <c r="F29" s="10">
        <f t="shared" si="21"/>
        <v>1.7581981791480486E-4</v>
      </c>
      <c r="G29" s="11">
        <f t="shared" si="22"/>
        <v>8.8147808365346417E-5</v>
      </c>
      <c r="H29" s="32"/>
      <c r="I29" t="s">
        <v>13</v>
      </c>
      <c r="J29">
        <v>917.6</v>
      </c>
      <c r="K29">
        <f t="shared" si="18"/>
        <v>4.7895720059312188</v>
      </c>
      <c r="L29">
        <v>2164.1999999999998</v>
      </c>
      <c r="M29">
        <f t="shared" si="19"/>
        <v>7.3556101038595019</v>
      </c>
      <c r="N29">
        <v>1070.42</v>
      </c>
      <c r="O29">
        <f t="shared" si="20"/>
        <v>5.1730551901173447</v>
      </c>
      <c r="P29" s="39"/>
      <c r="Q29">
        <f t="shared" si="1"/>
        <v>4.8095416123621879E-2</v>
      </c>
      <c r="R29">
        <f t="shared" si="2"/>
        <v>9.9225582242187848E-4</v>
      </c>
      <c r="S29" s="12">
        <f t="shared" si="12"/>
        <v>2.0630985287068467E-2</v>
      </c>
      <c r="T29">
        <f t="shared" si="3"/>
        <v>0.10825025382138613</v>
      </c>
      <c r="U29">
        <f t="shared" si="4"/>
        <v>2.0990743389513408E-3</v>
      </c>
      <c r="V29" s="12">
        <f t="shared" si="17"/>
        <v>1.9390941497604539E-2</v>
      </c>
      <c r="W29">
        <f t="shared" si="5"/>
        <v>5.0215293770246888E-2</v>
      </c>
      <c r="X29">
        <f t="shared" si="6"/>
        <v>1.1290517321096945E-3</v>
      </c>
      <c r="Y29" s="12">
        <f t="shared" si="14"/>
        <v>2.2484220390614741E-2</v>
      </c>
      <c r="AB29" s="12"/>
    </row>
    <row r="30" spans="1:28" x14ac:dyDescent="0.25">
      <c r="A30">
        <v>1</v>
      </c>
      <c r="B30" s="3" t="s">
        <v>14</v>
      </c>
      <c r="C30" s="4">
        <v>2.7002000000000002</v>
      </c>
      <c r="D30" s="3">
        <v>5.3585000000000003</v>
      </c>
      <c r="E30" s="3">
        <v>1.9844826309162285</v>
      </c>
      <c r="F30" s="10">
        <f t="shared" si="21"/>
        <v>1.6459518971101252E-4</v>
      </c>
      <c r="G30" s="11">
        <f t="shared" si="22"/>
        <v>8.2941108753881867E-5</v>
      </c>
      <c r="H30" s="32"/>
      <c r="I30" t="s">
        <v>14</v>
      </c>
      <c r="J30">
        <v>760.8</v>
      </c>
      <c r="K30">
        <f t="shared" si="18"/>
        <v>4.361192497471305</v>
      </c>
      <c r="L30">
        <v>1924.1599999999999</v>
      </c>
      <c r="M30">
        <f t="shared" si="19"/>
        <v>6.9357047226651742</v>
      </c>
      <c r="N30">
        <v>919.22000000000014</v>
      </c>
      <c r="O30">
        <f t="shared" si="20"/>
        <v>4.7937980766819956</v>
      </c>
      <c r="P30" s="39"/>
      <c r="Q30">
        <f t="shared" si="1"/>
        <v>3.9674529088527768E-2</v>
      </c>
      <c r="R30">
        <f t="shared" si="2"/>
        <v>8.2390521699154799E-4</v>
      </c>
      <c r="S30" s="12">
        <f t="shared" si="12"/>
        <v>2.0766603559506071E-2</v>
      </c>
      <c r="T30">
        <f t="shared" si="3"/>
        <v>9.575549547229277E-2</v>
      </c>
      <c r="U30">
        <f t="shared" si="4"/>
        <v>1.860341726939242E-3</v>
      </c>
      <c r="V30" s="12">
        <f t="shared" si="17"/>
        <v>1.9428041364764691E-2</v>
      </c>
      <c r="W30">
        <f t="shared" si="5"/>
        <v>4.2903453576330755E-2</v>
      </c>
      <c r="X30">
        <f t="shared" si="6"/>
        <v>9.6830816329339885E-4</v>
      </c>
      <c r="Y30" s="12">
        <f t="shared" si="14"/>
        <v>2.2569468948942635E-2</v>
      </c>
      <c r="AB30" s="12"/>
    </row>
    <row r="31" spans="1:28" x14ac:dyDescent="0.25">
      <c r="A31">
        <v>1</v>
      </c>
      <c r="B31" s="3" t="s">
        <v>15</v>
      </c>
      <c r="C31" s="4">
        <v>2.6623999999999999</v>
      </c>
      <c r="D31" s="3">
        <v>5.5254000000000003</v>
      </c>
      <c r="E31" s="3">
        <v>2.0753455528846154</v>
      </c>
      <c r="F31" s="10">
        <f t="shared" si="21"/>
        <v>1.7305480235115642E-4</v>
      </c>
      <c r="G31" s="11">
        <f t="shared" si="22"/>
        <v>8.3386018347942026E-5</v>
      </c>
      <c r="H31" s="32"/>
      <c r="I31" t="s">
        <v>15</v>
      </c>
      <c r="J31">
        <v>836.8</v>
      </c>
      <c r="K31">
        <f t="shared" si="18"/>
        <v>4.5738386504117088</v>
      </c>
      <c r="L31">
        <v>2253.8000000000002</v>
      </c>
      <c r="M31">
        <f t="shared" si="19"/>
        <v>7.5063306615149861</v>
      </c>
      <c r="N31">
        <v>973.6</v>
      </c>
      <c r="O31">
        <f t="shared" si="20"/>
        <v>4.9335585534176039</v>
      </c>
      <c r="P31" s="39"/>
      <c r="Q31">
        <f t="shared" si="1"/>
        <v>4.5635841687243467E-2</v>
      </c>
      <c r="R31">
        <f t="shared" si="2"/>
        <v>9.4441658982391465E-4</v>
      </c>
      <c r="S31" s="12">
        <f t="shared" si="12"/>
        <v>2.0694624113570502E-2</v>
      </c>
      <c r="T31">
        <f t="shared" si="3"/>
        <v>0.11729540977560017</v>
      </c>
      <c r="U31">
        <f t="shared" si="4"/>
        <v>2.2730765801578625E-3</v>
      </c>
      <c r="V31" s="12">
        <f t="shared" si="17"/>
        <v>1.9379075315108438E-2</v>
      </c>
      <c r="W31">
        <f t="shared" si="5"/>
        <v>4.7522192547715884E-2</v>
      </c>
      <c r="X31">
        <f t="shared" si="6"/>
        <v>1.0709502536951365E-3</v>
      </c>
      <c r="Y31" s="12">
        <f t="shared" si="14"/>
        <v>2.2535792148475078E-2</v>
      </c>
      <c r="AB31" s="12"/>
    </row>
    <row r="32" spans="1:28" x14ac:dyDescent="0.25">
      <c r="A32">
        <v>1</v>
      </c>
      <c r="B32" s="3" t="s">
        <v>16</v>
      </c>
      <c r="C32" s="4">
        <v>2.5741999999999998</v>
      </c>
      <c r="D32" s="3">
        <v>5.1252000000000004</v>
      </c>
      <c r="E32" s="3">
        <v>1.9909874912594208</v>
      </c>
      <c r="F32" s="10">
        <f t="shared" si="21"/>
        <v>1.7310314585262601E-4</v>
      </c>
      <c r="G32" s="11">
        <f t="shared" si="22"/>
        <v>8.6943361830529498E-5</v>
      </c>
      <c r="H32" s="32"/>
      <c r="I32" t="s">
        <v>16</v>
      </c>
      <c r="J32">
        <v>1146.4599999999998</v>
      </c>
      <c r="K32">
        <f t="shared" si="18"/>
        <v>5.3536436190691656</v>
      </c>
      <c r="L32">
        <v>2771.5</v>
      </c>
      <c r="M32">
        <f t="shared" si="19"/>
        <v>8.323911340229424</v>
      </c>
      <c r="N32">
        <v>1324.9</v>
      </c>
      <c r="O32">
        <f t="shared" si="20"/>
        <v>5.7552150263912818</v>
      </c>
      <c r="P32" s="39"/>
      <c r="Q32">
        <f t="shared" si="1"/>
        <v>5.998206497020394E-2</v>
      </c>
      <c r="R32">
        <f t="shared" si="2"/>
        <v>1.2295571499483476E-3</v>
      </c>
      <c r="S32" s="12">
        <f t="shared" si="12"/>
        <v>2.0498746592987914E-2</v>
      </c>
      <c r="T32">
        <f t="shared" si="3"/>
        <v>0.13837531991650384</v>
      </c>
      <c r="U32">
        <f t="shared" si="4"/>
        <v>2.6741802089921768E-3</v>
      </c>
      <c r="V32" s="12">
        <f t="shared" si="17"/>
        <v>1.9325557553223991E-2</v>
      </c>
      <c r="W32">
        <f t="shared" si="5"/>
        <v>6.2040761139071948E-2</v>
      </c>
      <c r="X32">
        <f t="shared" si="6"/>
        <v>1.3887349898143435E-3</v>
      </c>
      <c r="Y32" s="12">
        <f t="shared" si="14"/>
        <v>2.2384235207903468E-2</v>
      </c>
      <c r="AB32" s="12"/>
    </row>
    <row r="33" spans="1:28" x14ac:dyDescent="0.25">
      <c r="A33">
        <v>1</v>
      </c>
      <c r="B33" s="3" t="s">
        <v>17</v>
      </c>
      <c r="C33" s="4">
        <v>2.5093000000000001</v>
      </c>
      <c r="D33" s="3">
        <v>5.0574000000000003</v>
      </c>
      <c r="E33" s="3">
        <v>2.0154624795759775</v>
      </c>
      <c r="F33" s="10">
        <f t="shared" si="21"/>
        <v>1.7932560206231394E-4</v>
      </c>
      <c r="G33" s="11">
        <f t="shared" si="22"/>
        <v>8.8974914631028662E-5</v>
      </c>
      <c r="H33" s="32"/>
      <c r="I33" t="s">
        <v>17</v>
      </c>
      <c r="J33">
        <v>1065.6399999999999</v>
      </c>
      <c r="K33">
        <f t="shared" si="18"/>
        <v>5.1614920323487858</v>
      </c>
      <c r="L33">
        <v>2610.6800000000003</v>
      </c>
      <c r="M33">
        <f t="shared" si="19"/>
        <v>8.0787994157547942</v>
      </c>
      <c r="N33">
        <v>1303.28</v>
      </c>
      <c r="O33">
        <f t="shared" si="20"/>
        <v>5.7080644705539196</v>
      </c>
      <c r="P33" s="39"/>
      <c r="Q33">
        <f t="shared" si="1"/>
        <v>5.6438986468302872E-2</v>
      </c>
      <c r="R33">
        <f t="shared" si="2"/>
        <v>1.1592034658012781E-3</v>
      </c>
      <c r="S33" s="12">
        <f t="shared" si="12"/>
        <v>2.0539055329285672E-2</v>
      </c>
      <c r="T33">
        <f t="shared" si="3"/>
        <v>0.13194823438815767</v>
      </c>
      <c r="U33">
        <f t="shared" si="4"/>
        <v>2.5518706496453223E-3</v>
      </c>
      <c r="V33" s="12">
        <f t="shared" si="17"/>
        <v>1.9339937828484897E-2</v>
      </c>
      <c r="W33">
        <f t="shared" si="5"/>
        <v>6.1778581744626949E-2</v>
      </c>
      <c r="X33">
        <f t="shared" si="6"/>
        <v>1.3832986871935536E-3</v>
      </c>
      <c r="Y33" s="12">
        <f t="shared" si="14"/>
        <v>2.2391234115921782E-2</v>
      </c>
      <c r="AB33" s="12"/>
    </row>
    <row r="34" spans="1:28" x14ac:dyDescent="0.25">
      <c r="A34">
        <v>1</v>
      </c>
      <c r="B34" s="3" t="s">
        <v>18</v>
      </c>
      <c r="C34" s="4">
        <v>2.4788999999999999</v>
      </c>
      <c r="D34" s="3">
        <v>5.0540000000000003</v>
      </c>
      <c r="E34" s="3">
        <v>2.0388075356004682</v>
      </c>
      <c r="F34" s="10">
        <f t="shared" si="21"/>
        <v>1.8321391048842223E-4</v>
      </c>
      <c r="G34" s="11">
        <f t="shared" si="22"/>
        <v>8.9863269234220384E-5</v>
      </c>
      <c r="H34" s="32"/>
      <c r="I34" t="s">
        <v>18</v>
      </c>
      <c r="J34">
        <v>1195.28</v>
      </c>
      <c r="K34">
        <f t="shared" si="18"/>
        <v>5.4664430848587457</v>
      </c>
      <c r="L34">
        <v>3035.58</v>
      </c>
      <c r="M34">
        <f t="shared" si="19"/>
        <v>8.7114579721192484</v>
      </c>
      <c r="N34">
        <v>1417.7</v>
      </c>
      <c r="O34">
        <f t="shared" si="20"/>
        <v>5.9533603956085175</v>
      </c>
      <c r="P34" s="37"/>
      <c r="Q34">
        <f t="shared" si="1"/>
        <v>6.4038309305089455E-2</v>
      </c>
      <c r="R34">
        <f t="shared" si="2"/>
        <v>1.3113139368789025E-3</v>
      </c>
      <c r="S34" s="12">
        <f t="shared" si="12"/>
        <v>2.0477023068044765E-2</v>
      </c>
      <c r="T34">
        <f t="shared" si="3"/>
        <v>0.15520050727942808</v>
      </c>
      <c r="U34">
        <f t="shared" si="4"/>
        <v>2.9961857419357986E-3</v>
      </c>
      <c r="V34" s="12">
        <f t="shared" si="17"/>
        <v>1.9305257401906344E-2</v>
      </c>
      <c r="W34">
        <f t="shared" si="5"/>
        <v>6.7980766199340889E-2</v>
      </c>
      <c r="X34">
        <f t="shared" si="6"/>
        <v>1.519821513217336E-3</v>
      </c>
      <c r="Y34" s="12">
        <f t="shared" si="14"/>
        <v>2.235663994666879E-2</v>
      </c>
    </row>
    <row r="35" spans="1:28" s="26" customFormat="1" ht="27.75" customHeight="1" x14ac:dyDescent="0.25">
      <c r="H35" s="33" t="s">
        <v>55</v>
      </c>
      <c r="I35" s="25" t="s">
        <v>65</v>
      </c>
      <c r="J35" s="26">
        <v>2.5732352547278199E-5</v>
      </c>
      <c r="K35" s="26">
        <v>2.3003067082004399E-7</v>
      </c>
      <c r="L35" s="26">
        <v>2.5175527541004301E-5</v>
      </c>
      <c r="M35" s="26">
        <v>1.9946806969430299E-7</v>
      </c>
      <c r="N35" s="26">
        <v>2.32427283186982E-5</v>
      </c>
      <c r="O35" s="26">
        <v>2.0298222368682E-7</v>
      </c>
      <c r="P35" s="38"/>
    </row>
    <row r="36" spans="1:28" s="26" customFormat="1" ht="30" x14ac:dyDescent="0.25">
      <c r="H36" s="33" t="s">
        <v>56</v>
      </c>
      <c r="I36" s="25" t="s">
        <v>66</v>
      </c>
      <c r="L36" s="26">
        <v>2.5948939717754599E-5</v>
      </c>
      <c r="M36" s="26">
        <v>3.60720755713444E-7</v>
      </c>
      <c r="N36" s="26">
        <v>2.4028521220230799E-5</v>
      </c>
      <c r="O36" s="26">
        <v>2.00017516029103E-7</v>
      </c>
      <c r="P36" s="38"/>
    </row>
    <row r="37" spans="1:28" s="26" customFormat="1" ht="30" x14ac:dyDescent="0.25">
      <c r="H37" s="33" t="s">
        <v>55</v>
      </c>
      <c r="I37" s="25" t="s">
        <v>63</v>
      </c>
      <c r="J37" s="26">
        <v>2.3948173065528802E-5</v>
      </c>
      <c r="K37" s="26">
        <v>1.9395599227802299E-7</v>
      </c>
      <c r="L37" s="26">
        <v>2.2506847155815198E-5</v>
      </c>
      <c r="M37" s="26">
        <v>1.62190528828943E-7</v>
      </c>
      <c r="N37" s="26">
        <v>2.0893105431924501E-5</v>
      </c>
      <c r="O37" s="26">
        <v>1.6466691098078E-7</v>
      </c>
      <c r="P37" s="38"/>
    </row>
    <row r="38" spans="1:28" ht="30" x14ac:dyDescent="0.25">
      <c r="A38" s="41" t="s">
        <v>57</v>
      </c>
      <c r="B38">
        <f>1/8</f>
        <v>0.125</v>
      </c>
      <c r="H38" t="s">
        <v>61</v>
      </c>
    </row>
    <row r="39" spans="1:28" ht="30" x14ac:dyDescent="0.25">
      <c r="A39" s="41" t="s">
        <v>58</v>
      </c>
      <c r="B39">
        <v>0.5</v>
      </c>
      <c r="H39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17" bestFit="1" customWidth="1"/>
    <col min="2" max="2" width="9.140625" style="61"/>
  </cols>
  <sheetData>
    <row r="1" spans="1:19" x14ac:dyDescent="0.25">
      <c r="A1" t="str">
        <f>Mo_Calculations!B5</f>
        <v>Sample ID</v>
      </c>
      <c r="B1" s="59" t="str">
        <f>Mo_Calculations!Q5</f>
        <v>Mo 97</v>
      </c>
      <c r="C1" t="str">
        <f>Mo_Calculations!R5</f>
        <v>±</v>
      </c>
      <c r="D1" t="str">
        <f>Mo_Calculations!S5</f>
        <v>%</v>
      </c>
      <c r="E1" s="13" t="str">
        <f>Mo_Calculations!T5</f>
        <v>Mo 98</v>
      </c>
      <c r="F1" t="str">
        <f>Mo_Calculations!U5</f>
        <v>±</v>
      </c>
      <c r="G1" s="12" t="str">
        <f>Mo_Calculations!V5</f>
        <v>%</v>
      </c>
      <c r="H1" s="13" t="str">
        <f>Mo_Calculations!W5</f>
        <v>Mo 100</v>
      </c>
      <c r="I1" t="str">
        <f>Mo_Calculations!X5</f>
        <v>±</v>
      </c>
      <c r="J1" t="str">
        <f>Mo_Calculations!Y5</f>
        <v>%</v>
      </c>
      <c r="K1" s="13"/>
      <c r="M1" t="s">
        <v>59</v>
      </c>
      <c r="N1" t="s">
        <v>59</v>
      </c>
      <c r="O1" t="s">
        <v>59</v>
      </c>
      <c r="Q1" t="s">
        <v>60</v>
      </c>
      <c r="R1" t="s">
        <v>33</v>
      </c>
      <c r="S1" t="s">
        <v>36</v>
      </c>
    </row>
    <row r="2" spans="1:19" x14ac:dyDescent="0.25">
      <c r="A2" t="str">
        <f>Mo_Calculations!B7</f>
        <v>87G Trace</v>
      </c>
      <c r="B2" s="59">
        <f>IF(Mo_Calculations!Q7&gt;SUM($B$30:$D$30),(Mo_Calculations!Q7-SUM($B$30:$D$30))*Mo_Calculations!A7,"LLD")</f>
        <v>42.724447097282315</v>
      </c>
      <c r="C2">
        <f>IF(Mo_Calculations!Q7&gt;SUM($B$30:$D$30),((Mo_Calculations!R7^2+$B$31^2+$C$31^2+$D$31^2)^0.5)*Mo_Calculations!A7,"LLD")</f>
        <v>1.08925009065278</v>
      </c>
      <c r="D2" s="12">
        <f>IF(Mo_Calculations!Q7&gt;SUM($B$30:$D$30),C2/B2,"LLD")</f>
        <v>2.549477324241527E-2</v>
      </c>
      <c r="E2" s="13">
        <f>IF(Mo_Calculations!T7&gt;SUM($E$30:$G$30),(Mo_Calculations!T7-SUM($E$30:$G$30))*Mo_Calculations!A7,"LLD")</f>
        <v>59.687438818391776</v>
      </c>
      <c r="F2">
        <f>IF(Mo_Calculations!T7&gt;SUM($E$30:$G$30),((Mo_Calculations!U7^2+$E$31^2+$F$31^2+$G$31^2)^0.5)*Mo_Calculations!A7,"LLD")</f>
        <v>1.5091704392468031</v>
      </c>
      <c r="G2" s="12">
        <f>IF(Mo_Calculations!T7&gt;SUM($E$30:$G$30),F2/E2,"LLD")</f>
        <v>2.5284556836802571E-2</v>
      </c>
      <c r="H2" s="13">
        <f>IF(Mo_Calculations!W7&gt;SUM($H$30:$J$30),(Mo_Calculations!W7-SUM($H$30:$J$30))*Mo_Calculations!A7,"LLD")</f>
        <v>53.333996504142469</v>
      </c>
      <c r="I2">
        <f>IF(Mo_Calculations!W7&gt;SUM($H$30:$J$30),((Mo_Calculations!X7^2+$H$31^2+$I$31^2+$J$31^2)^0.5)*Mo_Calculations!A7,"LLD")</f>
        <v>1.4464889757487225</v>
      </c>
      <c r="J2" s="12">
        <f>IF(Mo_Calculations!W7&gt;SUM($H$30:$J$30),I2/H2,"LLD")</f>
        <v>2.7121331056381145E-2</v>
      </c>
      <c r="K2" s="13"/>
      <c r="M2" s="42">
        <f>IF(C2="LLD","LLD",C2^2)</f>
        <v>1.1864657599870894</v>
      </c>
      <c r="N2" s="42">
        <f>IF(F2="LLD","LLD",F2^2)</f>
        <v>2.2775954146963886</v>
      </c>
      <c r="O2" s="42">
        <f>IF(I2="LLD","LLD",I2^2)</f>
        <v>2.0923303569625884</v>
      </c>
      <c r="P2" s="12"/>
      <c r="Q2">
        <f>IF(SUM(B2,E2,H2)=0,"LLD",SUM(B2,E2,H2))</f>
        <v>155.74588241981655</v>
      </c>
      <c r="R2">
        <f>IF(Q2="LLD","LLD",SUM(M2:O2)^0.5)</f>
        <v>2.3571999345931745</v>
      </c>
      <c r="S2" s="12">
        <f>IF(Q2="LLD","LLD",R2/Q2)</f>
        <v>1.5134910136752692E-2</v>
      </c>
    </row>
    <row r="3" spans="1:19" x14ac:dyDescent="0.25">
      <c r="A3" t="str">
        <f>Mo_Calculations!B8</f>
        <v>90G Trace</v>
      </c>
      <c r="B3" s="59">
        <f>IF(Mo_Calculations!Q8&gt;SUM($B$30:$D$30),(Mo_Calculations!Q8-SUM($B$30:$D$30))*Mo_Calculations!A8,"LLD")</f>
        <v>2.356262016304516</v>
      </c>
      <c r="C3">
        <f>IF(Mo_Calculations!Q8&gt;SUM($B$30:$D$30),((Mo_Calculations!R8^2+$B$31^2+$C$31^2+$D$31^2)^0.5)*Mo_Calculations!A8,"LLD")</f>
        <v>0.11811100219304545</v>
      </c>
      <c r="D3" s="12">
        <f>IF(Mo_Calculations!Q8&gt;SUM($B$30:$D$30),C3/B3,"LLD")</f>
        <v>5.0126429648213261E-2</v>
      </c>
      <c r="E3" s="13">
        <f>IF(Mo_Calculations!T8&gt;SUM($E$30:$G$30),(Mo_Calculations!T8-SUM($E$30:$G$30))*Mo_Calculations!A8,"LLD")</f>
        <v>5.8713783312816119</v>
      </c>
      <c r="F3">
        <f>IF(Mo_Calculations!T8&gt;SUM($E$30:$G$30),((Mo_Calculations!U8^2+$E$31^2+$F$31^2+$G$31^2)^0.5)*Mo_Calculations!A8,"LLD")</f>
        <v>0.29124892889604947</v>
      </c>
      <c r="G3" s="12">
        <f>IF(Mo_Calculations!T8&gt;SUM($E$30:$G$30),F3/E3,"LLD")</f>
        <v>4.9604864899325148E-2</v>
      </c>
      <c r="H3" s="13">
        <f>IF(Mo_Calculations!W8&gt;SUM($H$30:$J$30),(Mo_Calculations!W8-SUM($H$30:$J$30))*Mo_Calculations!A8,"LLD")</f>
        <v>2.7191096202367762</v>
      </c>
      <c r="I3">
        <f>IF(Mo_Calculations!W8&gt;SUM($H$30:$J$30),((Mo_Calculations!X8^2+$H$31^2+$I$31^2+$J$31^2)^0.5)*Mo_Calculations!A8,"LLD")</f>
        <v>0.18270394868493758</v>
      </c>
      <c r="J3" s="12">
        <f>IF(Mo_Calculations!W8&gt;SUM($H$30:$J$30),I3/H3,"LLD")</f>
        <v>6.7192564553181927E-2</v>
      </c>
      <c r="K3" s="13"/>
      <c r="M3" s="42">
        <f t="shared" ref="M3:M29" si="0">IF(C3="LLD","LLD",C3^2)</f>
        <v>1.3950208839045587E-2</v>
      </c>
      <c r="N3" s="42">
        <f t="shared" ref="N3:N29" si="1">IF(F3="LLD","LLD",F3^2)</f>
        <v>8.4825938583096089E-2</v>
      </c>
      <c r="O3" s="42">
        <f t="shared" ref="O3:O29" si="2">IF(I3="LLD","LLD",I3^2)</f>
        <v>3.3380732865068305E-2</v>
      </c>
      <c r="P3" s="12"/>
      <c r="Q3">
        <f t="shared" ref="Q3:Q29" si="3">IF(SUM(B3,E3,H3)=0,"LLD",SUM(B3,E3,H3))</f>
        <v>10.946749967822903</v>
      </c>
      <c r="R3">
        <f t="shared" ref="R3:R29" si="4">IF(Q3="LLD","LLD",SUM(M3:O3)^0.5)</f>
        <v>0.36353387777098572</v>
      </c>
      <c r="S3" s="12">
        <f t="shared" ref="S3:S29" si="5">IF(Q3="LLD","LLD",R3/Q3)</f>
        <v>3.3209297630763877E-2</v>
      </c>
    </row>
    <row r="4" spans="1:19" x14ac:dyDescent="0.25">
      <c r="A4" t="str">
        <f>Mo_Calculations!B9</f>
        <v>93G Trace</v>
      </c>
      <c r="B4" s="59">
        <f>IF(Mo_Calculations!Q9&gt;SUM($B$30:$D$30),(Mo_Calculations!Q9-SUM($B$30:$D$30))*Mo_Calculations!A9,"LLD")</f>
        <v>2.2197523732170059</v>
      </c>
      <c r="C4">
        <f>IF(Mo_Calculations!Q9&gt;SUM($B$30:$D$30),((Mo_Calculations!R9^2+$B$31^2+$C$31^2+$D$31^2)^0.5)*Mo_Calculations!A9,"LLD")</f>
        <v>0.11605941477693948</v>
      </c>
      <c r="D4" s="12">
        <f>IF(Mo_Calculations!Q9&gt;SUM($B$30:$D$30),C4/B4,"LLD")</f>
        <v>5.2284847705214445E-2</v>
      </c>
      <c r="E4" s="13">
        <f>IF(Mo_Calculations!T9&gt;SUM($E$30:$G$30),(Mo_Calculations!T9-SUM($E$30:$G$30))*Mo_Calculations!A9,"LLD")</f>
        <v>5.3178658524252391</v>
      </c>
      <c r="F4">
        <f>IF(Mo_Calculations!T9&gt;SUM($E$30:$G$30),((Mo_Calculations!U9^2+$E$31^2+$F$31^2+$G$31^2)^0.5)*Mo_Calculations!A9,"LLD")</f>
        <v>0.28476670677616261</v>
      </c>
      <c r="G4" s="12">
        <f>IF(Mo_Calculations!T9&gt;SUM($E$30:$G$30),F4/E4,"LLD")</f>
        <v>5.3549057963975029E-2</v>
      </c>
      <c r="H4" s="13">
        <f>IF(Mo_Calculations!W9&gt;SUM($H$30:$J$30),(Mo_Calculations!W9-SUM($H$30:$J$30))*Mo_Calculations!A9,"LLD")</f>
        <v>2.3212256638717248</v>
      </c>
      <c r="I4">
        <f>IF(Mo_Calculations!W9&gt;SUM($H$30:$J$30),((Mo_Calculations!X9^2+$H$31^2+$I$31^2+$J$31^2)^0.5)*Mo_Calculations!A9,"LLD")</f>
        <v>0.17870768401555534</v>
      </c>
      <c r="J4" s="12">
        <f>IF(Mo_Calculations!W9&gt;SUM($H$30:$J$30),I4/H4,"LLD")</f>
        <v>7.6988500858411607E-2</v>
      </c>
      <c r="K4" s="13"/>
      <c r="M4" s="42">
        <f t="shared" si="0"/>
        <v>1.346978775836568E-2</v>
      </c>
      <c r="N4" s="42">
        <f t="shared" si="1"/>
        <v>8.1092077288140982E-2</v>
      </c>
      <c r="O4" s="42">
        <f t="shared" si="2"/>
        <v>3.1936436326203577E-2</v>
      </c>
      <c r="P4" s="12"/>
      <c r="Q4">
        <f t="shared" si="3"/>
        <v>9.8588438895139703</v>
      </c>
      <c r="R4">
        <f t="shared" si="4"/>
        <v>0.35566599693070217</v>
      </c>
      <c r="S4" s="12">
        <f t="shared" si="5"/>
        <v>3.6075832107352303E-2</v>
      </c>
    </row>
    <row r="5" spans="1:19" x14ac:dyDescent="0.25">
      <c r="A5" t="str">
        <f>Mo_Calculations!B10</f>
        <v>96G Trace</v>
      </c>
      <c r="B5" s="59">
        <f>IF(Mo_Calculations!Q10&gt;SUM($B$30:$D$30),(Mo_Calculations!Q10-SUM($B$30:$D$30))*Mo_Calculations!A10,"LLD")</f>
        <v>2.6824168865055382</v>
      </c>
      <c r="C5">
        <f>IF(Mo_Calculations!Q10&gt;SUM($B$30:$D$30),((Mo_Calculations!R10^2+$B$31^2+$C$31^2+$D$31^2)^0.5)*Mo_Calculations!A10,"LLD")</f>
        <v>0.12207755543863616</v>
      </c>
      <c r="D5" s="12">
        <f>IF(Mo_Calculations!Q10&gt;SUM($B$30:$D$30),C5/B5,"LLD")</f>
        <v>4.5510284420282675E-2</v>
      </c>
      <c r="E5" s="13">
        <f>IF(Mo_Calculations!T10&gt;SUM($E$30:$G$30),(Mo_Calculations!T10-SUM($E$30:$G$30))*Mo_Calculations!A10,"LLD")</f>
        <v>5.9165031864060307</v>
      </c>
      <c r="F5">
        <f>IF(Mo_Calculations!T10&gt;SUM($E$30:$G$30),((Mo_Calculations!U10^2+$E$31^2+$F$31^2+$G$31^2)^0.5)*Mo_Calculations!A10,"LLD")</f>
        <v>0.29214850960229721</v>
      </c>
      <c r="G5" s="12">
        <f>IF(Mo_Calculations!T10&gt;SUM($E$30:$G$30),F5/E5,"LLD")</f>
        <v>4.9378577243657719E-2</v>
      </c>
      <c r="H5" s="13">
        <f>IF(Mo_Calculations!W10&gt;SUM($H$30:$J$30),(Mo_Calculations!W10-SUM($H$30:$J$30))*Mo_Calculations!A10,"LLD")</f>
        <v>2.5427434300485059</v>
      </c>
      <c r="I5">
        <f>IF(Mo_Calculations!W10&gt;SUM($H$30:$J$30),((Mo_Calculations!X10^2+$H$31^2+$I$31^2+$J$31^2)^0.5)*Mo_Calculations!A10,"LLD")</f>
        <v>0.18121635610995809</v>
      </c>
      <c r="J5" s="12">
        <f>IF(Mo_Calculations!W10&gt;SUM($H$30:$J$30),I5/H5,"LLD")</f>
        <v>7.1268046145930339E-2</v>
      </c>
      <c r="K5" s="13"/>
      <c r="M5" s="42">
        <f t="shared" si="0"/>
        <v>1.4902929541873285E-2</v>
      </c>
      <c r="N5" s="42">
        <f t="shared" si="1"/>
        <v>8.5350751662843546E-2</v>
      </c>
      <c r="O5" s="42">
        <f t="shared" si="2"/>
        <v>3.2839367721771144E-2</v>
      </c>
      <c r="P5" s="12"/>
      <c r="Q5">
        <f t="shared" si="3"/>
        <v>11.141663502960075</v>
      </c>
      <c r="R5">
        <f t="shared" si="4"/>
        <v>0.36481920032598064</v>
      </c>
      <c r="S5" s="12">
        <f t="shared" si="5"/>
        <v>3.274369219902009E-2</v>
      </c>
    </row>
    <row r="6" spans="1:19" x14ac:dyDescent="0.25">
      <c r="A6" t="str">
        <f>Mo_Calculations!B11</f>
        <v>30G Trace Waste</v>
      </c>
      <c r="B6" s="59">
        <f>IF(Mo_Calculations!Q11&gt;SUM($B$30:$D$30),(Mo_Calculations!Q11-SUM($B$30:$D$30))*Mo_Calculations!A11,"LLD")</f>
        <v>48.12382489499295</v>
      </c>
      <c r="C6">
        <f>IF(Mo_Calculations!Q11&gt;SUM($B$30:$D$30),((Mo_Calculations!R11^2+$B$31^2+$C$31^2+$D$31^2)^0.5)*Mo_Calculations!A11,"LLD")</f>
        <v>1.0367620653184835</v>
      </c>
      <c r="D6" s="12">
        <f>IF(Mo_Calculations!Q11&gt;SUM($B$30:$D$30),C6/B6,"LLD")</f>
        <v>2.1543633898193189E-2</v>
      </c>
      <c r="E6" s="13">
        <f>IF(Mo_Calculations!T11&gt;SUM($E$30:$G$30),(Mo_Calculations!T11-SUM($E$30:$G$30))*Mo_Calculations!A11,"LLD")</f>
        <v>64.815781766905332</v>
      </c>
      <c r="F6">
        <f>IF(Mo_Calculations!T11&gt;SUM($E$30:$G$30),((Mo_Calculations!U11^2+$E$31^2+$F$31^2+$G$31^2)^0.5)*Mo_Calculations!A11,"LLD")</f>
        <v>1.3728862710471248</v>
      </c>
      <c r="G6" s="12">
        <f>IF(Mo_Calculations!T11&gt;SUM($E$30:$G$30),F6/E6,"LLD")</f>
        <v>2.1181357898056162E-2</v>
      </c>
      <c r="H6" s="13">
        <f>IF(Mo_Calculations!W11&gt;SUM($H$30:$J$30),(Mo_Calculations!W11-SUM($H$30:$J$30))*Mo_Calculations!A11,"LLD")</f>
        <v>58.330982368155944</v>
      </c>
      <c r="I6">
        <f>IF(Mo_Calculations!W11&gt;SUM($H$30:$J$30),((Mo_Calculations!X11^2+$H$31^2+$I$31^2+$J$31^2)^0.5)*Mo_Calculations!A11,"LLD")</f>
        <v>1.3697516186244718</v>
      </c>
      <c r="J6" s="12">
        <f>IF(Mo_Calculations!W11&gt;SUM($H$30:$J$30),I6/H6,"LLD")</f>
        <v>2.3482402713180549E-2</v>
      </c>
      <c r="K6" s="13"/>
      <c r="M6" s="42">
        <f t="shared" si="0"/>
        <v>1.0748755800834473</v>
      </c>
      <c r="N6" s="42">
        <f t="shared" si="1"/>
        <v>1.8848167132296794</v>
      </c>
      <c r="O6" s="42">
        <f t="shared" si="2"/>
        <v>1.8762194967243604</v>
      </c>
      <c r="P6" s="12"/>
      <c r="Q6">
        <f t="shared" si="3"/>
        <v>171.27058903005423</v>
      </c>
      <c r="R6">
        <f t="shared" si="4"/>
        <v>2.1990706650850234</v>
      </c>
      <c r="S6" s="12">
        <f t="shared" si="5"/>
        <v>1.2839744859516626E-2</v>
      </c>
    </row>
    <row r="7" spans="1:19" x14ac:dyDescent="0.25">
      <c r="A7" t="str">
        <f>Mo_Calculations!B12</f>
        <v>30G Trace Original</v>
      </c>
      <c r="B7" s="59">
        <f>IF(Mo_Calculations!Q12&gt;SUM($B$30:$D$30),(Mo_Calculations!Q12-SUM($B$30:$D$30))*Mo_Calculations!A12,"LLD")</f>
        <v>32.483606211645416</v>
      </c>
      <c r="C7">
        <f>IF(Mo_Calculations!Q12&gt;SUM($B$30:$D$30),((Mo_Calculations!R12^2+$B$31^2+$C$31^2+$D$31^2)^0.5)*Mo_Calculations!A12,"LLD")</f>
        <v>0.68605761484264693</v>
      </c>
      <c r="D7" s="12">
        <f>IF(Mo_Calculations!Q12&gt;SUM($B$30:$D$30),C7/B7,"LLD")</f>
        <v>2.1120118572201332E-2</v>
      </c>
      <c r="E7" s="13">
        <f>IF(Mo_Calculations!T12&gt;SUM($E$30:$G$30),(Mo_Calculations!T12-SUM($E$30:$G$30))*Mo_Calculations!A12,"LLD")</f>
        <v>45.828748986972457</v>
      </c>
      <c r="F7">
        <f>IF(Mo_Calculations!T12&gt;SUM($E$30:$G$30),((Mo_Calculations!U12^2+$E$31^2+$F$31^2+$G$31^2)^0.5)*Mo_Calculations!A12,"LLD")</f>
        <v>0.96389211438706701</v>
      </c>
      <c r="G7" s="12">
        <f>IF(Mo_Calculations!T12&gt;SUM($E$30:$G$30),F7/E7,"LLD")</f>
        <v>2.1032477117389099E-2</v>
      </c>
      <c r="H7" s="13">
        <f>IF(Mo_Calculations!W12&gt;SUM($H$30:$J$30),(Mo_Calculations!W12-SUM($H$30:$J$30))*Mo_Calculations!A12,"LLD")</f>
        <v>40.866164715664368</v>
      </c>
      <c r="I7">
        <f>IF(Mo_Calculations!W12&gt;SUM($H$30:$J$30),((Mo_Calculations!X12^2+$H$31^2+$I$31^2+$J$31^2)^0.5)*Mo_Calculations!A12,"LLD")</f>
        <v>0.94633079891925276</v>
      </c>
      <c r="J7" s="12">
        <f>IF(Mo_Calculations!W12&gt;SUM($H$30:$J$30),I7/H7,"LLD")</f>
        <v>2.3156829262143009E-2</v>
      </c>
      <c r="K7" s="13"/>
      <c r="M7" s="42">
        <f t="shared" si="0"/>
        <v>0.47067505088358169</v>
      </c>
      <c r="N7" s="42">
        <f t="shared" si="1"/>
        <v>0.92908800817757065</v>
      </c>
      <c r="O7" s="42">
        <f t="shared" si="2"/>
        <v>0.89554198098315119</v>
      </c>
      <c r="P7" s="12"/>
      <c r="Q7">
        <f t="shared" si="3"/>
        <v>119.17851991428223</v>
      </c>
      <c r="R7">
        <f t="shared" si="4"/>
        <v>1.5150264156259134</v>
      </c>
      <c r="S7" s="12">
        <f t="shared" si="5"/>
        <v>1.2712243923784073E-2</v>
      </c>
    </row>
    <row r="8" spans="1:19" x14ac:dyDescent="0.25">
      <c r="A8" t="str">
        <f>Mo_Calculations!B13</f>
        <v>42G taper</v>
      </c>
      <c r="B8" s="59" t="str">
        <f>IF(Mo_Calculations!Q13&gt;SUM($B$30:$D$30),(Mo_Calculations!Q13-SUM($B$30:$D$30))*Mo_Calculations!A13,"LLD")</f>
        <v>LLD</v>
      </c>
      <c r="C8" t="str">
        <f>IF(Mo_Calculations!Q13&gt;SUM($B$30:$D$30),((Mo_Calculations!R13^2+$B$31^2+$C$31^2+$D$31^2)^0.5)*Mo_Calculations!A13,"LLD")</f>
        <v>LLD</v>
      </c>
      <c r="D8" s="12" t="str">
        <f>IF(Mo_Calculations!Q13&gt;SUM($B$30:$D$30),C8/B8,"LLD")</f>
        <v>LLD</v>
      </c>
      <c r="E8" s="13" t="str">
        <f>IF(Mo_Calculations!T13&gt;SUM($E$30:$G$30),(Mo_Calculations!T13-SUM($E$30:$G$30))*Mo_Calculations!A13,"LLD")</f>
        <v>LLD</v>
      </c>
      <c r="F8" t="str">
        <f>IF(Mo_Calculations!T13&gt;SUM($E$30:$G$30),((Mo_Calculations!U13^2+$E$31^2+$F$31^2+$G$31^2)^0.5)*Mo_Calculations!A13,"LLD")</f>
        <v>LLD</v>
      </c>
      <c r="G8" s="12" t="str">
        <f>IF(Mo_Calculations!T13&gt;SUM($E$30:$G$30),F8/E8,"LLD")</f>
        <v>LLD</v>
      </c>
      <c r="H8" s="13">
        <f>IF(Mo_Calculations!W13&gt;SUM($H$30:$J$30),(Mo_Calculations!W13-SUM($H$30:$J$30))*Mo_Calculations!A13,"LLD")</f>
        <v>5.1726530603697363E-3</v>
      </c>
      <c r="I8">
        <f>IF(Mo_Calculations!W13&gt;SUM($H$30:$J$30),((Mo_Calculations!X13^2+$H$31^2+$I$31^2+$J$31^2)^0.5)*Mo_Calculations!A13,"LLD")</f>
        <v>0.1662557342261361</v>
      </c>
      <c r="J8" s="12">
        <f>IF(Mo_Calculations!W13&gt;SUM($H$30:$J$30),I8/H8,"LLD")</f>
        <v>32.141288481128541</v>
      </c>
      <c r="K8" s="13"/>
      <c r="M8" s="42" t="str">
        <f t="shared" si="0"/>
        <v>LLD</v>
      </c>
      <c r="N8" s="42" t="str">
        <f t="shared" si="1"/>
        <v>LLD</v>
      </c>
      <c r="O8" s="42">
        <f t="shared" si="2"/>
        <v>2.7640969163071603E-2</v>
      </c>
      <c r="P8" s="12"/>
      <c r="Q8">
        <f t="shared" si="3"/>
        <v>5.1726530603697363E-3</v>
      </c>
      <c r="R8">
        <f t="shared" si="4"/>
        <v>0.1662557342261361</v>
      </c>
      <c r="S8" s="12">
        <f t="shared" si="5"/>
        <v>32.141288481128541</v>
      </c>
    </row>
    <row r="9" spans="1:19" x14ac:dyDescent="0.25">
      <c r="A9" t="str">
        <f>Mo_Calculations!B14</f>
        <v>70G</v>
      </c>
      <c r="B9" s="59">
        <f>IF(Mo_Calculations!Q14&gt;SUM($B$30:$D$30),(Mo_Calculations!Q14-SUM($B$30:$D$30))*Mo_Calculations!A14,"LLD")</f>
        <v>4.0754655316715596</v>
      </c>
      <c r="C9">
        <f>IF(Mo_Calculations!Q14&gt;SUM($B$30:$D$30),((Mo_Calculations!R14^2+$B$31^2+$C$31^2+$D$31^2)^0.5)*Mo_Calculations!A14,"LLD")</f>
        <v>0.14242673523331983</v>
      </c>
      <c r="D9" s="12">
        <f>IF(Mo_Calculations!Q14&gt;SUM($B$30:$D$30),C9/B9,"LLD")</f>
        <v>3.4947353652357661E-2</v>
      </c>
      <c r="E9" s="13">
        <f>IF(Mo_Calculations!T14&gt;SUM($E$30:$G$30),(Mo_Calculations!T14-SUM($E$30:$G$30))*Mo_Calculations!A14,"LLD")</f>
        <v>9.6419821515302964</v>
      </c>
      <c r="F9">
        <f>IF(Mo_Calculations!T14&gt;SUM($E$30:$G$30),((Mo_Calculations!U14^2+$E$31^2+$F$31^2+$G$31^2)^0.5)*Mo_Calculations!A14,"LLD")</f>
        <v>0.33995247036624154</v>
      </c>
      <c r="G9" s="12">
        <f>IF(Mo_Calculations!T14&gt;SUM($E$30:$G$30),F9/E9,"LLD")</f>
        <v>3.525752952283645E-2</v>
      </c>
      <c r="H9" s="13">
        <f>IF(Mo_Calculations!W14&gt;SUM($H$30:$J$30),(Mo_Calculations!W14-SUM($H$30:$J$30))*Mo_Calculations!A14,"LLD")</f>
        <v>4.2205723225378247</v>
      </c>
      <c r="I9">
        <f>IF(Mo_Calculations!W14&gt;SUM($H$30:$J$30),((Mo_Calculations!X14^2+$H$31^2+$I$31^2+$J$31^2)^0.5)*Mo_Calculations!A14,"LLD")</f>
        <v>0.20101437950032239</v>
      </c>
      <c r="J9" s="12">
        <f>IF(Mo_Calculations!W14&gt;SUM($H$30:$J$30),I9/H9,"LLD")</f>
        <v>4.7627279937108788E-2</v>
      </c>
      <c r="K9" s="13"/>
      <c r="M9" s="42">
        <f t="shared" si="0"/>
        <v>2.0285374909222189E-2</v>
      </c>
      <c r="N9" s="42">
        <f t="shared" si="1"/>
        <v>0.11556768210811033</v>
      </c>
      <c r="O9" s="42">
        <f t="shared" si="2"/>
        <v>4.0406780765899632E-2</v>
      </c>
      <c r="P9" s="12"/>
      <c r="Q9">
        <f t="shared" si="3"/>
        <v>17.938020005739681</v>
      </c>
      <c r="R9">
        <f t="shared" si="4"/>
        <v>0.41983310705949828</v>
      </c>
      <c r="S9" s="12">
        <f t="shared" si="5"/>
        <v>2.3404651512550608E-2</v>
      </c>
    </row>
    <row r="10" spans="1:19" x14ac:dyDescent="0.25">
      <c r="A10" t="str">
        <f>Mo_Calculations!B15</f>
        <v>71G</v>
      </c>
      <c r="B10" s="59">
        <f>IF(Mo_Calculations!Q15&gt;SUM($B$30:$D$30),(Mo_Calculations!Q15-SUM($B$30:$D$30))*Mo_Calculations!A15,"LLD")</f>
        <v>3.1400518608862029</v>
      </c>
      <c r="C10">
        <f>IF(Mo_Calculations!Q15&gt;SUM($B$30:$D$30),((Mo_Calculations!R15^2+$B$31^2+$C$31^2+$D$31^2)^0.5)*Mo_Calculations!A15,"LLD")</f>
        <v>0.12731051286788239</v>
      </c>
      <c r="D10" s="12">
        <f>IF(Mo_Calculations!Q15&gt;SUM($B$30:$D$30),C10/B10,"LLD")</f>
        <v>4.0544079686617697E-2</v>
      </c>
      <c r="E10" s="13">
        <f>IF(Mo_Calculations!T15&gt;SUM($E$30:$G$30),(Mo_Calculations!T15-SUM($E$30:$G$30))*Mo_Calculations!A15,"LLD")</f>
        <v>7.2300142407207257</v>
      </c>
      <c r="F10">
        <f>IF(Mo_Calculations!T15&gt;SUM($E$30:$G$30),((Mo_Calculations!U15^2+$E$31^2+$F$31^2+$G$31^2)^0.5)*Mo_Calculations!A15,"LLD")</f>
        <v>0.30551436914757929</v>
      </c>
      <c r="G10" s="12">
        <f>IF(Mo_Calculations!T15&gt;SUM($E$30:$G$30),F10/E10,"LLD")</f>
        <v>4.2256399361825327E-2</v>
      </c>
      <c r="H10" s="13">
        <f>IF(Mo_Calculations!W15&gt;SUM($H$30:$J$30),(Mo_Calculations!W15-SUM($H$30:$J$30))*Mo_Calculations!A15,"LLD")</f>
        <v>3.1257031206718686</v>
      </c>
      <c r="I10">
        <f>IF(Mo_Calculations!W15&gt;SUM($H$30:$J$30),((Mo_Calculations!X15^2+$H$31^2+$I$31^2+$J$31^2)^0.5)*Mo_Calculations!A15,"LLD")</f>
        <v>0.18667118110611788</v>
      </c>
      <c r="J10" s="12">
        <f>IF(Mo_Calculations!W15&gt;SUM($H$30:$J$30),I10/H10,"LLD")</f>
        <v>5.9721340735006526E-2</v>
      </c>
      <c r="K10" s="13"/>
      <c r="M10" s="42">
        <f t="shared" si="0"/>
        <v>1.6207966686683249E-2</v>
      </c>
      <c r="N10" s="42">
        <f t="shared" si="1"/>
        <v>9.3339029755643343E-2</v>
      </c>
      <c r="O10" s="42">
        <f t="shared" si="2"/>
        <v>3.4846129855553062E-2</v>
      </c>
      <c r="P10" s="12"/>
      <c r="Q10">
        <f t="shared" si="3"/>
        <v>13.495769222278797</v>
      </c>
      <c r="R10">
        <f t="shared" si="4"/>
        <v>0.37999095554747042</v>
      </c>
      <c r="S10" s="12">
        <f t="shared" si="5"/>
        <v>2.8156302118754511E-2</v>
      </c>
    </row>
    <row r="11" spans="1:19" x14ac:dyDescent="0.25">
      <c r="A11" t="str">
        <f>Mo_Calculations!B16</f>
        <v>72G</v>
      </c>
      <c r="B11" s="59">
        <f>IF(Mo_Calculations!Q16&gt;SUM($B$30:$D$30),(Mo_Calculations!Q16-SUM($B$30:$D$30))*Mo_Calculations!A16,"LLD")</f>
        <v>3.6085856896311506</v>
      </c>
      <c r="C11">
        <f>IF(Mo_Calculations!Q16&gt;SUM($B$30:$D$30),((Mo_Calculations!R16^2+$B$31^2+$C$31^2+$D$31^2)^0.5)*Mo_Calculations!A16,"LLD")</f>
        <v>0.1346596382159185</v>
      </c>
      <c r="D11" s="12">
        <f>IF(Mo_Calculations!Q16&gt;SUM($B$30:$D$30),C11/B11,"LLD")</f>
        <v>3.7316458523583694E-2</v>
      </c>
      <c r="E11" s="13">
        <f>IF(Mo_Calculations!T16&gt;SUM($E$30:$G$30),(Mo_Calculations!T16-SUM($E$30:$G$30))*Mo_Calculations!A16,"LLD")</f>
        <v>9.2896497257620361</v>
      </c>
      <c r="F11">
        <f>IF(Mo_Calculations!T16&gt;SUM($E$30:$G$30),((Mo_Calculations!U16^2+$E$31^2+$F$31^2+$G$31^2)^0.5)*Mo_Calculations!A16,"LLD")</f>
        <v>0.33304916472499713</v>
      </c>
      <c r="G11" s="12">
        <f>IF(Mo_Calculations!T16&gt;SUM($E$30:$G$30),F11/E11,"LLD")</f>
        <v>3.5851638603916991E-2</v>
      </c>
      <c r="H11" s="13">
        <f>IF(Mo_Calculations!W16&gt;SUM($H$30:$J$30),(Mo_Calculations!W16-SUM($H$30:$J$30))*Mo_Calculations!A16,"LLD")</f>
        <v>3.606737586602784</v>
      </c>
      <c r="I11">
        <f>IF(Mo_Calculations!W16&gt;SUM($H$30:$J$30),((Mo_Calculations!X16^2+$H$31^2+$I$31^2+$J$31^2)^0.5)*Mo_Calculations!A16,"LLD")</f>
        <v>0.19271486150542502</v>
      </c>
      <c r="J11" s="12">
        <f>IF(Mo_Calculations!W16&gt;SUM($H$30:$J$30),I11/H11,"LLD")</f>
        <v>5.3431905393190732E-2</v>
      </c>
      <c r="K11" s="13"/>
      <c r="M11" s="42">
        <f t="shared" si="0"/>
        <v>1.813321816444206E-2</v>
      </c>
      <c r="N11" s="42">
        <f t="shared" si="1"/>
        <v>0.11092174612401827</v>
      </c>
      <c r="O11" s="42">
        <f t="shared" si="2"/>
        <v>3.7139017845055147E-2</v>
      </c>
      <c r="P11" s="12"/>
      <c r="Q11">
        <f t="shared" si="3"/>
        <v>16.504973001995971</v>
      </c>
      <c r="R11">
        <f t="shared" si="4"/>
        <v>0.4076689614546532</v>
      </c>
      <c r="S11" s="12">
        <f t="shared" si="5"/>
        <v>2.4699765422539811E-2</v>
      </c>
    </row>
    <row r="12" spans="1:19" x14ac:dyDescent="0.25">
      <c r="A12" t="str">
        <f>Mo_Calculations!B17</f>
        <v>73G</v>
      </c>
      <c r="B12" s="59">
        <f>IF(Mo_Calculations!Q17&gt;SUM($B$30:$D$30),(Mo_Calculations!Q17-SUM($B$30:$D$30))*Mo_Calculations!A17,"LLD")</f>
        <v>3.5439358295027295</v>
      </c>
      <c r="C12">
        <f>IF(Mo_Calculations!Q17&gt;SUM($B$30:$D$30),((Mo_Calculations!R17^2+$B$31^2+$C$31^2+$D$31^2)^0.5)*Mo_Calculations!A17,"LLD")</f>
        <v>0.1338317905451489</v>
      </c>
      <c r="D12" s="12">
        <f>IF(Mo_Calculations!Q17&gt;SUM($B$30:$D$30),C12/B12,"LLD")</f>
        <v>3.7763604360727836E-2</v>
      </c>
      <c r="E12" s="13">
        <f>IF(Mo_Calculations!T17&gt;SUM($E$30:$G$30),(Mo_Calculations!T17-SUM($E$30:$G$30))*Mo_Calculations!A17,"LLD")</f>
        <v>8.6964270581101779</v>
      </c>
      <c r="F12">
        <f>IF(Mo_Calculations!T17&gt;SUM($E$30:$G$30),((Mo_Calculations!U17^2+$E$31^2+$F$31^2+$G$31^2)^0.5)*Mo_Calculations!A17,"LLD")</f>
        <v>0.32545830376855867</v>
      </c>
      <c r="G12" s="12">
        <f>IF(Mo_Calculations!T17&gt;SUM($E$30:$G$30),F12/E12,"LLD")</f>
        <v>3.7424369984802017E-2</v>
      </c>
      <c r="H12" s="13">
        <f>IF(Mo_Calculations!W17&gt;SUM($H$30:$J$30),(Mo_Calculations!W17-SUM($H$30:$J$30))*Mo_Calculations!A17,"LLD")</f>
        <v>3.6710929685330242</v>
      </c>
      <c r="I12">
        <f>IF(Mo_Calculations!W17&gt;SUM($H$30:$J$30),((Mo_Calculations!X17^2+$H$31^2+$I$31^2+$J$31^2)^0.5)*Mo_Calculations!A17,"LLD")</f>
        <v>0.19351946587046984</v>
      </c>
      <c r="J12" s="12">
        <f>IF(Mo_Calculations!W17&gt;SUM($H$30:$J$30),I12/H12,"LLD")</f>
        <v>5.271440073276068E-2</v>
      </c>
      <c r="K12" s="13"/>
      <c r="M12" s="42">
        <f t="shared" si="0"/>
        <v>1.7910948160520607E-2</v>
      </c>
      <c r="N12" s="42">
        <f t="shared" si="1"/>
        <v>0.10592310749190741</v>
      </c>
      <c r="O12" s="42">
        <f t="shared" si="2"/>
        <v>3.7449783670791943E-2</v>
      </c>
      <c r="P12" s="12"/>
      <c r="Q12">
        <f t="shared" si="3"/>
        <v>15.911455856145931</v>
      </c>
      <c r="R12">
        <f t="shared" si="4"/>
        <v>0.40160159277973484</v>
      </c>
      <c r="S12" s="12">
        <f t="shared" si="5"/>
        <v>2.5239776699918563E-2</v>
      </c>
    </row>
    <row r="13" spans="1:19" x14ac:dyDescent="0.25">
      <c r="A13" t="str">
        <f>Mo_Calculations!B18</f>
        <v xml:space="preserve">74G </v>
      </c>
      <c r="B13" s="59">
        <f>IF(Mo_Calculations!Q18&gt;SUM($B$30:$D$30),(Mo_Calculations!Q18-SUM($B$30:$D$30))*Mo_Calculations!A18,"LLD")</f>
        <v>2.0162239832920177</v>
      </c>
      <c r="C13">
        <f>IF(Mo_Calculations!Q18&gt;SUM($B$30:$D$30),((Mo_Calculations!R18^2+$B$31^2+$C$31^2+$D$31^2)^0.5)*Mo_Calculations!A18,"LLD")</f>
        <v>0.11360521482944505</v>
      </c>
      <c r="D13" s="12">
        <f>IF(Mo_Calculations!Q18&gt;SUM($B$30:$D$30),C13/B13,"LLD")</f>
        <v>5.6345532922366375E-2</v>
      </c>
      <c r="E13" s="13">
        <f>IF(Mo_Calculations!T18&gt;SUM($E$30:$G$30),(Mo_Calculations!T18-SUM($E$30:$G$30))*Mo_Calculations!A18,"LLD")</f>
        <v>4.7238963640336031</v>
      </c>
      <c r="F13">
        <f>IF(Mo_Calculations!T18&gt;SUM($E$30:$G$30),((Mo_Calculations!U18^2+$E$31^2+$F$31^2+$G$31^2)^0.5)*Mo_Calculations!A18,"LLD")</f>
        <v>0.27878203626342468</v>
      </c>
      <c r="G13" s="12">
        <f>IF(Mo_Calculations!T18&gt;SUM($E$30:$G$30),F13/E13,"LLD")</f>
        <v>5.9015273575007153E-2</v>
      </c>
      <c r="H13" s="13">
        <f>IF(Mo_Calculations!W18&gt;SUM($H$30:$J$30),(Mo_Calculations!W18-SUM($H$30:$J$30))*Mo_Calculations!A18,"LLD")</f>
        <v>1.9557370825047149</v>
      </c>
      <c r="I13">
        <f>IF(Mo_Calculations!W18&gt;SUM($H$30:$J$30),((Mo_Calculations!X18^2+$H$31^2+$I$31^2+$J$31^2)^0.5)*Mo_Calculations!A18,"LLD")</f>
        <v>0.17555723226378131</v>
      </c>
      <c r="J13" s="12">
        <f>IF(Mo_Calculations!W18&gt;SUM($H$30:$J$30),I13/H13,"LLD")</f>
        <v>8.9765252105842852E-2</v>
      </c>
      <c r="K13" s="13"/>
      <c r="M13" s="42">
        <f t="shared" si="0"/>
        <v>1.2906144836444361E-2</v>
      </c>
      <c r="N13" s="42">
        <f t="shared" si="1"/>
        <v>7.7719423743181429E-2</v>
      </c>
      <c r="O13" s="42">
        <f t="shared" si="2"/>
        <v>3.0820341800119257E-2</v>
      </c>
      <c r="P13" s="12"/>
      <c r="Q13">
        <f t="shared" si="3"/>
        <v>8.6958574298303351</v>
      </c>
      <c r="R13">
        <f t="shared" si="4"/>
        <v>0.34849090429987561</v>
      </c>
      <c r="S13" s="12">
        <f t="shared" si="5"/>
        <v>4.007550803494199E-2</v>
      </c>
    </row>
    <row r="14" spans="1:19" x14ac:dyDescent="0.25">
      <c r="A14" t="str">
        <f>Mo_Calculations!B19</f>
        <v xml:space="preserve">75G trace waste </v>
      </c>
      <c r="B14" s="59" t="e">
        <f>IF(Mo_Calculations!Q19&gt;SUM($B$30:$D$30),(Mo_Calculations!Q19-SUM($B$30:$D$30))*Mo_Calculations!A19,"LLD")</f>
        <v>#VALUE!</v>
      </c>
      <c r="C14" t="e">
        <f>IF(Mo_Calculations!Q19&gt;SUM($B$30:$D$30),((Mo_Calculations!R19^2+$B$31^2+$C$31^2+$D$31^2)^0.5)*Mo_Calculations!A19,"LLD")</f>
        <v>#VALUE!</v>
      </c>
      <c r="D14" s="12" t="e">
        <f>IF(Mo_Calculations!Q19&gt;SUM($B$30:$D$30),C14/B14,"LLD")</f>
        <v>#VALUE!</v>
      </c>
      <c r="E14" s="13" t="e">
        <f>IF(Mo_Calculations!T19&gt;SUM($E$30:$G$30),(Mo_Calculations!T19-SUM($E$30:$G$30))*Mo_Calculations!A19,"LLD")</f>
        <v>#VALUE!</v>
      </c>
      <c r="F14" t="e">
        <f>IF(Mo_Calculations!T19&gt;SUM($E$30:$G$30),((Mo_Calculations!U19^2+$E$31^2+$F$31^2+$G$31^2)^0.5)*Mo_Calculations!A19,"LLD")</f>
        <v>#VALUE!</v>
      </c>
      <c r="G14" s="12" t="e">
        <f>IF(Mo_Calculations!T19&gt;SUM($E$30:$G$30),F14/E14,"LLD")</f>
        <v>#VALUE!</v>
      </c>
      <c r="H14" s="13" t="e">
        <f>IF(Mo_Calculations!W19&gt;SUM($H$30:$J$30),(Mo_Calculations!W19-SUM($H$30:$J$30))*Mo_Calculations!A19,"LLD")</f>
        <v>#VALUE!</v>
      </c>
      <c r="I14" t="e">
        <f>IF(Mo_Calculations!W19&gt;SUM($H$30:$J$30),((Mo_Calculations!X19^2+$H$31^2+$I$31^2+$J$31^2)^0.5)*Mo_Calculations!A19,"LLD")</f>
        <v>#VALUE!</v>
      </c>
      <c r="J14" s="12" t="e">
        <f>IF(Mo_Calculations!W19&gt;SUM($H$30:$J$30),I14/H14,"LLD")</f>
        <v>#VALUE!</v>
      </c>
      <c r="K14" s="13"/>
      <c r="M14" s="42" t="e">
        <f t="shared" si="0"/>
        <v>#VALUE!</v>
      </c>
      <c r="N14" s="42" t="e">
        <f t="shared" si="1"/>
        <v>#VALUE!</v>
      </c>
      <c r="O14" s="42" t="e">
        <f t="shared" si="2"/>
        <v>#VALUE!</v>
      </c>
      <c r="P14" s="12"/>
      <c r="Q14" t="e">
        <f t="shared" si="3"/>
        <v>#VALUE!</v>
      </c>
      <c r="R14" t="e">
        <f t="shared" si="4"/>
        <v>#VALUE!</v>
      </c>
      <c r="S14" s="12" t="e">
        <f t="shared" si="5"/>
        <v>#VALUE!</v>
      </c>
    </row>
    <row r="15" spans="1:19" x14ac:dyDescent="0.25">
      <c r="A15" t="str">
        <f>Mo_Calculations!B20</f>
        <v>81G trace</v>
      </c>
      <c r="B15" s="59">
        <f>IF(Mo_Calculations!Q20&gt;SUM($B$30:$D$30),(Mo_Calculations!Q20-SUM($B$30:$D$30))*Mo_Calculations!A20,"LLD")</f>
        <v>7.969947229889895</v>
      </c>
      <c r="C15">
        <f>IF(Mo_Calculations!Q20&gt;SUM($B$30:$D$30),((Mo_Calculations!R20^2+$B$31^2+$C$31^2+$D$31^2)^0.5)*Mo_Calculations!A20,"LLD")</f>
        <v>0.22732973235800361</v>
      </c>
      <c r="D15" s="12">
        <f>IF(Mo_Calculations!Q20&gt;SUM($B$30:$D$30),C15/B15,"LLD")</f>
        <v>2.8523367319854158E-2</v>
      </c>
      <c r="E15" s="13">
        <f>IF(Mo_Calculations!T20&gt;SUM($E$30:$G$30),(Mo_Calculations!T20-SUM($E$30:$G$30))*Mo_Calculations!A20,"LLD")</f>
        <v>20.326682336510725</v>
      </c>
      <c r="F15">
        <f>IF(Mo_Calculations!T20&gt;SUM($E$30:$G$30),((Mo_Calculations!U20^2+$E$31^2+$F$31^2+$G$31^2)^0.5)*Mo_Calculations!A20,"LLD")</f>
        <v>0.55773998714834727</v>
      </c>
      <c r="G15" s="12">
        <f>IF(Mo_Calculations!T20&gt;SUM($E$30:$G$30),F15/E15,"LLD")</f>
        <v>2.7438810619209431E-2</v>
      </c>
      <c r="H15" s="13">
        <f>IF(Mo_Calculations!W20&gt;SUM($H$30:$J$30),(Mo_Calculations!W20-SUM($H$30:$J$30))*Mo_Calculations!A20,"LLD")</f>
        <v>8.2500714771794428</v>
      </c>
      <c r="I15">
        <f>IF(Mo_Calculations!W20&gt;SUM($H$30:$J$30),((Mo_Calculations!X20^2+$H$31^2+$I$31^2+$J$31^2)^0.5)*Mo_Calculations!A20,"LLD")</f>
        <v>0.28032297545562085</v>
      </c>
      <c r="J15" s="12">
        <f>IF(Mo_Calculations!W20&gt;SUM($H$30:$J$30),I15/H15,"LLD")</f>
        <v>3.3978248095307223E-2</v>
      </c>
      <c r="K15" s="13"/>
      <c r="M15" s="42">
        <f t="shared" si="0"/>
        <v>5.167880721396155E-2</v>
      </c>
      <c r="N15" s="42">
        <f t="shared" si="1"/>
        <v>0.31107389326423857</v>
      </c>
      <c r="O15" s="42">
        <f t="shared" si="2"/>
        <v>7.8580970568292607E-2</v>
      </c>
      <c r="P15" s="12"/>
      <c r="Q15">
        <f t="shared" si="3"/>
        <v>36.546701043580057</v>
      </c>
      <c r="R15">
        <f t="shared" si="4"/>
        <v>0.66432948982149864</v>
      </c>
      <c r="S15" s="12">
        <f t="shared" si="5"/>
        <v>1.8177550116748431E-2</v>
      </c>
    </row>
    <row r="16" spans="1:19" x14ac:dyDescent="0.25">
      <c r="A16" t="str">
        <f>Mo_Calculations!B21</f>
        <v>82G trace</v>
      </c>
      <c r="B16" s="59">
        <f>IF(Mo_Calculations!Q21&gt;SUM($B$30:$D$30),(Mo_Calculations!Q21-SUM($B$30:$D$30))*Mo_Calculations!A21,"LLD")</f>
        <v>2.8912642121508552</v>
      </c>
      <c r="C16">
        <f>IF(Mo_Calculations!Q21&gt;SUM($B$30:$D$30),((Mo_Calculations!R21^2+$B$31^2+$C$31^2+$D$31^2)^0.5)*Mo_Calculations!A21,"LLD")</f>
        <v>0.12420301357387538</v>
      </c>
      <c r="D16" s="12">
        <f>IF(Mo_Calculations!Q21&gt;SUM($B$30:$D$30),C16/B16,"LLD")</f>
        <v>4.2958029588544201E-2</v>
      </c>
      <c r="E16" s="13">
        <f>IF(Mo_Calculations!T21&gt;SUM($E$30:$G$30),(Mo_Calculations!T21-SUM($E$30:$G$30))*Mo_Calculations!A21,"LLD")</f>
        <v>7.4157325564692353</v>
      </c>
      <c r="F16">
        <f>IF(Mo_Calculations!T21&gt;SUM($E$30:$G$30),((Mo_Calculations!U21^2+$E$31^2+$F$31^2+$G$31^2)^0.5)*Mo_Calculations!A21,"LLD")</f>
        <v>0.3076352101060128</v>
      </c>
      <c r="G16" s="12">
        <f>IF(Mo_Calculations!T21&gt;SUM($E$30:$G$30),F16/E16,"LLD")</f>
        <v>4.1484129553410368E-2</v>
      </c>
      <c r="H16" s="13">
        <f>IF(Mo_Calculations!W21&gt;SUM($H$30:$J$30),(Mo_Calculations!W21-SUM($H$30:$J$30))*Mo_Calculations!A21,"LLD")</f>
        <v>2.8737615816070363</v>
      </c>
      <c r="I16">
        <f>IF(Mo_Calculations!W21&gt;SUM($H$30:$J$30),((Mo_Calculations!X21^2+$H$31^2+$I$31^2+$J$31^2)^0.5)*Mo_Calculations!A21,"LLD")</f>
        <v>0.18411994475019805</v>
      </c>
      <c r="J16" s="12">
        <f>IF(Mo_Calculations!W21&gt;SUM($H$30:$J$30),I16/H16,"LLD")</f>
        <v>6.4069318042464865E-2</v>
      </c>
      <c r="K16" s="13"/>
      <c r="M16" s="42">
        <f t="shared" si="0"/>
        <v>1.5426388580832272E-2</v>
      </c>
      <c r="N16" s="42">
        <f t="shared" si="1"/>
        <v>9.4639422496970646E-2</v>
      </c>
      <c r="O16" s="42">
        <f t="shared" si="2"/>
        <v>3.390015405481598E-2</v>
      </c>
      <c r="P16" s="12"/>
      <c r="Q16">
        <f t="shared" si="3"/>
        <v>13.180758350227126</v>
      </c>
      <c r="R16">
        <f t="shared" si="4"/>
        <v>0.37942847169475685</v>
      </c>
      <c r="S16" s="12">
        <f t="shared" si="5"/>
        <v>2.878654335455734E-2</v>
      </c>
    </row>
    <row r="17" spans="1:19" x14ac:dyDescent="0.25">
      <c r="A17" t="str">
        <f>Mo_Calculations!B22</f>
        <v>83G Trace</v>
      </c>
      <c r="B17" s="59" t="e">
        <f>IF(Mo_Calculations!Q22&gt;SUM($B$30:$D$30),(Mo_Calculations!Q22-SUM($B$30:$D$30))*Mo_Calculations!A22,"LLD")</f>
        <v>#VALUE!</v>
      </c>
      <c r="C17" t="e">
        <f>IF(Mo_Calculations!Q22&gt;SUM($B$30:$D$30),((Mo_Calculations!R22^2+$B$31^2+$C$31^2+$D$31^2)^0.5)*Mo_Calculations!A22,"LLD")</f>
        <v>#VALUE!</v>
      </c>
      <c r="D17" s="12" t="e">
        <f>IF(Mo_Calculations!Q22&gt;SUM($B$30:$D$30),C17/B17,"LLD")</f>
        <v>#VALUE!</v>
      </c>
      <c r="E17" s="13" t="e">
        <f>IF(Mo_Calculations!T22&gt;SUM($E$30:$G$30),(Mo_Calculations!T22-SUM($E$30:$G$30))*Mo_Calculations!A22,"LLD")</f>
        <v>#VALUE!</v>
      </c>
      <c r="F17" t="e">
        <f>IF(Mo_Calculations!T22&gt;SUM($E$30:$G$30),((Mo_Calculations!U22^2+$E$31^2+$F$31^2+$G$31^2)^0.5)*Mo_Calculations!A22,"LLD")</f>
        <v>#VALUE!</v>
      </c>
      <c r="G17" s="12" t="e">
        <f>IF(Mo_Calculations!T22&gt;SUM($E$30:$G$30),F17/E17,"LLD")</f>
        <v>#VALUE!</v>
      </c>
      <c r="H17" s="13" t="e">
        <f>IF(Mo_Calculations!W22&gt;SUM($H$30:$J$30),(Mo_Calculations!W22-SUM($H$30:$J$30))*Mo_Calculations!A22,"LLD")</f>
        <v>#VALUE!</v>
      </c>
      <c r="I17" t="e">
        <f>IF(Mo_Calculations!W22&gt;SUM($H$30:$J$30),((Mo_Calculations!X22^2+$H$31^2+$I$31^2+$J$31^2)^0.5)*Mo_Calculations!A22,"LLD")</f>
        <v>#VALUE!</v>
      </c>
      <c r="J17" s="12" t="e">
        <f>IF(Mo_Calculations!W22&gt;SUM($H$30:$J$30),I17/H17,"LLD")</f>
        <v>#VALUE!</v>
      </c>
      <c r="K17" s="13"/>
      <c r="M17" s="42" t="e">
        <f t="shared" si="0"/>
        <v>#VALUE!</v>
      </c>
      <c r="N17" s="42" t="e">
        <f t="shared" si="1"/>
        <v>#VALUE!</v>
      </c>
      <c r="O17" s="42" t="e">
        <f t="shared" si="2"/>
        <v>#VALUE!</v>
      </c>
      <c r="P17" s="12"/>
      <c r="Q17" t="e">
        <f t="shared" si="3"/>
        <v>#VALUE!</v>
      </c>
      <c r="R17" t="e">
        <f t="shared" si="4"/>
        <v>#VALUE!</v>
      </c>
      <c r="S17" s="12" t="e">
        <f t="shared" si="5"/>
        <v>#VALUE!</v>
      </c>
    </row>
    <row r="18" spans="1:19" x14ac:dyDescent="0.25">
      <c r="A18" t="str">
        <f>Mo_Calculations!B23</f>
        <v>84G trace</v>
      </c>
      <c r="B18" s="59">
        <f>IF(Mo_Calculations!Q23&gt;SUM($B$30:$D$30),(Mo_Calculations!Q23-SUM($B$30:$D$30))*Mo_Calculations!A23,"LLD")</f>
        <v>3.3749133164440384</v>
      </c>
      <c r="C18">
        <f>IF(Mo_Calculations!Q23&gt;SUM($B$30:$D$30),((Mo_Calculations!R23^2+$B$31^2+$C$31^2+$D$31^2)^0.5)*Mo_Calculations!A23,"LLD")</f>
        <v>0.1308200774259283</v>
      </c>
      <c r="D18" s="12">
        <f>IF(Mo_Calculations!Q23&gt;SUM($B$30:$D$30),C18/B18,"LLD")</f>
        <v>3.876249999918998E-2</v>
      </c>
      <c r="E18" s="13">
        <f>IF(Mo_Calculations!T23&gt;SUM($E$30:$G$30),(Mo_Calculations!T23-SUM($E$30:$G$30))*Mo_Calculations!A23,"LLD")</f>
        <v>8.3584023226907025</v>
      </c>
      <c r="F18">
        <f>IF(Mo_Calculations!T23&gt;SUM($E$30:$G$30),((Mo_Calculations!U23^2+$E$31^2+$F$31^2+$G$31^2)^0.5)*Mo_Calculations!A23,"LLD")</f>
        <v>0.31976162090783478</v>
      </c>
      <c r="G18" s="12">
        <f>IF(Mo_Calculations!T23&gt;SUM($E$30:$G$30),F18/E18,"LLD")</f>
        <v>3.8256308868953613E-2</v>
      </c>
      <c r="H18" s="13">
        <f>IF(Mo_Calculations!W23&gt;SUM($H$30:$J$30),(Mo_Calculations!W23-SUM($H$30:$J$30))*Mo_Calculations!A23,"LLD")</f>
        <v>3.514047168504594</v>
      </c>
      <c r="I18">
        <f>IF(Mo_Calculations!W23&gt;SUM($H$30:$J$30),((Mo_Calculations!X23^2+$H$31^2+$I$31^2+$J$31^2)^0.5)*Mo_Calculations!A23,"LLD")</f>
        <v>0.19119776763816421</v>
      </c>
      <c r="J18" s="12">
        <f>IF(Mo_Calculations!W23&gt;SUM($H$30:$J$30),I18/H18,"LLD")</f>
        <v>5.4409562100308569E-2</v>
      </c>
      <c r="K18" s="13"/>
      <c r="M18" s="42">
        <f t="shared" si="0"/>
        <v>1.7113892657725876E-2</v>
      </c>
      <c r="N18" s="42">
        <f t="shared" si="1"/>
        <v>0.10224749420560583</v>
      </c>
      <c r="O18" s="42">
        <f t="shared" si="2"/>
        <v>3.6556586349817434E-2</v>
      </c>
      <c r="P18" s="12"/>
      <c r="Q18">
        <f t="shared" si="3"/>
        <v>15.247362807639334</v>
      </c>
      <c r="R18">
        <f t="shared" si="4"/>
        <v>0.39486449981373251</v>
      </c>
      <c r="S18" s="12">
        <f t="shared" si="5"/>
        <v>2.5897232511309754E-2</v>
      </c>
    </row>
    <row r="19" spans="1:19" x14ac:dyDescent="0.25">
      <c r="A19" t="str">
        <f>Mo_Calculations!B24</f>
        <v>86G Trace</v>
      </c>
      <c r="B19" s="59">
        <f>IF(Mo_Calculations!Q24&gt;SUM($B$30:$D$30),(Mo_Calculations!Q24-SUM($B$30:$D$30))*Mo_Calculations!A24,"LLD")</f>
        <v>11.745451524736868</v>
      </c>
      <c r="C19">
        <f>IF(Mo_Calculations!Q24&gt;SUM($B$30:$D$30),((Mo_Calculations!R24^2+$B$31^2+$C$31^2+$D$31^2)^0.5)*Mo_Calculations!A24,"LLD")</f>
        <v>0.34007433616006866</v>
      </c>
      <c r="D19" s="12">
        <f>IF(Mo_Calculations!Q24&gt;SUM($B$30:$D$30),C19/B19,"LLD")</f>
        <v>2.8953704797456674E-2</v>
      </c>
      <c r="E19" s="13">
        <f>IF(Mo_Calculations!T24&gt;SUM($E$30:$G$30),(Mo_Calculations!T24-SUM($E$30:$G$30))*Mo_Calculations!A24,"LLD")</f>
        <v>28.029826312095054</v>
      </c>
      <c r="F19">
        <f>IF(Mo_Calculations!T24&gt;SUM($E$30:$G$30),((Mo_Calculations!U24^2+$E$31^2+$F$31^2+$G$31^2)^0.5)*Mo_Calculations!A24,"LLD")</f>
        <v>0.79213935395312907</v>
      </c>
      <c r="G19" s="12">
        <f>IF(Mo_Calculations!T24&gt;SUM($E$30:$G$30),F19/E19,"LLD")</f>
        <v>2.8260587316280148E-2</v>
      </c>
      <c r="H19" s="13">
        <f>IF(Mo_Calculations!W24&gt;SUM($H$30:$J$30),(Mo_Calculations!W24-SUM($H$30:$J$30))*Mo_Calculations!A24,"LLD")</f>
        <v>11.30021443157327</v>
      </c>
      <c r="I19">
        <f>IF(Mo_Calculations!W24&gt;SUM($H$30:$J$30),((Mo_Calculations!X24^2+$H$31^2+$I$31^2+$J$31^2)^0.5)*Mo_Calculations!A24,"LLD")</f>
        <v>0.37127899762840311</v>
      </c>
      <c r="J19" s="12">
        <f>IF(Mo_Calculations!W24&gt;SUM($H$30:$J$30),I19/H19,"LLD")</f>
        <v>3.2855924980594538E-2</v>
      </c>
      <c r="K19" s="13"/>
      <c r="M19" s="42">
        <f t="shared" si="0"/>
        <v>0.11565055411471138</v>
      </c>
      <c r="N19" s="42">
        <f t="shared" si="1"/>
        <v>0.62748475608128074</v>
      </c>
      <c r="O19" s="42">
        <f t="shared" si="2"/>
        <v>0.13784809407995177</v>
      </c>
      <c r="P19" s="12"/>
      <c r="Q19">
        <f t="shared" si="3"/>
        <v>51.075492268405185</v>
      </c>
      <c r="R19">
        <f t="shared" si="4"/>
        <v>0.93860716184991044</v>
      </c>
      <c r="S19" s="12">
        <f t="shared" si="5"/>
        <v>1.8376859823836175E-2</v>
      </c>
    </row>
    <row r="20" spans="1:19" x14ac:dyDescent="0.25">
      <c r="A20" t="str">
        <f>Mo_Calculations!B25</f>
        <v>24G Taper Waste</v>
      </c>
      <c r="B20" s="59">
        <f>IF(Mo_Calculations!Q25&gt;SUM($B$30:$D$30),(Mo_Calculations!Q25-SUM($B$30:$D$30))*Mo_Calculations!A25,"LLD")</f>
        <v>43.800269650603639</v>
      </c>
      <c r="C20">
        <f>IF(Mo_Calculations!Q25&gt;SUM($B$30:$D$30),((Mo_Calculations!R25^2+$B$31^2+$C$31^2+$D$31^2)^0.5)*Mo_Calculations!A25,"LLD")</f>
        <v>0.9110697936509321</v>
      </c>
      <c r="D20" s="12">
        <f>IF(Mo_Calculations!Q25&gt;SUM($B$30:$D$30),C20/B20,"LLD")</f>
        <v>2.0800552163686876E-2</v>
      </c>
      <c r="E20" s="13">
        <f>IF(Mo_Calculations!T25&gt;SUM($E$30:$G$30),(Mo_Calculations!T25-SUM($E$30:$G$30))*Mo_Calculations!A25,"LLD")</f>
        <v>58.629618814049103</v>
      </c>
      <c r="F20">
        <f>IF(Mo_Calculations!T25&gt;SUM($E$30:$G$30),((Mo_Calculations!U25^2+$E$31^2+$F$31^2+$G$31^2)^0.5)*Mo_Calculations!A25,"LLD")</f>
        <v>1.2016462558430931</v>
      </c>
      <c r="G20" s="12">
        <f>IF(Mo_Calculations!T25&gt;SUM($E$30:$G$30),F20/E20,"LLD")</f>
        <v>2.0495549521723125E-2</v>
      </c>
      <c r="H20" s="13">
        <f>IF(Mo_Calculations!W25&gt;SUM($H$30:$J$30),(Mo_Calculations!W25-SUM($H$30:$J$30))*Mo_Calculations!A25,"LLD")</f>
        <v>53.536097273480856</v>
      </c>
      <c r="I20">
        <f>IF(Mo_Calculations!W25&gt;SUM($H$30:$J$30),((Mo_Calculations!X25^2+$H$31^2+$I$31^2+$J$31^2)^0.5)*Mo_Calculations!A25,"LLD")</f>
        <v>1.2218064634488708</v>
      </c>
      <c r="J20" s="12">
        <f>IF(Mo_Calculations!W25&gt;SUM($H$30:$J$30),I20/H20,"LLD")</f>
        <v>2.2822105563793001E-2</v>
      </c>
      <c r="K20" s="13"/>
      <c r="M20" s="42">
        <f t="shared" si="0"/>
        <v>0.83004816890315203</v>
      </c>
      <c r="N20" s="42">
        <f t="shared" si="1"/>
        <v>1.4439537241817244</v>
      </c>
      <c r="O20" s="42">
        <f t="shared" si="2"/>
        <v>1.4928110341254368</v>
      </c>
      <c r="P20" s="12"/>
      <c r="Q20">
        <f t="shared" si="3"/>
        <v>155.96598573813361</v>
      </c>
      <c r="R20">
        <f t="shared" si="4"/>
        <v>1.9408278973701696</v>
      </c>
      <c r="S20" s="12">
        <f t="shared" si="5"/>
        <v>1.2443917743890731E-2</v>
      </c>
    </row>
    <row r="21" spans="1:19" x14ac:dyDescent="0.25">
      <c r="A21" t="str">
        <f>Mo_Calculations!B26</f>
        <v>24G Trace Original</v>
      </c>
      <c r="B21" s="59">
        <f>IF(Mo_Calculations!Q26&gt;SUM($B$30:$D$30),(Mo_Calculations!Q26-SUM($B$30:$D$30))*Mo_Calculations!A26,"LLD")</f>
        <v>28.596081295608904</v>
      </c>
      <c r="C21">
        <f>IF(Mo_Calculations!Q26&gt;SUM($B$30:$D$30),((Mo_Calculations!R26^2+$B$31^2+$C$31^2+$D$31^2)^0.5)*Mo_Calculations!A26,"LLD")</f>
        <v>0.63035691893241308</v>
      </c>
      <c r="D21" s="12">
        <f>IF(Mo_Calculations!Q26&gt;SUM($B$30:$D$30),C21/B21,"LLD")</f>
        <v>2.2043472055354944E-2</v>
      </c>
      <c r="E21" s="13">
        <f>IF(Mo_Calculations!T26&gt;SUM($E$30:$G$30),(Mo_Calculations!T26-SUM($E$30:$G$30))*Mo_Calculations!A26,"LLD")</f>
        <v>40.27887508898683</v>
      </c>
      <c r="F21">
        <f>IF(Mo_Calculations!T26&gt;SUM($E$30:$G$30),((Mo_Calculations!U26^2+$E$31^2+$F$31^2+$G$31^2)^0.5)*Mo_Calculations!A26,"LLD")</f>
        <v>0.89191626237965171</v>
      </c>
      <c r="G21" s="12">
        <f>IF(Mo_Calculations!T26&gt;SUM($E$30:$G$30),F21/E21,"LLD")</f>
        <v>2.214352462448789E-2</v>
      </c>
      <c r="H21" s="13">
        <f>IF(Mo_Calculations!W26&gt;SUM($H$30:$J$30),(Mo_Calculations!W26-SUM($H$30:$J$30))*Mo_Calculations!A26,"LLD")</f>
        <v>37.210204596622759</v>
      </c>
      <c r="I21">
        <f>IF(Mo_Calculations!W26&gt;SUM($H$30:$J$30),((Mo_Calculations!X26^2+$H$31^2+$I$31^2+$J$31^2)^0.5)*Mo_Calculations!A26,"LLD")</f>
        <v>0.89245744144495298</v>
      </c>
      <c r="J21" s="12">
        <f>IF(Mo_Calculations!W26&gt;SUM($H$30:$J$30),I21/H21,"LLD")</f>
        <v>2.3984212156843487E-2</v>
      </c>
      <c r="K21" s="13"/>
      <c r="M21" s="42">
        <f t="shared" si="0"/>
        <v>0.39734984524596478</v>
      </c>
      <c r="N21" s="42">
        <f t="shared" si="1"/>
        <v>0.79551461909728771</v>
      </c>
      <c r="O21" s="42">
        <f t="shared" si="2"/>
        <v>0.79648028479047173</v>
      </c>
      <c r="P21" s="12"/>
      <c r="Q21">
        <f t="shared" si="3"/>
        <v>106.08516098121849</v>
      </c>
      <c r="R21">
        <f t="shared" si="4"/>
        <v>1.4104413313334674</v>
      </c>
      <c r="S21" s="12">
        <f t="shared" si="5"/>
        <v>1.3295368723465239E-2</v>
      </c>
    </row>
    <row r="22" spans="1:19" x14ac:dyDescent="0.25">
      <c r="A22" t="str">
        <f>Mo_Calculations!B27</f>
        <v>53G</v>
      </c>
      <c r="B22" s="59">
        <f>IF(Mo_Calculations!Q27&gt;SUM($B$30:$D$30),(Mo_Calculations!Q27-SUM($B$30:$D$30))*Mo_Calculations!A27,"LLD")</f>
        <v>0.70397413416721855</v>
      </c>
      <c r="C22">
        <f>IF(Mo_Calculations!Q27&gt;SUM($B$30:$D$30),((Mo_Calculations!R27^2+$B$31^2+$C$31^2+$D$31^2)^0.5)*Mo_Calculations!A27,"LLD")</f>
        <v>0.10844855676617836</v>
      </c>
      <c r="D22" s="12">
        <f>IF(Mo_Calculations!Q27&gt;SUM($B$30:$D$30),C22/B22,"LLD")</f>
        <v>0.1540519054644954</v>
      </c>
      <c r="E22" s="13">
        <f>IF(Mo_Calculations!T27&gt;SUM($E$30:$G$30),(Mo_Calculations!T27-SUM($E$30:$G$30))*Mo_Calculations!A27,"LLD")</f>
        <v>1.8419727084659825</v>
      </c>
      <c r="F22">
        <f>IF(Mo_Calculations!T27&gt;SUM($E$30:$G$30),((Mo_Calculations!U27^2+$E$31^2+$F$31^2+$G$31^2)^0.5)*Mo_Calculations!A27,"LLD")</f>
        <v>0.26922645312939575</v>
      </c>
      <c r="G22" s="12">
        <f>IF(Mo_Calculations!T27&gt;SUM($E$30:$G$30),F22/E22,"LLD")</f>
        <v>0.14616202069226686</v>
      </c>
      <c r="H22" s="13">
        <f>IF(Mo_Calculations!W27&gt;SUM($H$30:$J$30),(Mo_Calculations!W27-SUM($H$30:$J$30))*Mo_Calculations!A27,"LLD")</f>
        <v>0.98052209084722364</v>
      </c>
      <c r="I22">
        <f>IF(Mo_Calculations!W27&gt;SUM($H$30:$J$30),((Mo_Calculations!X27^2+$H$31^2+$I$31^2+$J$31^2)^0.5)*Mo_Calculations!A27,"LLD")</f>
        <v>0.17367689677387516</v>
      </c>
      <c r="J22" s="12">
        <f>IF(Mo_Calculations!W27&gt;SUM($H$30:$J$30),I22/H22,"LLD")</f>
        <v>0.17712695960150068</v>
      </c>
      <c r="K22" s="13"/>
      <c r="M22" s="42">
        <f t="shared" si="0"/>
        <v>1.176108946466701E-2</v>
      </c>
      <c r="N22" s="42">
        <f t="shared" si="1"/>
        <v>7.2482883064634726E-2</v>
      </c>
      <c r="O22" s="42">
        <f t="shared" si="2"/>
        <v>3.0163664473003286E-2</v>
      </c>
      <c r="P22" s="12"/>
      <c r="Q22">
        <f t="shared" si="3"/>
        <v>3.5264689334804249</v>
      </c>
      <c r="R22">
        <f t="shared" si="4"/>
        <v>0.33824197995267385</v>
      </c>
      <c r="S22" s="12">
        <f t="shared" si="5"/>
        <v>9.5915201957797541E-2</v>
      </c>
    </row>
    <row r="23" spans="1:19" x14ac:dyDescent="0.25">
      <c r="A23" t="str">
        <f>Mo_Calculations!B28</f>
        <v>94G</v>
      </c>
      <c r="B23" s="59">
        <f>IF(Mo_Calculations!Q28&gt;SUM($B$30:$D$30),(Mo_Calculations!Q28-SUM($B$30:$D$30))*Mo_Calculations!A28,"LLD")</f>
        <v>13.650122869873568</v>
      </c>
      <c r="C23">
        <f>IF(Mo_Calculations!Q28&gt;SUM($B$30:$D$30),((Mo_Calculations!R28^2+$B$31^2+$C$31^2+$D$31^2)^0.5)*Mo_Calculations!A28,"LLD")</f>
        <v>0.59056131468218154</v>
      </c>
      <c r="D23" s="12">
        <f>IF(Mo_Calculations!Q28&gt;SUM($B$30:$D$30),C23/B23,"LLD")</f>
        <v>4.3264175737610155E-2</v>
      </c>
      <c r="E23" s="13">
        <f>IF(Mo_Calculations!T28&gt;SUM($E$30:$G$30),(Mo_Calculations!T28-SUM($E$30:$G$30))*Mo_Calculations!A28,"LLD")</f>
        <v>34.721484662206997</v>
      </c>
      <c r="F23">
        <f>IF(Mo_Calculations!T28&gt;SUM($E$30:$G$30),((Mo_Calculations!U28^2+$E$31^2+$F$31^2+$G$31^2)^0.5)*Mo_Calculations!A28,"LLD")</f>
        <v>1.4760051515558332</v>
      </c>
      <c r="G23" s="12">
        <f>IF(Mo_Calculations!T28&gt;SUM($E$30:$G$30),F23/E23,"LLD")</f>
        <v>4.250985134752628E-2</v>
      </c>
      <c r="H23" s="13">
        <f>IF(Mo_Calculations!W28&gt;SUM($H$30:$J$30),(Mo_Calculations!W28-SUM($H$30:$J$30))*Mo_Calculations!A28,"LLD")</f>
        <v>12.956582763609209</v>
      </c>
      <c r="I23">
        <f>IF(Mo_Calculations!W28&gt;SUM($H$30:$J$30),((Mo_Calculations!X28^2+$H$31^2+$I$31^2+$J$31^2)^0.5)*Mo_Calculations!A28,"LLD")</f>
        <v>0.59208974688856453</v>
      </c>
      <c r="J23" s="12">
        <f>IF(Mo_Calculations!W28&gt;SUM($H$30:$J$30),I23/H23,"LLD")</f>
        <v>4.5697986706151439E-2</v>
      </c>
      <c r="K23" s="13"/>
      <c r="M23" s="42">
        <f t="shared" si="0"/>
        <v>0.34876266639914666</v>
      </c>
      <c r="N23" s="42">
        <f t="shared" si="1"/>
        <v>2.1785912074193581</v>
      </c>
      <c r="O23" s="42">
        <f t="shared" si="2"/>
        <v>0.35057026837056443</v>
      </c>
      <c r="P23" s="12"/>
      <c r="Q23">
        <f t="shared" si="3"/>
        <v>61.32819029568978</v>
      </c>
      <c r="R23">
        <f t="shared" si="4"/>
        <v>1.6964445591262536</v>
      </c>
      <c r="S23" s="12">
        <f t="shared" si="5"/>
        <v>2.7661741703887875E-2</v>
      </c>
    </row>
    <row r="24" spans="1:19" x14ac:dyDescent="0.25">
      <c r="A24" t="str">
        <f>Mo_Calculations!B29</f>
        <v>47G</v>
      </c>
      <c r="B24" s="59" t="str">
        <f>IF(Mo_Calculations!Q29&gt;SUM($B$30:$D$30),(Mo_Calculations!Q29-SUM($B$30:$D$30))*Mo_Calculations!A29,"LLD")</f>
        <v>LLD</v>
      </c>
      <c r="C24" t="str">
        <f>IF(Mo_Calculations!Q29&gt;SUM($B$30:$D$30),((Mo_Calculations!R29^2+$B$31^2+$C$31^2+$D$31^2)^0.5)*Mo_Calculations!A29,"LLD")</f>
        <v>LLD</v>
      </c>
      <c r="D24" s="12" t="str">
        <f>IF(Mo_Calculations!Q29&gt;SUM($B$30:$D$30),C24/B24,"LLD")</f>
        <v>LLD</v>
      </c>
      <c r="E24" s="13" t="str">
        <f>IF(Mo_Calculations!T29&gt;SUM($E$30:$G$30),(Mo_Calculations!T29-SUM($E$30:$G$30))*Mo_Calculations!A29,"LLD")</f>
        <v>LLD</v>
      </c>
      <c r="F24" t="str">
        <f>IF(Mo_Calculations!T29&gt;SUM($E$30:$G$30),((Mo_Calculations!U29^2+$E$31^2+$F$31^2+$G$31^2)^0.5)*Mo_Calculations!A29,"LLD")</f>
        <v>LLD</v>
      </c>
      <c r="G24" s="12" t="str">
        <f>IF(Mo_Calculations!T29&gt;SUM($E$30:$G$30),F24/E24,"LLD")</f>
        <v>LLD</v>
      </c>
      <c r="H24" s="13" t="str">
        <f>IF(Mo_Calculations!W29&gt;SUM($H$30:$J$30),(Mo_Calculations!W29-SUM($H$30:$J$30))*Mo_Calculations!A29,"LLD")</f>
        <v>LLD</v>
      </c>
      <c r="I24" t="str">
        <f>IF(Mo_Calculations!W29&gt;SUM($H$30:$J$30),((Mo_Calculations!X29^2+$H$31^2+$I$31^2+$J$31^2)^0.5)*Mo_Calculations!A29,"LLD")</f>
        <v>LLD</v>
      </c>
      <c r="J24" s="12" t="str">
        <f>IF(Mo_Calculations!W29&gt;SUM($H$30:$J$30),I24/H24,"LLD")</f>
        <v>LLD</v>
      </c>
      <c r="K24" s="13"/>
      <c r="M24" s="42" t="str">
        <f t="shared" si="0"/>
        <v>LLD</v>
      </c>
      <c r="N24" s="42" t="str">
        <f t="shared" si="1"/>
        <v>LLD</v>
      </c>
      <c r="O24" s="42" t="str">
        <f t="shared" si="2"/>
        <v>LLD</v>
      </c>
      <c r="P24" s="12"/>
      <c r="Q24" t="str">
        <f t="shared" si="3"/>
        <v>LLD</v>
      </c>
      <c r="R24" t="str">
        <f t="shared" si="4"/>
        <v>LLD</v>
      </c>
      <c r="S24" s="12" t="str">
        <f t="shared" si="5"/>
        <v>LLD</v>
      </c>
    </row>
    <row r="25" spans="1:19" x14ac:dyDescent="0.25">
      <c r="A25" t="str">
        <f>Mo_Calculations!B30</f>
        <v>48G</v>
      </c>
      <c r="B25" s="59" t="str">
        <f>IF(Mo_Calculations!Q30&gt;SUM($B$30:$D$30),(Mo_Calculations!Q30-SUM($B$30:$D$30))*Mo_Calculations!A30,"LLD")</f>
        <v>LLD</v>
      </c>
      <c r="C25" t="str">
        <f>IF(Mo_Calculations!Q30&gt;SUM($B$30:$D$30),((Mo_Calculations!R30^2+$B$31^2+$C$31^2+$D$31^2)^0.5)*Mo_Calculations!A30,"LLD")</f>
        <v>LLD</v>
      </c>
      <c r="D25" s="12" t="str">
        <f>IF(Mo_Calculations!Q30&gt;SUM($B$30:$D$30),C25/B25,"LLD")</f>
        <v>LLD</v>
      </c>
      <c r="E25" s="13" t="str">
        <f>IF(Mo_Calculations!T30&gt;SUM($E$30:$G$30),(Mo_Calculations!T30-SUM($E$30:$G$30))*Mo_Calculations!A30,"LLD")</f>
        <v>LLD</v>
      </c>
      <c r="F25" t="str">
        <f>IF(Mo_Calculations!T30&gt;SUM($E$30:$G$30),((Mo_Calculations!U30^2+$E$31^2+$F$31^2+$G$31^2)^0.5)*Mo_Calculations!A30,"LLD")</f>
        <v>LLD</v>
      </c>
      <c r="G25" s="12" t="str">
        <f>IF(Mo_Calculations!T30&gt;SUM($E$30:$G$30),F25/E25,"LLD")</f>
        <v>LLD</v>
      </c>
      <c r="H25" s="13" t="str">
        <f>IF(Mo_Calculations!W30&gt;SUM($H$30:$J$30),(Mo_Calculations!W30-SUM($H$30:$J$30))*Mo_Calculations!A30,"LLD")</f>
        <v>LLD</v>
      </c>
      <c r="I25" t="str">
        <f>IF(Mo_Calculations!W30&gt;SUM($H$30:$J$30),((Mo_Calculations!X30^2+$H$31^2+$I$31^2+$J$31^2)^0.5)*Mo_Calculations!A30,"LLD")</f>
        <v>LLD</v>
      </c>
      <c r="J25" s="12" t="str">
        <f>IF(Mo_Calculations!W30&gt;SUM($H$30:$J$30),I25/H25,"LLD")</f>
        <v>LLD</v>
      </c>
      <c r="K25" s="13"/>
      <c r="M25" s="42" t="str">
        <f t="shared" si="0"/>
        <v>LLD</v>
      </c>
      <c r="N25" s="42" t="str">
        <f t="shared" si="1"/>
        <v>LLD</v>
      </c>
      <c r="O25" s="42" t="str">
        <f t="shared" si="2"/>
        <v>LLD</v>
      </c>
      <c r="P25" s="12"/>
      <c r="Q25" t="str">
        <f t="shared" si="3"/>
        <v>LLD</v>
      </c>
      <c r="R25" t="str">
        <f t="shared" si="4"/>
        <v>LLD</v>
      </c>
      <c r="S25" s="12" t="str">
        <f t="shared" si="5"/>
        <v>LLD</v>
      </c>
    </row>
    <row r="26" spans="1:19" x14ac:dyDescent="0.25">
      <c r="A26" t="str">
        <f>Mo_Calculations!B31</f>
        <v>49G</v>
      </c>
      <c r="B26" s="59" t="str">
        <f>IF(Mo_Calculations!Q31&gt;SUM($B$30:$D$30),(Mo_Calculations!Q31-SUM($B$30:$D$30))*Mo_Calculations!A31,"LLD")</f>
        <v>LLD</v>
      </c>
      <c r="C26" t="str">
        <f>IF(Mo_Calculations!Q31&gt;SUM($B$30:$D$30),((Mo_Calculations!R31^2+$B$31^2+$C$31^2+$D$31^2)^0.5)*Mo_Calculations!A31,"LLD")</f>
        <v>LLD</v>
      </c>
      <c r="D26" s="12" t="str">
        <f>IF(Mo_Calculations!Q31&gt;SUM($B$30:$D$30),C26/B26,"LLD")</f>
        <v>LLD</v>
      </c>
      <c r="E26" s="13" t="str">
        <f>IF(Mo_Calculations!T31&gt;SUM($E$30:$G$30),(Mo_Calculations!T31-SUM($E$30:$G$30))*Mo_Calculations!A31,"LLD")</f>
        <v>LLD</v>
      </c>
      <c r="F26" t="str">
        <f>IF(Mo_Calculations!T31&gt;SUM($E$30:$G$30),((Mo_Calculations!U31^2+$E$31^2+$F$31^2+$G$31^2)^0.5)*Mo_Calculations!A31,"LLD")</f>
        <v>LLD</v>
      </c>
      <c r="G26" s="12" t="str">
        <f>IF(Mo_Calculations!T31&gt;SUM($E$30:$G$30),F26/E26,"LLD")</f>
        <v>LLD</v>
      </c>
      <c r="H26" s="13" t="str">
        <f>IF(Mo_Calculations!W31&gt;SUM($H$30:$J$30),(Mo_Calculations!W31-SUM($H$30:$J$30))*Mo_Calculations!A31,"LLD")</f>
        <v>LLD</v>
      </c>
      <c r="I26" t="str">
        <f>IF(Mo_Calculations!W31&gt;SUM($H$30:$J$30),((Mo_Calculations!X31^2+$H$31^2+$I$31^2+$J$31^2)^0.5)*Mo_Calculations!A31,"LLD")</f>
        <v>LLD</v>
      </c>
      <c r="J26" s="12" t="str">
        <f>IF(Mo_Calculations!W31&gt;SUM($H$30:$J$30),I26/H26,"LLD")</f>
        <v>LLD</v>
      </c>
      <c r="K26" s="13"/>
      <c r="M26" s="42" t="str">
        <f t="shared" si="0"/>
        <v>LLD</v>
      </c>
      <c r="N26" s="42" t="str">
        <f t="shared" si="1"/>
        <v>LLD</v>
      </c>
      <c r="O26" s="42" t="str">
        <f t="shared" si="2"/>
        <v>LLD</v>
      </c>
      <c r="P26" s="12"/>
      <c r="Q26" t="str">
        <f t="shared" si="3"/>
        <v>LLD</v>
      </c>
      <c r="R26" t="str">
        <f t="shared" si="4"/>
        <v>LLD</v>
      </c>
      <c r="S26" s="12" t="str">
        <f t="shared" si="5"/>
        <v>LLD</v>
      </c>
    </row>
    <row r="27" spans="1:19" x14ac:dyDescent="0.25">
      <c r="A27" t="str">
        <f>Mo_Calculations!B32</f>
        <v>50G</v>
      </c>
      <c r="B27" s="59" t="str">
        <f>IF(Mo_Calculations!Q32&gt;SUM($B$30:$D$30),(Mo_Calculations!Q32-SUM($B$30:$D$30))*Mo_Calculations!A32,"LLD")</f>
        <v>LLD</v>
      </c>
      <c r="C27" t="str">
        <f>IF(Mo_Calculations!Q32&gt;SUM($B$30:$D$30),((Mo_Calculations!R32^2+$B$31^2+$C$31^2+$D$31^2)^0.5)*Mo_Calculations!A32,"LLD")</f>
        <v>LLD</v>
      </c>
      <c r="D27" s="12" t="str">
        <f>IF(Mo_Calculations!Q32&gt;SUM($B$30:$D$30),C27/B27,"LLD")</f>
        <v>LLD</v>
      </c>
      <c r="E27" s="13" t="str">
        <f>IF(Mo_Calculations!T32&gt;SUM($E$30:$G$30),(Mo_Calculations!T32-SUM($E$30:$G$30))*Mo_Calculations!A32,"LLD")</f>
        <v>LLD</v>
      </c>
      <c r="F27" t="str">
        <f>IF(Mo_Calculations!T32&gt;SUM($E$30:$G$30),((Mo_Calculations!U32^2+$E$31^2+$F$31^2+$G$31^2)^0.5)*Mo_Calculations!A32,"LLD")</f>
        <v>LLD</v>
      </c>
      <c r="G27" s="12" t="str">
        <f>IF(Mo_Calculations!T32&gt;SUM($E$30:$G$30),F27/E27,"LLD")</f>
        <v>LLD</v>
      </c>
      <c r="H27" s="13" t="str">
        <f>IF(Mo_Calculations!W32&gt;SUM($H$30:$J$30),(Mo_Calculations!W32-SUM($H$30:$J$30))*Mo_Calculations!A32,"LLD")</f>
        <v>LLD</v>
      </c>
      <c r="I27" t="str">
        <f>IF(Mo_Calculations!W32&gt;SUM($H$30:$J$30),((Mo_Calculations!X32^2+$H$31^2+$I$31^2+$J$31^2)^0.5)*Mo_Calculations!A32,"LLD")</f>
        <v>LLD</v>
      </c>
      <c r="J27" s="12" t="str">
        <f>IF(Mo_Calculations!W32&gt;SUM($H$30:$J$30),I27/H27,"LLD")</f>
        <v>LLD</v>
      </c>
      <c r="K27" s="13"/>
      <c r="M27" s="42" t="str">
        <f t="shared" si="0"/>
        <v>LLD</v>
      </c>
      <c r="N27" s="42" t="str">
        <f t="shared" si="1"/>
        <v>LLD</v>
      </c>
      <c r="O27" s="42" t="str">
        <f t="shared" si="2"/>
        <v>LLD</v>
      </c>
      <c r="P27" s="12"/>
      <c r="Q27" t="str">
        <f t="shared" si="3"/>
        <v>LLD</v>
      </c>
      <c r="R27" t="str">
        <f t="shared" si="4"/>
        <v>LLD</v>
      </c>
      <c r="S27" s="12" t="str">
        <f t="shared" si="5"/>
        <v>LLD</v>
      </c>
    </row>
    <row r="28" spans="1:19" x14ac:dyDescent="0.25">
      <c r="A28" t="str">
        <f>Mo_Calculations!B33</f>
        <v>51G</v>
      </c>
      <c r="B28" s="59" t="str">
        <f>IF(Mo_Calculations!Q33&gt;SUM($B$30:$D$30),(Mo_Calculations!Q33-SUM($B$30:$D$30))*Mo_Calculations!A33,"LLD")</f>
        <v>LLD</v>
      </c>
      <c r="C28" t="str">
        <f>IF(Mo_Calculations!Q33&gt;SUM($B$30:$D$30),((Mo_Calculations!R33^2+$B$31^2+$C$31^2+$D$31^2)^0.5)*Mo_Calculations!A33,"LLD")</f>
        <v>LLD</v>
      </c>
      <c r="D28" s="12" t="str">
        <f>IF(Mo_Calculations!Q33&gt;SUM($B$30:$D$30),C28/B28,"LLD")</f>
        <v>LLD</v>
      </c>
      <c r="E28" s="13" t="str">
        <f>IF(Mo_Calculations!T33&gt;SUM($E$30:$G$30),(Mo_Calculations!T33-SUM($E$30:$G$30))*Mo_Calculations!A33,"LLD")</f>
        <v>LLD</v>
      </c>
      <c r="F28" t="str">
        <f>IF(Mo_Calculations!T33&gt;SUM($E$30:$G$30),((Mo_Calculations!U33^2+$E$31^2+$F$31^2+$G$31^2)^0.5)*Mo_Calculations!A33,"LLD")</f>
        <v>LLD</v>
      </c>
      <c r="G28" s="12" t="str">
        <f>IF(Mo_Calculations!T33&gt;SUM($E$30:$G$30),F28/E28,"LLD")</f>
        <v>LLD</v>
      </c>
      <c r="H28" s="13" t="str">
        <f>IF(Mo_Calculations!W33&gt;SUM($H$30:$J$30),(Mo_Calculations!W33-SUM($H$30:$J$30))*Mo_Calculations!A33,"LLD")</f>
        <v>LLD</v>
      </c>
      <c r="I28" t="str">
        <f>IF(Mo_Calculations!W33&gt;SUM($H$30:$J$30),((Mo_Calculations!X33^2+$H$31^2+$I$31^2+$J$31^2)^0.5)*Mo_Calculations!A33,"LLD")</f>
        <v>LLD</v>
      </c>
      <c r="J28" s="12" t="str">
        <f>IF(Mo_Calculations!W33&gt;SUM($H$30:$J$30),I28/H28,"LLD")</f>
        <v>LLD</v>
      </c>
      <c r="K28" s="13"/>
      <c r="M28" s="42" t="str">
        <f t="shared" si="0"/>
        <v>LLD</v>
      </c>
      <c r="N28" s="42" t="str">
        <f t="shared" si="1"/>
        <v>LLD</v>
      </c>
      <c r="O28" s="42" t="str">
        <f t="shared" si="2"/>
        <v>LLD</v>
      </c>
      <c r="P28" s="12"/>
      <c r="Q28" t="str">
        <f t="shared" si="3"/>
        <v>LLD</v>
      </c>
      <c r="R28" t="str">
        <f t="shared" si="4"/>
        <v>LLD</v>
      </c>
      <c r="S28" s="12" t="str">
        <f t="shared" si="5"/>
        <v>LLD</v>
      </c>
    </row>
    <row r="29" spans="1:19" ht="15.75" thickBot="1" x14ac:dyDescent="0.3">
      <c r="A29" t="str">
        <f>Mo_Calculations!B34</f>
        <v>52G</v>
      </c>
      <c r="B29" s="59" t="str">
        <f>IF(Mo_Calculations!Q34&gt;SUM($B$30:$D$30),(Mo_Calculations!Q34-SUM($B$30:$D$30))*Mo_Calculations!A34,"LLD")</f>
        <v>LLD</v>
      </c>
      <c r="C29" t="str">
        <f>IF(Mo_Calculations!Q34&gt;SUM($B$30:$D$30),((Mo_Calculations!R34^2+$B$31^2+$C$31^2+$D$31^2)^0.5)*Mo_Calculations!A34,"LLD")</f>
        <v>LLD</v>
      </c>
      <c r="D29" s="12" t="str">
        <f>IF(Mo_Calculations!Q34&gt;SUM($B$30:$D$30),C29/B29,"LLD")</f>
        <v>LLD</v>
      </c>
      <c r="E29" s="13" t="str">
        <f>IF(Mo_Calculations!T34&gt;SUM($E$30:$G$30),(Mo_Calculations!T34-SUM($E$30:$G$30))*Mo_Calculations!A34,"LLD")</f>
        <v>LLD</v>
      </c>
      <c r="F29" t="str">
        <f>IF(Mo_Calculations!T34&gt;SUM($E$30:$G$30),((Mo_Calculations!U34^2+$E$31^2+$F$31^2+$G$31^2)^0.5)*Mo_Calculations!A34,"LLD")</f>
        <v>LLD</v>
      </c>
      <c r="G29" s="12" t="str">
        <f>IF(Mo_Calculations!T34&gt;SUM($E$30:$G$30),F29/E29,"LLD")</f>
        <v>LLD</v>
      </c>
      <c r="H29" s="13" t="str">
        <f>IF(Mo_Calculations!W34&gt;SUM($H$30:$J$30),(Mo_Calculations!W34-SUM($H$30:$J$30))*Mo_Calculations!A34,"LLD")</f>
        <v>LLD</v>
      </c>
      <c r="I29" t="str">
        <f>IF(Mo_Calculations!W34&gt;SUM($H$30:$J$30),((Mo_Calculations!X34^2+$H$31^2+$I$31^2+$J$31^2)^0.5)*Mo_Calculations!A34,"LLD")</f>
        <v>LLD</v>
      </c>
      <c r="J29" s="12" t="str">
        <f>IF(Mo_Calculations!W34&gt;SUM($H$30:$J$30),I29/H29,"LLD")</f>
        <v>LLD</v>
      </c>
      <c r="K29" s="13"/>
      <c r="M29" s="42" t="str">
        <f t="shared" si="0"/>
        <v>LLD</v>
      </c>
      <c r="N29" s="42" t="str">
        <f t="shared" si="1"/>
        <v>LLD</v>
      </c>
      <c r="O29" s="42" t="str">
        <f t="shared" si="2"/>
        <v>LLD</v>
      </c>
      <c r="P29" s="12"/>
      <c r="Q29" t="str">
        <f t="shared" si="3"/>
        <v>LLD</v>
      </c>
      <c r="R29" t="str">
        <f t="shared" si="4"/>
        <v>LLD</v>
      </c>
      <c r="S29" s="12" t="str">
        <f t="shared" si="5"/>
        <v>LLD</v>
      </c>
    </row>
    <row r="30" spans="1:19" ht="31.5" thickTop="1" thickBot="1" x14ac:dyDescent="0.3">
      <c r="A30" s="55" t="s">
        <v>68</v>
      </c>
      <c r="B30" s="60">
        <f>B36/PPB_Mo_to_Stock!$B$21</f>
        <v>0.59699999999999998</v>
      </c>
      <c r="C30" s="49">
        <f>C36/PPB_Mo_to_Stock!$B$21</f>
        <v>0</v>
      </c>
      <c r="D30" s="49">
        <f>D36/PPB_Mo_to_Stock!$B$21</f>
        <v>0</v>
      </c>
      <c r="E30" s="49">
        <f>E36/PPB_Mo_to_Stock!$B$21</f>
        <v>1.524</v>
      </c>
      <c r="F30" s="49">
        <f>F36/PPB_Mo_to_Stock!$B$21</f>
        <v>1E-3</v>
      </c>
      <c r="G30" s="49">
        <f>G36/PPB_Mo_to_Stock!$B$21</f>
        <v>0</v>
      </c>
      <c r="H30" s="49">
        <f>H36/PPB_Mo_to_Stock!$B$21</f>
        <v>0.621</v>
      </c>
      <c r="I30" s="49">
        <f>I36/PPB_Mo_to_Stock!$B$21</f>
        <v>0.01</v>
      </c>
      <c r="J30" s="49">
        <f>J36/PPB_Mo_to_Stock!$B$21</f>
        <v>0</v>
      </c>
      <c r="K30" s="23"/>
      <c r="M30" s="42"/>
      <c r="N30" s="42"/>
      <c r="O30" s="42"/>
      <c r="P30" s="12"/>
      <c r="S30" s="12"/>
    </row>
    <row r="31" spans="1:19" ht="16.5" thickTop="1" thickBot="1" x14ac:dyDescent="0.3">
      <c r="A31" s="56" t="s">
        <v>67</v>
      </c>
      <c r="B31" s="60">
        <f>B37/PPB_Mo_to_Stock!$B$21</f>
        <v>0.1</v>
      </c>
      <c r="C31" s="49">
        <f>C37/PPB_Mo_to_Stock!$B$21</f>
        <v>0</v>
      </c>
      <c r="D31" s="49">
        <f>D37/PPB_Mo_to_Stock!$B$21</f>
        <v>0</v>
      </c>
      <c r="E31" s="49">
        <f>E37/PPB_Mo_to_Stock!$B$21</f>
        <v>0.25</v>
      </c>
      <c r="F31" s="49">
        <f>F37/PPB_Mo_to_Stock!$B$21</f>
        <v>1.9E-2</v>
      </c>
      <c r="G31" s="49">
        <f>G37/PPB_Mo_to_Stock!$B$21</f>
        <v>0</v>
      </c>
      <c r="H31" s="49">
        <f>H37/PPB_Mo_to_Stock!$B$21</f>
        <v>0.1</v>
      </c>
      <c r="I31" s="49">
        <f>I37/PPB_Mo_to_Stock!$B$21</f>
        <v>0.13200000000000001</v>
      </c>
      <c r="J31" s="49">
        <f>J37/PPB_Mo_to_Stock!$B$21</f>
        <v>0</v>
      </c>
    </row>
    <row r="32" spans="1:19" x14ac:dyDescent="0.25">
      <c r="B32" s="61" t="s">
        <v>50</v>
      </c>
      <c r="N32" s="23"/>
      <c r="Q32" t="s">
        <v>41</v>
      </c>
    </row>
    <row r="33" spans="2:17" x14ac:dyDescent="0.25">
      <c r="B33" s="61" t="s">
        <v>51</v>
      </c>
      <c r="N33" s="23"/>
      <c r="Q33" t="s">
        <v>42</v>
      </c>
    </row>
    <row r="34" spans="2:17" x14ac:dyDescent="0.25">
      <c r="Q34" t="s">
        <v>44</v>
      </c>
    </row>
    <row r="35" spans="2:17" ht="15.75" thickBot="1" x14ac:dyDescent="0.3"/>
    <row r="36" spans="2:17" ht="15.75" thickTop="1" x14ac:dyDescent="0.25">
      <c r="B36" s="60">
        <v>0.59699999999999998</v>
      </c>
      <c r="C36" s="50"/>
      <c r="D36" s="51"/>
      <c r="E36" s="49">
        <v>1.524</v>
      </c>
      <c r="F36" s="50">
        <v>1E-3</v>
      </c>
      <c r="G36" s="51"/>
      <c r="H36" s="49">
        <v>0.621</v>
      </c>
      <c r="I36" s="50">
        <v>0.01</v>
      </c>
      <c r="J36" s="52"/>
    </row>
    <row r="37" spans="2:17" ht="15.75" thickBot="1" x14ac:dyDescent="0.3">
      <c r="B37" s="62">
        <v>0.1</v>
      </c>
      <c r="C37" s="47"/>
      <c r="D37" s="47"/>
      <c r="E37" s="53">
        <v>0.25</v>
      </c>
      <c r="F37" s="47">
        <v>1.9E-2</v>
      </c>
      <c r="G37" s="47"/>
      <c r="H37" s="53">
        <v>0.1</v>
      </c>
      <c r="I37" s="47">
        <v>0.13200000000000001</v>
      </c>
      <c r="J37" s="54"/>
    </row>
    <row r="38" spans="2:17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K13" workbookViewId="0">
      <selection activeCell="X32" sqref="X32"/>
    </sheetView>
  </sheetViews>
  <sheetFormatPr defaultRowHeight="15" x14ac:dyDescent="0.25"/>
  <sheetData>
    <row r="1" spans="1:20" x14ac:dyDescent="0.25">
      <c r="I1" t="s">
        <v>75</v>
      </c>
    </row>
    <row r="2" spans="1:20" x14ac:dyDescent="0.25">
      <c r="A2" t="s">
        <v>0</v>
      </c>
      <c r="B2" t="s">
        <v>73</v>
      </c>
      <c r="C2" t="s">
        <v>33</v>
      </c>
      <c r="D2" t="s">
        <v>36</v>
      </c>
      <c r="E2" t="s">
        <v>74</v>
      </c>
      <c r="F2" t="s">
        <v>33</v>
      </c>
      <c r="G2" t="s">
        <v>36</v>
      </c>
      <c r="I2" t="str">
        <f>PPB_Mo_Aliquot_Sent!B1</f>
        <v>Mo 97</v>
      </c>
      <c r="J2" t="str">
        <f>PPB_Mo_Aliquot_Sent!C1</f>
        <v>±</v>
      </c>
      <c r="K2" t="str">
        <f>PPB_Mo_Aliquot_Sent!D1</f>
        <v>%</v>
      </c>
      <c r="L2" t="str">
        <f>PPB_Mo_Aliquot_Sent!E1</f>
        <v>Mo 98</v>
      </c>
      <c r="M2" t="str">
        <f>PPB_Mo_Aliquot_Sent!F1</f>
        <v>±</v>
      </c>
      <c r="N2" t="str">
        <f>PPB_Mo_Aliquot_Sent!G1</f>
        <v>%</v>
      </c>
      <c r="O2" t="str">
        <f>PPB_Mo_Aliquot_Sent!H1</f>
        <v>Mo 100</v>
      </c>
      <c r="P2" t="str">
        <f>PPB_Mo_Aliquot_Sent!I1</f>
        <v>±</v>
      </c>
      <c r="Q2" t="str">
        <f>PPB_Mo_Aliquot_Sent!J1</f>
        <v>%</v>
      </c>
      <c r="R2" t="str">
        <f>PPB_Mo_Aliquot_Sent!Q1</f>
        <v>Sum Mo</v>
      </c>
      <c r="S2" t="str">
        <f>PPB_Mo_Aliquot_Sent!R1</f>
        <v>±</v>
      </c>
      <c r="T2" t="str">
        <f>PPB_Mo_Aliquot_Sent!S1</f>
        <v>%</v>
      </c>
    </row>
    <row r="3" spans="1:20" ht="30" x14ac:dyDescent="0.25">
      <c r="A3" s="41" t="s">
        <v>4</v>
      </c>
      <c r="B3">
        <v>147.14483425909813</v>
      </c>
      <c r="C3">
        <v>3.3284350764654405</v>
      </c>
      <c r="D3">
        <v>2.2620128618342165E-2</v>
      </c>
      <c r="E3">
        <v>16.222168082066549</v>
      </c>
      <c r="F3">
        <v>0.18048887306052336</v>
      </c>
      <c r="G3">
        <v>1.1126063553739901E-2</v>
      </c>
      <c r="I3">
        <f>IF(PPB_Mo_Aliquot_Sent!B2="LLD","LLD",PPB_Mo_Aliquot_Sent!B2/E3)</f>
        <v>2.6337075834218351</v>
      </c>
      <c r="J3">
        <f>IF(I3="LLD","LLD",((PPB_Mo_Aliquot_Sent!C2/E3)^2+((I3*F3)^2)/(E3^2))^0.5)</f>
        <v>7.3261240919202525E-2</v>
      </c>
      <c r="K3" s="12">
        <f>IF(I3="LLD","LLD",J3/I3)</f>
        <v>2.7816771072215283E-2</v>
      </c>
      <c r="L3">
        <f>IF(PPB_Mo_Aliquot_Sent!E2="LLD","LLD",PPB_Mo_Aliquot_Sent!E2/E3)</f>
        <v>3.6793749464583385</v>
      </c>
      <c r="M3">
        <f>IF(L3="LLD","LLD",((PPB_Mo_Aliquot_Sent!F2/E3)^2+((L3*F3)^2)/(E3^2))^0.5)</f>
        <v>0.10163990121186334</v>
      </c>
      <c r="N3" s="12">
        <f>IF(L3="LLD","LLD",M3/L3)</f>
        <v>2.7624230389919627E-2</v>
      </c>
      <c r="O3">
        <f>IF(PPB_Mo_Aliquot_Sent!H2="LLD","LLD",PPB_Mo_Aliquot_Sent!H2/E3)</f>
        <v>3.2877230857386253</v>
      </c>
      <c r="P3">
        <f>IF(O3="LLD","LLD",((PPB_Mo_Aliquot_Sent!I2/E3)^2+((O3*F3)^2)/(E3^2))^0.5)</f>
        <v>9.6378854399274724E-2</v>
      </c>
      <c r="Q3" s="12">
        <f>IF(O3="LLD","LLD",P3/O3)</f>
        <v>2.9314772529761914E-2</v>
      </c>
      <c r="R3">
        <f>IF(PPB_Mo_Aliquot_Sent!Q2="LLD","LLD",PPB_Mo_Aliquot_Sent!Q2/E3)</f>
        <v>9.600805615618798</v>
      </c>
      <c r="S3">
        <f>IF(R3="LLD","LLD",((PPB_Mo_Aliquot_Sent!R2/E3)^2+((R3*F3)^2)/(E3^2))^0.5)</f>
        <v>0.1803456571009649</v>
      </c>
      <c r="T3" s="12">
        <f>IF(R3="LLD","LLD",S3/R3)</f>
        <v>1.8784429590739206E-2</v>
      </c>
    </row>
    <row r="4" spans="1:20" ht="30" x14ac:dyDescent="0.25">
      <c r="A4" s="41" t="s">
        <v>5</v>
      </c>
      <c r="B4">
        <v>1209.5541597455838</v>
      </c>
      <c r="C4">
        <v>21.497816728767241</v>
      </c>
      <c r="D4">
        <v>1.7773339503283647E-2</v>
      </c>
      <c r="E4">
        <v>317.03283010032436</v>
      </c>
      <c r="F4">
        <v>1.7785995702331086</v>
      </c>
      <c r="G4">
        <v>5.6101431819230666E-3</v>
      </c>
      <c r="I4">
        <f>IF(PPB_Mo_Aliquot_Sent!B3="LLD","LLD",PPB_Mo_Aliquot_Sent!B3/E4)</f>
        <v>7.4322334868564934E-3</v>
      </c>
      <c r="J4">
        <f>IF(I4="LLD","LLD",((PPB_Mo_Aliquot_Sent!C3/E4)^2+((I4*F4)^2)/(E4^2))^0.5)</f>
        <v>3.7487736704686287E-4</v>
      </c>
      <c r="K4" s="12">
        <f t="shared" ref="K4:K30" si="0">IF(I4="LLD","LLD",J4/I4)</f>
        <v>5.0439395870677826E-2</v>
      </c>
      <c r="L4">
        <f>IF(PPB_Mo_Aliquot_Sent!E3="LLD","LLD",PPB_Mo_Aliquot_Sent!E3/E4)</f>
        <v>1.8519780205171896E-2</v>
      </c>
      <c r="M4">
        <f>IF(L4="LLD","LLD",((PPB_Mo_Aliquot_Sent!F3/E4)^2+((L4*F4)^2)/(E4^2))^0.5)</f>
        <v>9.2452781870444058E-4</v>
      </c>
      <c r="N4" s="12">
        <f t="shared" ref="N4:N30" si="1">IF(L4="LLD","LLD",M4/L4)</f>
        <v>4.9921101031547545E-2</v>
      </c>
      <c r="O4">
        <f>IF(PPB_Mo_Aliquot_Sent!H3="LLD","LLD",PPB_Mo_Aliquot_Sent!H3/E4)</f>
        <v>8.5767446209792202E-3</v>
      </c>
      <c r="P4">
        <f>IF(O4="LLD","LLD",((PPB_Mo_Aliquot_Sent!I3/E4)^2+((O4*F4)^2)/(E4^2))^0.5)</f>
        <v>5.7829869683054746E-4</v>
      </c>
      <c r="Q4" s="12">
        <f t="shared" ref="Q4:Q30" si="2">IF(O4="LLD","LLD",P4/O4)</f>
        <v>6.7426363076731347E-2</v>
      </c>
      <c r="R4">
        <f>IF(PPB_Mo_Aliquot_Sent!Q3="LLD","LLD",PPB_Mo_Aliquot_Sent!Q3/E4)</f>
        <v>3.4528758313007606E-2</v>
      </c>
      <c r="S4">
        <f>IF(R4="LLD","LLD",((PPB_Mo_Aliquot_Sent!R3/E4)^2+((R4*F4)^2)/(E4^2))^0.5)</f>
        <v>1.1629228161104505E-3</v>
      </c>
      <c r="T4" s="12">
        <f t="shared" ref="T4:T30" si="3">IF(R4="LLD","LLD",S4/R4)</f>
        <v>3.3679833070404869E-2</v>
      </c>
    </row>
    <row r="5" spans="1:20" ht="30" x14ac:dyDescent="0.25">
      <c r="A5" s="41" t="s">
        <v>6</v>
      </c>
      <c r="B5">
        <v>5.997005804364143</v>
      </c>
      <c r="C5">
        <v>0.10559180913132844</v>
      </c>
      <c r="D5">
        <v>1.7607421532673379E-2</v>
      </c>
      <c r="E5">
        <v>23.657804657347775</v>
      </c>
      <c r="F5">
        <v>0.11346477136017526</v>
      </c>
      <c r="G5">
        <v>4.7960820119856183E-3</v>
      </c>
      <c r="I5">
        <f>IF(PPB_Mo_Aliquot_Sent!B4="LLD","LLD",PPB_Mo_Aliquot_Sent!B4/E5)</f>
        <v>9.3827487603655682E-2</v>
      </c>
      <c r="J5">
        <f>IF(I5="LLD","LLD",((PPB_Mo_Aliquot_Sent!C4/E5)^2+((I5*F5)^2)/(E5^2))^0.5)</f>
        <v>4.9263520826867474E-3</v>
      </c>
      <c r="K5" s="12">
        <f t="shared" si="0"/>
        <v>5.2504358887840538E-2</v>
      </c>
      <c r="L5">
        <f>IF(PPB_Mo_Aliquot_Sent!E4="LLD","LLD",PPB_Mo_Aliquot_Sent!E4/E5)</f>
        <v>0.22478272728376705</v>
      </c>
      <c r="M5">
        <f>IF(L5="LLD","LLD",((PPB_Mo_Aliquot_Sent!F4/E5)^2+((L5*F5)^2)/(E5^2))^0.5)</f>
        <v>1.2085085419191914E-2</v>
      </c>
      <c r="N5" s="12">
        <f t="shared" si="1"/>
        <v>5.3763407736999433E-2</v>
      </c>
      <c r="O5">
        <f>IF(PPB_Mo_Aliquot_Sent!H4="LLD","LLD",PPB_Mo_Aliquot_Sent!H4/E5)</f>
        <v>9.8116697533504466E-2</v>
      </c>
      <c r="P5">
        <f>IF(O5="LLD","LLD",((PPB_Mo_Aliquot_Sent!I4/E5)^2+((O5*F5)^2)/(E5^2))^0.5)</f>
        <v>7.568500771308607E-3</v>
      </c>
      <c r="Q5" s="12">
        <f t="shared" si="2"/>
        <v>7.7137744762802968E-2</v>
      </c>
      <c r="R5">
        <f>IF(PPB_Mo_Aliquot_Sent!Q4="LLD","LLD",PPB_Mo_Aliquot_Sent!Q4/E5)</f>
        <v>0.41672691242092724</v>
      </c>
      <c r="S5">
        <f>IF(R5="LLD","LLD",((PPB_Mo_Aliquot_Sent!R4/E5)^2+((R5*F5)^2)/(E5^2))^0.5)</f>
        <v>1.5166043380997078E-2</v>
      </c>
      <c r="T5" s="12">
        <f t="shared" si="3"/>
        <v>3.6393242022435476E-2</v>
      </c>
    </row>
    <row r="6" spans="1:20" ht="30" x14ac:dyDescent="0.25">
      <c r="A6" s="41" t="s">
        <v>7</v>
      </c>
      <c r="B6">
        <v>4.8567704262399571</v>
      </c>
      <c r="C6">
        <v>8.7239407241545303E-2</v>
      </c>
      <c r="D6">
        <v>1.7962431736573723E-2</v>
      </c>
      <c r="E6">
        <v>1.8878511569293668</v>
      </c>
      <c r="F6">
        <v>1.1342253582892873E-2</v>
      </c>
      <c r="G6">
        <v>6.0080232179645504E-3</v>
      </c>
      <c r="I6">
        <f>IF(PPB_Mo_Aliquot_Sent!B5="LLD","LLD",PPB_Mo_Aliquot_Sent!B5/E6)</f>
        <v>1.4208836733021637</v>
      </c>
      <c r="J6">
        <f>IF(I6="LLD","LLD",((PPB_Mo_Aliquot_Sent!C5/E6)^2+((I6*F6)^2)/(E6^2))^0.5)</f>
        <v>6.5225870950961551E-2</v>
      </c>
      <c r="K6" s="12">
        <f t="shared" si="0"/>
        <v>4.5905144929546025E-2</v>
      </c>
      <c r="L6">
        <f>IF(PPB_Mo_Aliquot_Sent!E5="LLD","LLD",PPB_Mo_Aliquot_Sent!E5/E6)</f>
        <v>3.1339881667521707</v>
      </c>
      <c r="M6">
        <f>IF(L6="LLD","LLD",((PPB_Mo_Aliquot_Sent!F5/E6)^2+((L6*F6)^2)/(E6^2))^0.5)</f>
        <v>0.1558931601448979</v>
      </c>
      <c r="N6" s="12">
        <f t="shared" si="1"/>
        <v>4.9742740511510557E-2</v>
      </c>
      <c r="O6">
        <f>IF(PPB_Mo_Aliquot_Sent!H5="LLD","LLD",PPB_Mo_Aliquot_Sent!H5/E6)</f>
        <v>1.3468982555724025</v>
      </c>
      <c r="P6">
        <f>IF(O6="LLD","LLD",((PPB_Mo_Aliquot_Sent!I5/E6)^2+((O6*F6)^2)/(E6^2))^0.5)</f>
        <v>9.6331296423459084E-2</v>
      </c>
      <c r="Q6" s="12">
        <f t="shared" si="2"/>
        <v>7.1520841329266088E-2</v>
      </c>
      <c r="R6">
        <f>IF(PPB_Mo_Aliquot_Sent!Q5="LLD","LLD",PPB_Mo_Aliquot_Sent!Q5/E6)</f>
        <v>5.9017700956267367</v>
      </c>
      <c r="S6">
        <f>IF(R6="LLD","LLD",((PPB_Mo_Aliquot_Sent!R5/E6)^2+((R6*F6)^2)/(E6^2))^0.5)</f>
        <v>0.1964718430700724</v>
      </c>
      <c r="T6" s="12">
        <f t="shared" si="3"/>
        <v>3.3290324747766734E-2</v>
      </c>
    </row>
    <row r="7" spans="1:20" ht="45" x14ac:dyDescent="0.25">
      <c r="A7" s="41" t="s">
        <v>8</v>
      </c>
      <c r="B7">
        <v>4408.1109922014384</v>
      </c>
      <c r="C7">
        <v>80.968583733039324</v>
      </c>
      <c r="D7">
        <v>1.8368090975087518E-2</v>
      </c>
      <c r="E7">
        <v>171.80960542702243</v>
      </c>
      <c r="F7">
        <v>1.1436143422057752</v>
      </c>
      <c r="G7">
        <v>6.6562887410362799E-3</v>
      </c>
      <c r="I7">
        <f>IF(PPB_Mo_Aliquot_Sent!B6="LLD","LLD",PPB_Mo_Aliquot_Sent!B6/E7)</f>
        <v>0.28009973467655713</v>
      </c>
      <c r="J7">
        <f>IF(I7="LLD","LLD",((PPB_Mo_Aliquot_Sent!C6/E7)^2+((I7*F7)^2)/(E7^2))^0.5)</f>
        <v>6.3158256940871226E-3</v>
      </c>
      <c r="K7" s="12">
        <f t="shared" si="0"/>
        <v>2.2548488670938123E-2</v>
      </c>
      <c r="L7">
        <f>IF(PPB_Mo_Aliquot_Sent!E6="LLD","LLD",PPB_Mo_Aliquot_Sent!E6/E7)</f>
        <v>0.37725353949687274</v>
      </c>
      <c r="M7">
        <f>IF(L7="LLD","LLD",((PPB_Mo_Aliquot_Sent!F6/E7)^2+((L7*F7)^2)/(E7^2))^0.5)</f>
        <v>8.3760150045386807E-3</v>
      </c>
      <c r="N7" s="12">
        <f t="shared" si="1"/>
        <v>2.2202614760644585E-2</v>
      </c>
      <c r="O7">
        <f>IF(PPB_Mo_Aliquot_Sent!H6="LLD","LLD",PPB_Mo_Aliquot_Sent!H6/E7)</f>
        <v>0.33950943675807765</v>
      </c>
      <c r="P7">
        <f>IF(O7="LLD","LLD",((PPB_Mo_Aliquot_Sent!I6/E7)^2+((O7*F7)^2)/(E7^2))^0.5)</f>
        <v>8.2865999516493916E-3</v>
      </c>
      <c r="Q7" s="12">
        <f t="shared" si="2"/>
        <v>2.4407568846323786E-2</v>
      </c>
      <c r="R7">
        <f>IF(PPB_Mo_Aliquot_Sent!Q6="LLD","LLD",PPB_Mo_Aliquot_Sent!Q6/E7)</f>
        <v>0.99686271093150747</v>
      </c>
      <c r="S7">
        <f>IF(R7="LLD","LLD",((PPB_Mo_Aliquot_Sent!R6/E7)^2+((R7*F7)^2)/(E7^2))^0.5)</f>
        <v>1.4417172504406875E-2</v>
      </c>
      <c r="T7" s="12">
        <f t="shared" si="3"/>
        <v>1.4462545690905526E-2</v>
      </c>
    </row>
    <row r="8" spans="1:20" ht="45" x14ac:dyDescent="0.25">
      <c r="A8" s="41" t="s">
        <v>9</v>
      </c>
      <c r="B8">
        <v>233709.3215890218</v>
      </c>
      <c r="C8">
        <v>4114.906078601146</v>
      </c>
      <c r="D8">
        <v>1.7606940324944396E-2</v>
      </c>
      <c r="E8">
        <v>4063.112460710674</v>
      </c>
      <c r="F8">
        <v>20.955813963647469</v>
      </c>
      <c r="G8">
        <v>5.1575766524518283E-3</v>
      </c>
      <c r="I8">
        <f>IF(PPB_Mo_Aliquot_Sent!B7="LLD","LLD",PPB_Mo_Aliquot_Sent!B7/E8)</f>
        <v>7.9947593195497588E-3</v>
      </c>
      <c r="J8">
        <f>IF(I8="LLD","LLD",((PPB_Mo_Aliquot_Sent!C7/E8)^2+((I8*F8)^2)/(E8^2))^0.5)</f>
        <v>1.7381202595960889E-4</v>
      </c>
      <c r="K8" s="57">
        <f t="shared" si="0"/>
        <v>2.1740745282297937E-2</v>
      </c>
      <c r="L8">
        <f>IF(PPB_Mo_Aliquot_Sent!E7="LLD","LLD",PPB_Mo_Aliquot_Sent!E7/E8)</f>
        <v>1.1279222376964828E-2</v>
      </c>
      <c r="M8">
        <f>IF(L8="LLD","LLD",((PPB_Mo_Aliquot_Sent!F7/E8)^2+((L8*F8)^2)/(E8^2))^0.5)</f>
        <v>2.4425850500114845E-4</v>
      </c>
      <c r="N8" s="57">
        <f t="shared" si="1"/>
        <v>2.1655615683222034E-2</v>
      </c>
      <c r="O8">
        <f>IF(PPB_Mo_Aliquot_Sent!H7="LLD","LLD",PPB_Mo_Aliquot_Sent!H7/E8)</f>
        <v>1.0057847305687552E-2</v>
      </c>
      <c r="P8">
        <f>IF(O8="LLD","LLD",((PPB_Mo_Aliquot_Sent!I7/E8)^2+((O8*F8)^2)/(E8^2))^0.5)</f>
        <v>2.3861473563208352E-4</v>
      </c>
      <c r="Q8" s="57">
        <f t="shared" si="2"/>
        <v>2.372423525431239E-2</v>
      </c>
      <c r="R8">
        <f>IF(PPB_Mo_Aliquot_Sent!Q7="LLD","LLD",PPB_Mo_Aliquot_Sent!Q7/E8)</f>
        <v>2.9331829002202135E-2</v>
      </c>
      <c r="S8">
        <f>IF(R8="LLD","LLD",((PPB_Mo_Aliquot_Sent!R7/E8)^2+((R8*F8)^2)/(E8^2))^0.5)</f>
        <v>4.0239350718405617E-4</v>
      </c>
      <c r="T8" s="57">
        <f t="shared" si="3"/>
        <v>1.3718664020366606E-2</v>
      </c>
    </row>
    <row r="9" spans="1:20" ht="30" x14ac:dyDescent="0.25">
      <c r="A9" s="41" t="s">
        <v>19</v>
      </c>
      <c r="B9">
        <v>5668.3036690166873</v>
      </c>
      <c r="C9">
        <v>97.239223219752219</v>
      </c>
      <c r="D9">
        <v>1.7154907164072395E-2</v>
      </c>
      <c r="E9">
        <v>251.28666680903572</v>
      </c>
      <c r="F9">
        <v>0.9380661224376633</v>
      </c>
      <c r="G9">
        <v>3.7330517147992686E-3</v>
      </c>
      <c r="I9" t="str">
        <f>IF(PPB_Mo_Aliquot_Sent!B8="LLD","LLD",PPB_Mo_Aliquot_Sent!B8/E9)</f>
        <v>LLD</v>
      </c>
      <c r="J9" t="str">
        <f>IF(I9="LLD","LLD",((PPB_Mo_Aliquot_Sent!C8/E9)^2+((I9*F9)^2)/(E9^2))^0.5)</f>
        <v>LLD</v>
      </c>
      <c r="K9" s="12" t="str">
        <f t="shared" si="0"/>
        <v>LLD</v>
      </c>
      <c r="L9" t="str">
        <f>IF(PPB_Mo_Aliquot_Sent!E8="LLD","LLD",PPB_Mo_Aliquot_Sent!E8/E9)</f>
        <v>LLD</v>
      </c>
      <c r="M9" t="str">
        <f>IF(L9="LLD","LLD",((PPB_Mo_Aliquot_Sent!F8/E9)^2+((L9*F9)^2)/(E9^2))^0.5)</f>
        <v>LLD</v>
      </c>
      <c r="N9" s="12" t="str">
        <f t="shared" si="1"/>
        <v>LLD</v>
      </c>
      <c r="O9">
        <f>IF(PPB_Mo_Aliquot_Sent!H8="LLD","LLD",PPB_Mo_Aliquot_Sent!H8/E9)</f>
        <v>2.05846697958737E-5</v>
      </c>
      <c r="P9">
        <f>IF(O9="LLD","LLD",((PPB_Mo_Aliquot_Sent!I8/E9)^2+((O9*F9)^2)/(E9^2))^0.5)</f>
        <v>6.6161781466045431E-4</v>
      </c>
      <c r="Q9" s="12">
        <f t="shared" si="2"/>
        <v>32.141288697916295</v>
      </c>
      <c r="R9">
        <f>IF(PPB_Mo_Aliquot_Sent!Q8="LLD","LLD",PPB_Mo_Aliquot_Sent!Q8/E9)</f>
        <v>2.05846697958737E-5</v>
      </c>
      <c r="S9">
        <f>IF(R9="LLD","LLD",((PPB_Mo_Aliquot_Sent!R8/E9)^2+((R9*F9)^2)/(E9^2))^0.5)</f>
        <v>6.6161781466045431E-4</v>
      </c>
      <c r="T9" s="12">
        <f t="shared" si="3"/>
        <v>32.141288697916295</v>
      </c>
    </row>
    <row r="10" spans="1:20" x14ac:dyDescent="0.25">
      <c r="A10" s="41" t="s">
        <v>20</v>
      </c>
      <c r="B10">
        <v>102.32821557923549</v>
      </c>
      <c r="C10">
        <v>1.882433071843796</v>
      </c>
      <c r="D10">
        <v>1.8396031448297635E-2</v>
      </c>
      <c r="E10">
        <v>35.959884095712276</v>
      </c>
      <c r="F10">
        <v>0.25252405264652589</v>
      </c>
      <c r="G10">
        <v>7.022382273936081E-3</v>
      </c>
      <c r="I10">
        <f>IF(PPB_Mo_Aliquot_Sent!B9="LLD","LLD",PPB_Mo_Aliquot_Sent!B9/E10)</f>
        <v>0.1133336670614437</v>
      </c>
      <c r="J10">
        <f>IF(I10="LLD","LLD",((PPB_Mo_Aliquot_Sent!C9/E10)^2+((I10*F10)^2)/(E10^2))^0.5)</f>
        <v>4.039882459703225E-3</v>
      </c>
      <c r="K10" s="12">
        <f t="shared" si="0"/>
        <v>3.5645916738165792E-2</v>
      </c>
      <c r="L10">
        <f>IF(PPB_Mo_Aliquot_Sent!E9="LLD","LLD",PPB_Mo_Aliquot_Sent!E9/E10)</f>
        <v>0.26813162483691017</v>
      </c>
      <c r="M10">
        <f>IF(L10="LLD","LLD",((PPB_Mo_Aliquot_Sent!F9/E10)^2+((L10*F10)^2)/(E10^2))^0.5)</f>
        <v>9.6393495926085059E-3</v>
      </c>
      <c r="N10" s="12">
        <f t="shared" si="1"/>
        <v>3.5950065936726394E-2</v>
      </c>
      <c r="O10">
        <f>IF(PPB_Mo_Aliquot_Sent!H9="LLD","LLD",PPB_Mo_Aliquot_Sent!H9/E10)</f>
        <v>0.11736890784475777</v>
      </c>
      <c r="P10">
        <f>IF(O10="LLD","LLD",((PPB_Mo_Aliquot_Sent!I9/E10)^2+((O10*F10)^2)/(E10^2))^0.5)</f>
        <v>5.6503977109397512E-3</v>
      </c>
      <c r="Q10" s="12">
        <f t="shared" si="2"/>
        <v>4.8142202348968384E-2</v>
      </c>
      <c r="R10">
        <f>IF(PPB_Mo_Aliquot_Sent!Q9="LLD","LLD",PPB_Mo_Aliquot_Sent!Q9/E10)</f>
        <v>0.49883419974311161</v>
      </c>
      <c r="S10">
        <f>IF(R10="LLD","LLD",((PPB_Mo_Aliquot_Sent!R9/E10)^2+((R10*F10)^2)/(E10^2))^0.5)</f>
        <v>1.2189241703547432E-2</v>
      </c>
      <c r="T10" s="12">
        <f t="shared" si="3"/>
        <v>2.4435457131497033E-2</v>
      </c>
    </row>
    <row r="11" spans="1:20" x14ac:dyDescent="0.25">
      <c r="A11" s="41" t="s">
        <v>21</v>
      </c>
      <c r="B11">
        <v>522.85463717311825</v>
      </c>
      <c r="C11">
        <v>9.2633466998310787</v>
      </c>
      <c r="D11">
        <v>1.7716868210090993E-2</v>
      </c>
      <c r="E11">
        <v>183.40042322239918</v>
      </c>
      <c r="F11">
        <v>0.99992008657755271</v>
      </c>
      <c r="G11">
        <v>5.4521143899706652E-3</v>
      </c>
      <c r="I11">
        <f>IF(PPB_Mo_Aliquot_Sent!B10="LLD","LLD",PPB_Mo_Aliquot_Sent!B10/E11)</f>
        <v>1.7121290156884982E-2</v>
      </c>
      <c r="J11">
        <f>IF(I11="LLD","LLD",((PPB_Mo_Aliquot_Sent!C10/E11)^2+((I11*F11)^2)/(E11^2))^0.5)</f>
        <v>7.0041520806555168E-4</v>
      </c>
      <c r="K11" s="12">
        <f t="shared" si="0"/>
        <v>4.0909020386170711E-2</v>
      </c>
      <c r="L11">
        <f>IF(PPB_Mo_Aliquot_Sent!E10="LLD","LLD",PPB_Mo_Aliquot_Sent!E10/E11)</f>
        <v>3.9422015029667093E-2</v>
      </c>
      <c r="M11">
        <f>IF(L11="LLD","LLD",((PPB_Mo_Aliquot_Sent!F10/E11)^2+((L11*F11)^2)/(E11^2))^0.5)</f>
        <v>1.6796410209784949E-3</v>
      </c>
      <c r="N11" s="12">
        <f t="shared" si="1"/>
        <v>4.260667598331741E-2</v>
      </c>
      <c r="O11">
        <f>IF(PPB_Mo_Aliquot_Sent!H10="LLD","LLD",PPB_Mo_Aliquot_Sent!H10/E11)</f>
        <v>1.7043052931680031E-2</v>
      </c>
      <c r="P11">
        <f>IF(O11="LLD","LLD",((PPB_Mo_Aliquot_Sent!I10/E11)^2+((O11*F11)^2)/(E11^2))^0.5)</f>
        <v>1.0220666537998906E-3</v>
      </c>
      <c r="Q11" s="12">
        <f t="shared" si="2"/>
        <v>5.9969693099999055E-2</v>
      </c>
      <c r="R11">
        <f>IF(PPB_Mo_Aliquot_Sent!Q10="LLD","LLD",PPB_Mo_Aliquot_Sent!Q10/E11)</f>
        <v>7.3586358118232095E-2</v>
      </c>
      <c r="S11">
        <f>IF(R11="LLD","LLD",((PPB_Mo_Aliquot_Sent!R10/E11)^2+((R11*F11)^2)/(E11^2))^0.5)</f>
        <v>2.1104060766292446E-3</v>
      </c>
      <c r="T11" s="12">
        <f t="shared" si="3"/>
        <v>2.8679311364185594E-2</v>
      </c>
    </row>
    <row r="12" spans="1:20" x14ac:dyDescent="0.25">
      <c r="A12" s="41" t="s">
        <v>22</v>
      </c>
      <c r="B12">
        <v>31.436836099355151</v>
      </c>
      <c r="C12">
        <v>0.56958926599643611</v>
      </c>
      <c r="D12">
        <v>1.8118530255279722E-2</v>
      </c>
      <c r="E12">
        <v>10.023590741023934</v>
      </c>
      <c r="F12">
        <v>6.4224821054148507E-2</v>
      </c>
      <c r="G12">
        <v>6.4073666526799737E-3</v>
      </c>
      <c r="I12">
        <f>IF(PPB_Mo_Aliquot_Sent!B11="LLD","LLD",PPB_Mo_Aliquot_Sent!B11/E12)</f>
        <v>0.36000928039311836</v>
      </c>
      <c r="J12">
        <f>IF(I12="LLD","LLD",((PPB_Mo_Aliquot_Sent!C11/E12)^2+((I12*F12)^2)/(E12^2))^0.5)</f>
        <v>1.3630868103625137E-2</v>
      </c>
      <c r="K12" s="12">
        <f t="shared" si="0"/>
        <v>3.7862546456415444E-2</v>
      </c>
      <c r="L12">
        <f>IF(PPB_Mo_Aliquot_Sent!E11="LLD","LLD",PPB_Mo_Aliquot_Sent!E11/E12)</f>
        <v>0.92677863310419595</v>
      </c>
      <c r="M12">
        <f>IF(L12="LLD","LLD",((PPB_Mo_Aliquot_Sent!F11/E12)^2+((L12*F12)^2)/(E12^2))^0.5)</f>
        <v>3.3752997111064401E-2</v>
      </c>
      <c r="N12" s="12">
        <f t="shared" si="1"/>
        <v>3.6419697115815587E-2</v>
      </c>
      <c r="O12">
        <f>IF(PPB_Mo_Aliquot_Sent!H11="LLD","LLD",PPB_Mo_Aliquot_Sent!H11/E12)</f>
        <v>0.35982490504538966</v>
      </c>
      <c r="P12">
        <f>IF(O12="LLD","LLD",((PPB_Mo_Aliquot_Sent!I11/E12)^2+((O12*F12)^2)/(E12^2))^0.5)</f>
        <v>1.9363872410923178E-2</v>
      </c>
      <c r="Q12" s="12">
        <f t="shared" si="2"/>
        <v>5.3814708596895335E-2</v>
      </c>
      <c r="R12">
        <f>IF(PPB_Mo_Aliquot_Sent!Q11="LLD","LLD",PPB_Mo_Aliquot_Sent!Q11/E12)</f>
        <v>1.646612818542704</v>
      </c>
      <c r="S12">
        <f>IF(R12="LLD","LLD",((PPB_Mo_Aliquot_Sent!R11/E12)^2+((R12*F12)^2)/(E12^2))^0.5)</f>
        <v>4.2017118438889035E-2</v>
      </c>
      <c r="T12" s="12">
        <f t="shared" si="3"/>
        <v>2.5517303136310635E-2</v>
      </c>
    </row>
    <row r="13" spans="1:20" x14ac:dyDescent="0.25">
      <c r="A13" s="41" t="s">
        <v>23</v>
      </c>
      <c r="B13">
        <v>12.165403327394344</v>
      </c>
      <c r="C13">
        <v>0.22105887514097666</v>
      </c>
      <c r="D13">
        <v>1.8171109431546015E-2</v>
      </c>
      <c r="E13">
        <v>3.8710145055081004</v>
      </c>
      <c r="F13">
        <v>2.4758152127887532E-2</v>
      </c>
      <c r="G13">
        <v>6.3957787015933264E-3</v>
      </c>
      <c r="I13">
        <f>IF(PPB_Mo_Aliquot_Sent!B12="LLD","LLD",PPB_Mo_Aliquot_Sent!B12/E13)</f>
        <v>0.9155056961062874</v>
      </c>
      <c r="J13">
        <f>IF(I13="LLD","LLD",((PPB_Mo_Aliquot_Sent!C12/E13)^2+((I13*F13)^2)/(E13^2))^0.5)</f>
        <v>3.5065132629678378E-2</v>
      </c>
      <c r="K13" s="12">
        <f t="shared" si="0"/>
        <v>3.8301381169787305E-2</v>
      </c>
      <c r="L13">
        <f>IF(PPB_Mo_Aliquot_Sent!E12="LLD","LLD",PPB_Mo_Aliquot_Sent!E12/E13)</f>
        <v>2.2465498503650543</v>
      </c>
      <c r="M13">
        <f>IF(L13="LLD","LLD",((PPB_Mo_Aliquot_Sent!F12/E13)^2+((L13*F13)^2)/(E13^2))^0.5)</f>
        <v>8.529465062402472E-2</v>
      </c>
      <c r="N13" s="12">
        <f t="shared" si="1"/>
        <v>3.7966952128912129E-2</v>
      </c>
      <c r="O13">
        <f>IF(PPB_Mo_Aliquot_Sent!H12="LLD","LLD",PPB_Mo_Aliquot_Sent!H12/E13)</f>
        <v>0.94835422685949478</v>
      </c>
      <c r="P13">
        <f>IF(O13="LLD","LLD",((PPB_Mo_Aliquot_Sent!I12/E13)^2+((O13*F13)^2)/(E13^2))^0.5)</f>
        <v>5.0358538412375663E-2</v>
      </c>
      <c r="Q13" s="12">
        <f t="shared" si="2"/>
        <v>5.31009795560669E-2</v>
      </c>
      <c r="R13">
        <f>IF(PPB_Mo_Aliquot_Sent!Q12="LLD","LLD",PPB_Mo_Aliquot_Sent!Q12/E13)</f>
        <v>4.1104097733308365</v>
      </c>
      <c r="S13">
        <f>IF(R13="LLD","LLD",((PPB_Mo_Aliquot_Sent!R12/E13)^2+((R13*F13)^2)/(E13^2))^0.5)</f>
        <v>0.10702486604997412</v>
      </c>
      <c r="T13" s="12">
        <f t="shared" si="3"/>
        <v>2.6037517413561279E-2</v>
      </c>
    </row>
    <row r="14" spans="1:20" x14ac:dyDescent="0.25">
      <c r="A14" s="41" t="s">
        <v>24</v>
      </c>
      <c r="B14">
        <v>83.35764650467523</v>
      </c>
      <c r="C14">
        <v>1.4403676725814387</v>
      </c>
      <c r="D14">
        <v>1.7279370675378339E-2</v>
      </c>
      <c r="E14">
        <v>29.396766085112688</v>
      </c>
      <c r="F14">
        <v>0.12222887139311493</v>
      </c>
      <c r="G14">
        <v>4.1579019623867713E-3</v>
      </c>
      <c r="I14">
        <f>IF(PPB_Mo_Aliquot_Sent!B13="LLD","LLD",PPB_Mo_Aliquot_Sent!B13/E14)</f>
        <v>6.8586591377242948E-2</v>
      </c>
      <c r="J14">
        <f>IF(I14="LLD","LLD",((PPB_Mo_Aliquot_Sent!C13/E14)^2+((I14*F14)^2)/(E14^2))^0.5)</f>
        <v>3.8750557554392277E-3</v>
      </c>
      <c r="K14" s="12">
        <f t="shared" si="0"/>
        <v>5.6498736525999342E-2</v>
      </c>
      <c r="L14">
        <f>IF(PPB_Mo_Aliquot_Sent!E13="LLD","LLD",PPB_Mo_Aliquot_Sent!E13/E14)</f>
        <v>0.16069442299729395</v>
      </c>
      <c r="M14">
        <f>IF(L14="LLD","LLD",((PPB_Mo_Aliquot_Sent!F13/E14)^2+((L14*F14)^2)/(E14^2))^0.5)</f>
        <v>9.5069334027329828E-3</v>
      </c>
      <c r="N14" s="12">
        <f t="shared" si="1"/>
        <v>5.9161564075519146E-2</v>
      </c>
      <c r="O14">
        <f>IF(PPB_Mo_Aliquot_Sent!H13="LLD","LLD",PPB_Mo_Aliquot_Sent!H13/E14)</f>
        <v>6.652898746897036E-2</v>
      </c>
      <c r="P14">
        <f>IF(O14="LLD","LLD",((PPB_Mo_Aliquot_Sent!I13/E14)^2+((O14*F14)^2)/(E14^2))^0.5)</f>
        <v>5.9783944046255238E-3</v>
      </c>
      <c r="Q14" s="12">
        <f t="shared" si="2"/>
        <v>8.9861496951443812E-2</v>
      </c>
      <c r="R14">
        <f>IF(PPB_Mo_Aliquot_Sent!Q13="LLD","LLD",PPB_Mo_Aliquot_Sent!Q13/E14)</f>
        <v>0.29581000184350725</v>
      </c>
      <c r="S14">
        <f>IF(R14="LLD","LLD",((PPB_Mo_Aliquot_Sent!R13/E14)^2+((R14*F14)^2)/(E14^2))^0.5)</f>
        <v>1.1918369966010351E-2</v>
      </c>
      <c r="T14" s="12">
        <f t="shared" si="3"/>
        <v>4.0290625373497486E-2</v>
      </c>
    </row>
    <row r="15" spans="1:20" ht="30" x14ac:dyDescent="0.25">
      <c r="A15" s="41" t="s">
        <v>25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I15" t="e">
        <f>IF(PPB_Mo_Aliquot_Sent!B14="LLD","LLD",PPB_Mo_Aliquot_Sent!B14/E15)</f>
        <v>#VALUE!</v>
      </c>
      <c r="J15" t="e">
        <f>IF(I15="LLD","LLD",((PPB_Mo_Aliquot_Sent!C14/E15)^2+((I15*F15)^2)/(E15^2))^0.5)</f>
        <v>#VALUE!</v>
      </c>
      <c r="K15" s="12" t="e">
        <f t="shared" si="0"/>
        <v>#VALUE!</v>
      </c>
      <c r="L15" t="e">
        <f>IF(PPB_Mo_Aliquot_Sent!E14="LLD","LLD",PPB_Mo_Aliquot_Sent!E14/E15)</f>
        <v>#VALUE!</v>
      </c>
      <c r="M15" t="e">
        <f>IF(L15="LLD","LLD",((PPB_Mo_Aliquot_Sent!F14/E15)^2+((L15*F15)^2)/(E15^2))^0.5)</f>
        <v>#VALUE!</v>
      </c>
      <c r="N15" s="12" t="e">
        <f t="shared" si="1"/>
        <v>#VALUE!</v>
      </c>
      <c r="O15" t="e">
        <f>IF(PPB_Mo_Aliquot_Sent!H14="LLD","LLD",PPB_Mo_Aliquot_Sent!H14/E15)</f>
        <v>#VALUE!</v>
      </c>
      <c r="P15" t="e">
        <f>IF(O15="LLD","LLD",((PPB_Mo_Aliquot_Sent!I14/E15)^2+((O15*F15)^2)/(E15^2))^0.5)</f>
        <v>#VALUE!</v>
      </c>
      <c r="Q15" s="12" t="e">
        <f t="shared" si="2"/>
        <v>#VALUE!</v>
      </c>
      <c r="R15" t="e">
        <f>IF(PPB_Mo_Aliquot_Sent!Q14="LLD","LLD",PPB_Mo_Aliquot_Sent!Q14/E15)</f>
        <v>#VALUE!</v>
      </c>
      <c r="S15" t="e">
        <f>IF(R15="LLD","LLD",((PPB_Mo_Aliquot_Sent!R14/E15)^2+((R15*F15)^2)/(E15^2))^0.5)</f>
        <v>#VALUE!</v>
      </c>
      <c r="T15" s="12" t="e">
        <f t="shared" si="3"/>
        <v>#VALUE!</v>
      </c>
    </row>
    <row r="16" spans="1:20" x14ac:dyDescent="0.25">
      <c r="A16" s="41" t="s">
        <v>27</v>
      </c>
      <c r="B16">
        <v>10.397808635121049</v>
      </c>
      <c r="C16">
        <v>0.21792992917207379</v>
      </c>
      <c r="D16">
        <v>2.0959217160043137E-2</v>
      </c>
      <c r="E16">
        <v>25.024731219806906</v>
      </c>
      <c r="F16">
        <v>0.28447079217182136</v>
      </c>
      <c r="G16">
        <v>1.1367586315838816E-2</v>
      </c>
      <c r="I16">
        <f>IF(PPB_Mo_Aliquot_Sent!B15="LLD","LLD",PPB_Mo_Aliquot_Sent!B15/E16)</f>
        <v>0.31848283044022208</v>
      </c>
      <c r="J16">
        <f>IF(I16="LLD","LLD",((PPB_Mo_Aliquot_Sent!C15/E16)^2+((I16*F16)^2)/(E16^2))^0.5)</f>
        <v>9.7790540851394984E-3</v>
      </c>
      <c r="K16" s="12">
        <f t="shared" si="0"/>
        <v>3.0705121753729789E-2</v>
      </c>
      <c r="L16">
        <f>IF(PPB_Mo_Aliquot_Sent!E15="LLD","LLD",PPB_Mo_Aliquot_Sent!E15/E16)</f>
        <v>0.81226376251435195</v>
      </c>
      <c r="M16">
        <f>IF(L16="LLD","LLD",((PPB_Mo_Aliquot_Sent!F15/E16)^2+((L16*F16)^2)/(E16^2))^0.5)</f>
        <v>2.412451197747555E-2</v>
      </c>
      <c r="N16" s="12">
        <f t="shared" si="1"/>
        <v>2.9700342537500916E-2</v>
      </c>
      <c r="O16">
        <f>IF(PPB_Mo_Aliquot_Sent!H15="LLD","LLD",PPB_Mo_Aliquot_Sent!H15/E16)</f>
        <v>0.32967672678336568</v>
      </c>
      <c r="P16">
        <f>IF(O16="LLD","LLD",((PPB_Mo_Aliquot_Sent!I15/E16)^2+((O16*F16)^2)/(E16^2))^0.5)</f>
        <v>1.1812107619371291E-2</v>
      </c>
      <c r="Q16" s="12">
        <f t="shared" si="2"/>
        <v>3.5829364525125126E-2</v>
      </c>
      <c r="R16">
        <f>IF(PPB_Mo_Aliquot_Sent!Q15="LLD","LLD",PPB_Mo_Aliquot_Sent!Q15/E16)</f>
        <v>1.4604233197379395</v>
      </c>
      <c r="S16">
        <f>IF(R16="LLD","LLD",((PPB_Mo_Aliquot_Sent!R15/E16)^2+((R16*F16)^2)/(E16^2))^0.5)</f>
        <v>3.1310513705416682E-2</v>
      </c>
      <c r="T16" s="12">
        <f t="shared" si="3"/>
        <v>2.1439341102164191E-2</v>
      </c>
    </row>
    <row r="17" spans="1:24" x14ac:dyDescent="0.25">
      <c r="A17" s="41" t="s">
        <v>28</v>
      </c>
      <c r="B17">
        <v>2.6873581103720672</v>
      </c>
      <c r="C17">
        <v>4.8428642031228944E-2</v>
      </c>
      <c r="D17">
        <v>1.8020911260138661E-2</v>
      </c>
      <c r="E17">
        <v>6.2902910951364328</v>
      </c>
      <c r="F17">
        <v>3.4534602482299268E-2</v>
      </c>
      <c r="G17">
        <v>5.4901437723607017E-3</v>
      </c>
      <c r="I17">
        <f>IF(PPB_Mo_Aliquot_Sent!B16="LLD","LLD",PPB_Mo_Aliquot_Sent!B16/E17)</f>
        <v>0.45963917542486088</v>
      </c>
      <c r="J17">
        <f>IF(I17="LLD","LLD",((PPB_Mo_Aliquot_Sent!C16/E17)^2+((I17*F17)^2)/(E17^2))^0.5)</f>
        <v>1.9905794023566376E-2</v>
      </c>
      <c r="K17" s="12">
        <f t="shared" si="0"/>
        <v>4.3307435675313664E-2</v>
      </c>
      <c r="L17">
        <f>IF(PPB_Mo_Aliquot_Sent!E16="LLD","LLD",PPB_Mo_Aliquot_Sent!E16/E17)</f>
        <v>1.1789172304288078</v>
      </c>
      <c r="M17">
        <f>IF(L17="LLD","LLD",((PPB_Mo_Aliquot_Sent!F16/E17)^2+((L17*F17)^2)/(E17^2))^0.5)</f>
        <v>4.9332786842677966E-2</v>
      </c>
      <c r="N17" s="12">
        <f t="shared" si="1"/>
        <v>4.1845844279274923E-2</v>
      </c>
      <c r="O17">
        <f>IF(PPB_Mo_Aliquot_Sent!H16="LLD","LLD",PPB_Mo_Aliquot_Sent!H16/E17)</f>
        <v>0.45685669202638168</v>
      </c>
      <c r="P17">
        <f>IF(O17="LLD","LLD",((PPB_Mo_Aliquot_Sent!I16/E17)^2+((O17*F17)^2)/(E17^2))^0.5)</f>
        <v>2.9377765216881672E-2</v>
      </c>
      <c r="Q17" s="12">
        <f t="shared" si="2"/>
        <v>6.4304114899963474E-2</v>
      </c>
      <c r="R17">
        <f>IF(PPB_Mo_Aliquot_Sent!Q16="LLD","LLD",PPB_Mo_Aliquot_Sent!Q16/E17)</f>
        <v>2.09541309788005</v>
      </c>
      <c r="S17">
        <f>IF(R17="LLD","LLD",((PPB_Mo_Aliquot_Sent!R16/E17)^2+((R17*F17)^2)/(E17^2))^0.5)</f>
        <v>6.1406929287304991E-2</v>
      </c>
      <c r="T17" s="12">
        <f t="shared" si="3"/>
        <v>2.9305404910101491E-2</v>
      </c>
    </row>
    <row r="18" spans="1:24" ht="30" x14ac:dyDescent="0.25">
      <c r="A18" s="41" t="s">
        <v>29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I18" t="e">
        <f>IF(PPB_Mo_Aliquot_Sent!B17="LLD","LLD",PPB_Mo_Aliquot_Sent!B17/E18)</f>
        <v>#VALUE!</v>
      </c>
      <c r="J18" t="e">
        <f>IF(I18="LLD","LLD",((PPB_Mo_Aliquot_Sent!C17/E18)^2+((I18*F18)^2)/(E18^2))^0.5)</f>
        <v>#VALUE!</v>
      </c>
      <c r="K18" s="12" t="e">
        <f t="shared" si="0"/>
        <v>#VALUE!</v>
      </c>
      <c r="L18" t="e">
        <f>IF(PPB_Mo_Aliquot_Sent!E17="LLD","LLD",PPB_Mo_Aliquot_Sent!E17/E18)</f>
        <v>#VALUE!</v>
      </c>
      <c r="M18" t="e">
        <f>IF(L18="LLD","LLD",((PPB_Mo_Aliquot_Sent!F17/E18)^2+((L18*F18)^2)/(E18^2))^0.5)</f>
        <v>#VALUE!</v>
      </c>
      <c r="N18" s="12" t="e">
        <f t="shared" si="1"/>
        <v>#VALUE!</v>
      </c>
      <c r="O18" t="e">
        <f>IF(PPB_Mo_Aliquot_Sent!H17="LLD","LLD",PPB_Mo_Aliquot_Sent!H17/E18)</f>
        <v>#VALUE!</v>
      </c>
      <c r="P18" t="e">
        <f>IF(O18="LLD","LLD",((PPB_Mo_Aliquot_Sent!I17/E18)^2+((O18*F18)^2)/(E18^2))^0.5)</f>
        <v>#VALUE!</v>
      </c>
      <c r="Q18" s="12" t="e">
        <f t="shared" si="2"/>
        <v>#VALUE!</v>
      </c>
      <c r="R18" t="e">
        <f>IF(PPB_Mo_Aliquot_Sent!Q17="LLD","LLD",PPB_Mo_Aliquot_Sent!Q17/E18)</f>
        <v>#VALUE!</v>
      </c>
      <c r="S18" t="e">
        <f>IF(R18="LLD","LLD",((PPB_Mo_Aliquot_Sent!R17/E18)^2+((R18*F18)^2)/(E18^2))^0.5)</f>
        <v>#VALUE!</v>
      </c>
      <c r="T18" s="12" t="e">
        <f t="shared" si="3"/>
        <v>#VALUE!</v>
      </c>
    </row>
    <row r="19" spans="1:24" x14ac:dyDescent="0.25">
      <c r="A19" s="41" t="s">
        <v>30</v>
      </c>
      <c r="B19">
        <v>0.31504785512795341</v>
      </c>
      <c r="C19">
        <v>6.4554446381029518E-3</v>
      </c>
      <c r="D19">
        <v>2.0490362124449761E-2</v>
      </c>
      <c r="E19">
        <v>0.72444462751365024</v>
      </c>
      <c r="F19">
        <v>4.4739299442153792E-3</v>
      </c>
      <c r="G19">
        <v>6.1756686077861483E-3</v>
      </c>
      <c r="I19">
        <f>IF(PPB_Mo_Aliquot_Sent!B18="LLD","LLD",PPB_Mo_Aliquot_Sent!B18/E19)</f>
        <v>4.6586214988259362</v>
      </c>
      <c r="J19">
        <f>IF(I19="LLD","LLD",((PPB_Mo_Aliquot_Sent!C18/E19)^2+((I19*F19)^2)/(E19^2))^0.5)</f>
        <v>0.18285729050524799</v>
      </c>
      <c r="K19" s="12">
        <f t="shared" si="0"/>
        <v>3.9251373083503696E-2</v>
      </c>
      <c r="L19">
        <f>IF(PPB_Mo_Aliquot_Sent!E18="LLD","LLD",PPB_Mo_Aliquot_Sent!E18/E19)</f>
        <v>11.537669002222271</v>
      </c>
      <c r="M19">
        <f>IF(L19="LLD","LLD",((PPB_Mo_Aliquot_Sent!F18/E19)^2+((L19*F19)^2)/(E19^2))^0.5)</f>
        <v>0.44710276915444325</v>
      </c>
      <c r="N19" s="12">
        <f t="shared" si="1"/>
        <v>3.8751568368647668E-2</v>
      </c>
      <c r="O19">
        <f>IF(PPB_Mo_Aliquot_Sent!H18="LLD","LLD",PPB_Mo_Aliquot_Sent!H18/E19)</f>
        <v>4.8506773810512955</v>
      </c>
      <c r="P19">
        <f>IF(O19="LLD","LLD",((PPB_Mo_Aliquot_Sent!I18/E19)^2+((O19*F19)^2)/(E19^2))^0.5)</f>
        <v>0.26561785514794151</v>
      </c>
      <c r="Q19" s="12">
        <f t="shared" si="2"/>
        <v>5.4758920101664998E-2</v>
      </c>
      <c r="R19">
        <f>IF(PPB_Mo_Aliquot_Sent!Q18="LLD","LLD",PPB_Mo_Aliquot_Sent!Q18/E19)</f>
        <v>21.046967882099501</v>
      </c>
      <c r="S19">
        <f>IF(R19="LLD","LLD",((PPB_Mo_Aliquot_Sent!R18/E19)^2+((R19*F19)^2)/(E19^2))^0.5)</f>
        <v>0.56034188698189435</v>
      </c>
      <c r="T19" s="12">
        <f t="shared" si="3"/>
        <v>2.6623402008346606E-2</v>
      </c>
    </row>
    <row r="20" spans="1:24" ht="30" x14ac:dyDescent="0.25">
      <c r="A20" s="41" t="s">
        <v>10</v>
      </c>
      <c r="B20">
        <v>25933.364145695159</v>
      </c>
      <c r="C20">
        <v>614.43376301976468</v>
      </c>
      <c r="D20">
        <v>2.3692790475151614E-2</v>
      </c>
      <c r="E20">
        <v>3086.6870657605782</v>
      </c>
      <c r="F20">
        <v>46.860723262192394</v>
      </c>
      <c r="G20">
        <v>1.5181559472613928E-2</v>
      </c>
      <c r="I20">
        <f>IF(PPB_Mo_Aliquot_Sent!B19="LLD","LLD",PPB_Mo_Aliquot_Sent!B19/E20)</f>
        <v>3.8051967285652648E-3</v>
      </c>
      <c r="J20">
        <f>IF(I20="LLD","LLD",((PPB_Mo_Aliquot_Sent!C19/E20)^2+((I20*F20)^2)/(E20^2))^0.5)</f>
        <v>1.2440123186971899E-4</v>
      </c>
      <c r="K20" s="57">
        <f t="shared" si="0"/>
        <v>3.2692457379627782E-2</v>
      </c>
      <c r="L20">
        <f>IF(PPB_Mo_Aliquot_Sent!E19="LLD","LLD",PPB_Mo_Aliquot_Sent!E19/E20)</f>
        <v>9.0808772366395805E-3</v>
      </c>
      <c r="M20">
        <f>IF(L20="LLD","LLD",((PPB_Mo_Aliquot_Sent!F19/E20)^2+((L20*F20)^2)/(E20^2))^0.5)</f>
        <v>2.9131654354034578E-4</v>
      </c>
      <c r="N20" s="57">
        <f t="shared" si="1"/>
        <v>3.2080220440040746E-2</v>
      </c>
      <c r="O20">
        <f>IF(PPB_Mo_Aliquot_Sent!H19="LLD","LLD",PPB_Mo_Aliquot_Sent!H19/E20)</f>
        <v>3.6609524032812277E-3</v>
      </c>
      <c r="P20">
        <f>IF(O20="LLD","LLD",((PPB_Mo_Aliquot_Sent!I19/E20)^2+((O20*F20)^2)/(E20^2))^0.5)</f>
        <v>1.3250379911679985E-4</v>
      </c>
      <c r="Q20" s="57">
        <f t="shared" si="2"/>
        <v>3.6193805469319877E-2</v>
      </c>
      <c r="R20">
        <f>IF(PPB_Mo_Aliquot_Sent!Q19="LLD","LLD",PPB_Mo_Aliquot_Sent!Q19/E20)</f>
        <v>1.6547026368486071E-2</v>
      </c>
      <c r="S20">
        <f>IF(R20="LLD","LLD",((PPB_Mo_Aliquot_Sent!R19/E20)^2+((R20*F20)^2)/(E20^2))^0.5)</f>
        <v>3.9442666244558105E-4</v>
      </c>
      <c r="T20" s="57">
        <f t="shared" si="3"/>
        <v>2.3836709609454023E-2</v>
      </c>
    </row>
    <row r="21" spans="1:24" ht="45" x14ac:dyDescent="0.25">
      <c r="A21" s="41" t="s">
        <v>11</v>
      </c>
      <c r="B21">
        <v>3022.0120722988809</v>
      </c>
      <c r="C21">
        <v>52.852057850790239</v>
      </c>
      <c r="D21">
        <v>1.7489029357379452E-2</v>
      </c>
      <c r="E21">
        <v>103.91409023105972</v>
      </c>
      <c r="F21">
        <v>0.47975282980128503</v>
      </c>
      <c r="G21">
        <v>4.616821729705024E-3</v>
      </c>
      <c r="I21">
        <f>IF(PPB_Mo_Aliquot_Sent!B20="LLD","LLD",PPB_Mo_Aliquot_Sent!B20/E21)</f>
        <v>0.42150462514959136</v>
      </c>
      <c r="J21">
        <f>IF(I21="LLD","LLD",((PPB_Mo_Aliquot_Sent!C20/E21)^2+((I21*F21)^2)/(E21^2))^0.5)</f>
        <v>8.9808978028812474E-3</v>
      </c>
      <c r="K21" s="12">
        <f t="shared" si="0"/>
        <v>2.1306759800545343E-2</v>
      </c>
      <c r="L21">
        <f>IF(PPB_Mo_Aliquot_Sent!E20="LLD","LLD",PPB_Mo_Aliquot_Sent!E20/E21)</f>
        <v>0.56421240549459983</v>
      </c>
      <c r="M21">
        <f>IF(L21="LLD","LLD",((PPB_Mo_Aliquot_Sent!F20/E21)^2+((L21*F21)^2)/(E21^2))^0.5)</f>
        <v>1.1853599014539678E-2</v>
      </c>
      <c r="N21" s="12">
        <f t="shared" si="1"/>
        <v>2.1009107384210343E-2</v>
      </c>
      <c r="O21">
        <f>IF(PPB_Mo_Aliquot_Sent!H20="LLD","LLD",PPB_Mo_Aliquot_Sent!H20/E21)</f>
        <v>0.51519574635585874</v>
      </c>
      <c r="P21">
        <f>IF(O21="LLD","LLD",((PPB_Mo_Aliquot_Sent!I20/E21)^2+((O21*F21)^2)/(E21^2))^0.5)</f>
        <v>1.1996026733752416E-2</v>
      </c>
      <c r="Q21" s="12">
        <f t="shared" si="2"/>
        <v>2.3284405623695614E-2</v>
      </c>
      <c r="R21">
        <f>IF(PPB_Mo_Aliquot_Sent!Q20="LLD","LLD",PPB_Mo_Aliquot_Sent!Q20/E21)</f>
        <v>1.5009127770000501</v>
      </c>
      <c r="S21">
        <f>IF(R21="LLD","LLD",((PPB_Mo_Aliquot_Sent!R20/E21)^2+((R21*F21)^2)/(E21^2))^0.5)</f>
        <v>1.9921253582062842E-2</v>
      </c>
      <c r="T21" s="12">
        <f t="shared" si="3"/>
        <v>1.3272759008608385E-2</v>
      </c>
    </row>
    <row r="22" spans="1:24" ht="45" x14ac:dyDescent="0.25">
      <c r="A22" s="41" t="s">
        <v>12</v>
      </c>
      <c r="B22">
        <v>25730.349676063488</v>
      </c>
      <c r="C22">
        <v>475.51948721702013</v>
      </c>
      <c r="D22">
        <v>1.8480879319700341E-2</v>
      </c>
      <c r="E22">
        <v>1256.8637463018074</v>
      </c>
      <c r="F22">
        <v>9.0424889215792632</v>
      </c>
      <c r="G22">
        <v>7.1944862346343102E-3</v>
      </c>
      <c r="I22">
        <f>IF(PPB_Mo_Aliquot_Sent!B21="LLD","LLD",PPB_Mo_Aliquot_Sent!B21/E22)</f>
        <v>2.275193423292695E-2</v>
      </c>
      <c r="J22">
        <f>IF(I22="LLD","LLD",((PPB_Mo_Aliquot_Sent!C21/E22)^2+((I22*F22)^2)/(E22^2))^0.5)</f>
        <v>5.2756790090361392E-4</v>
      </c>
      <c r="K22" s="12">
        <f t="shared" si="0"/>
        <v>2.3187826384453481E-2</v>
      </c>
      <c r="L22">
        <f>IF(PPB_Mo_Aliquot_Sent!E21="LLD","LLD",PPB_Mo_Aliquot_Sent!E21/E22)</f>
        <v>3.2047129378584817E-2</v>
      </c>
      <c r="M22">
        <f>IF(L22="LLD","LLD",((PPB_Mo_Aliquot_Sent!F21/E22)^2+((L22*F22)^2)/(E22^2))^0.5)</f>
        <v>7.4615209242147947E-4</v>
      </c>
      <c r="N22" s="12">
        <f t="shared" si="1"/>
        <v>2.3282961902980563E-2</v>
      </c>
      <c r="O22">
        <f>IF(PPB_Mo_Aliquot_Sent!H21="LLD","LLD",PPB_Mo_Aliquot_Sent!H21/E22)</f>
        <v>2.9605599418481093E-2</v>
      </c>
      <c r="P22">
        <f>IF(O22="LLD","LLD",((PPB_Mo_Aliquot_Sent!I21/E22)^2+((O22*F22)^2)/(E22^2))^0.5)</f>
        <v>7.4132507547583395E-4</v>
      </c>
      <c r="Q22" s="12">
        <f t="shared" si="2"/>
        <v>2.5040029252475355E-2</v>
      </c>
      <c r="R22">
        <f>IF(PPB_Mo_Aliquot_Sent!Q21="LLD","LLD",PPB_Mo_Aliquot_Sent!Q21/E22)</f>
        <v>8.440466302999286E-2</v>
      </c>
      <c r="S22">
        <f>IF(R22="LLD","LLD",((PPB_Mo_Aliquot_Sent!R21/E22)^2+((R22*F22)^2)/(E22^2))^0.5)</f>
        <v>1.275955823203384E-3</v>
      </c>
      <c r="T22" s="12">
        <f t="shared" si="3"/>
        <v>1.5117124781956396E-2</v>
      </c>
    </row>
    <row r="23" spans="1:24" x14ac:dyDescent="0.25">
      <c r="A23" s="41" t="s">
        <v>31</v>
      </c>
      <c r="B23">
        <v>4.0019033608301093</v>
      </c>
      <c r="C23">
        <v>0.1043340411667537</v>
      </c>
      <c r="D23">
        <v>2.607110461185945E-2</v>
      </c>
      <c r="E23">
        <v>0.75471987885446978</v>
      </c>
      <c r="F23">
        <v>1.22268542416416E-2</v>
      </c>
      <c r="G23">
        <v>1.6200519668568666E-2</v>
      </c>
      <c r="I23">
        <f>IF(PPB_Mo_Aliquot_Sent!B22="LLD","LLD",PPB_Mo_Aliquot_Sent!B22/E23)</f>
        <v>0.93276214644793209</v>
      </c>
      <c r="J23">
        <f>IF(I23="LLD","LLD",((PPB_Mo_Aliquot_Sent!C22/E23)^2+((I23*F23)^2)/(E23^2))^0.5)</f>
        <v>0.14448617045938084</v>
      </c>
      <c r="K23" s="12">
        <f t="shared" si="0"/>
        <v>0.15490140869202418</v>
      </c>
      <c r="L23">
        <f>IF(PPB_Mo_Aliquot_Sent!E22="LLD","LLD",PPB_Mo_Aliquot_Sent!E22/E23)</f>
        <v>2.4406044680600818</v>
      </c>
      <c r="M23">
        <f>IF(L23="LLD","LLD",((PPB_Mo_Aliquot_Sent!F22/E23)^2+((L23*F23)^2)/(E23^2))^0.5)</f>
        <v>0.35890823581613135</v>
      </c>
      <c r="N23" s="12">
        <f t="shared" si="1"/>
        <v>0.14705710839799049</v>
      </c>
      <c r="O23">
        <f>IF(PPB_Mo_Aliquot_Sent!H22="LLD","LLD",PPB_Mo_Aliquot_Sent!H22/E23)</f>
        <v>1.2991867821680825</v>
      </c>
      <c r="P23">
        <f>IF(O23="LLD","LLD",((PPB_Mo_Aliquot_Sent!I22/E23)^2+((O23*F23)^2)/(E23^2))^0.5)</f>
        <v>0.23108153126974493</v>
      </c>
      <c r="Q23" s="12">
        <f t="shared" si="2"/>
        <v>0.17786628869800858</v>
      </c>
      <c r="R23">
        <f>IF(PPB_Mo_Aliquot_Sent!Q22="LLD","LLD",PPB_Mo_Aliquot_Sent!Q22/E23)</f>
        <v>4.6725533966760961</v>
      </c>
      <c r="S23">
        <f>IF(R23="LLD","LLD",((PPB_Mo_Aliquot_Sent!R22/E23)^2+((R23*F23)^2)/(E23^2))^0.5)</f>
        <v>0.45451679973810921</v>
      </c>
      <c r="T23" s="12">
        <f t="shared" si="3"/>
        <v>9.7273751876530257E-2</v>
      </c>
    </row>
    <row r="24" spans="1:24" x14ac:dyDescent="0.25">
      <c r="A24" s="41" t="s">
        <v>32</v>
      </c>
      <c r="B24">
        <v>0</v>
      </c>
      <c r="C24">
        <v>0</v>
      </c>
      <c r="D24" t="e">
        <v>#DIV/0!</v>
      </c>
      <c r="E24">
        <v>4.8283712092505128E-2</v>
      </c>
      <c r="F24">
        <v>1.4047953297641707E-3</v>
      </c>
      <c r="G24">
        <v>2.9094600826729541E-2</v>
      </c>
      <c r="I24">
        <f>IF(PPB_Mo_Aliquot_Sent!B23="LLD","LLD",PPB_Mo_Aliquot_Sent!B23/E24)</f>
        <v>282.70657491540339</v>
      </c>
      <c r="J24">
        <f>IF(I24="LLD","LLD",((PPB_Mo_Aliquot_Sent!C23/E24)^2+((I24*F24)^2)/(E24^2))^0.5)</f>
        <v>14.739521309326136</v>
      </c>
      <c r="K24" s="12">
        <f t="shared" si="0"/>
        <v>5.213717195553999E-2</v>
      </c>
      <c r="L24">
        <f>IF(PPB_Mo_Aliquot_Sent!E23="LLD","LLD",PPB_Mo_Aliquot_Sent!E23/E24)</f>
        <v>719.1138203227888</v>
      </c>
      <c r="M24">
        <f>IF(L24="LLD","LLD",((PPB_Mo_Aliquot_Sent!F23/E24)^2+((L24*F24)^2)/(E24^2))^0.5)</f>
        <v>37.043668973895734</v>
      </c>
      <c r="N24" s="12">
        <f t="shared" si="1"/>
        <v>5.1512942634405125E-2</v>
      </c>
      <c r="O24">
        <f>IF(PPB_Mo_Aliquot_Sent!H23="LLD","LLD",PPB_Mo_Aliquot_Sent!H23/E24)</f>
        <v>268.34272267190499</v>
      </c>
      <c r="P24">
        <f>IF(O24="LLD","LLD",((PPB_Mo_Aliquot_Sent!I23/E24)^2+((O24*F24)^2)/(E24^2))^0.5)</f>
        <v>14.537147911529541</v>
      </c>
      <c r="Q24" s="12">
        <f t="shared" si="2"/>
        <v>5.4173810889232489E-2</v>
      </c>
      <c r="R24">
        <f>IF(PPB_Mo_Aliquot_Sent!Q23="LLD","LLD",PPB_Mo_Aliquot_Sent!Q23/E24)</f>
        <v>1270.1631179100973</v>
      </c>
      <c r="S24">
        <f>IF(R24="LLD","LLD",((PPB_Mo_Aliquot_Sent!R23/E24)^2+((R24*F24)^2)/(E24^2))^0.5)</f>
        <v>50.991437559783513</v>
      </c>
      <c r="T24" s="12">
        <f t="shared" si="3"/>
        <v>4.0145581965632789E-2</v>
      </c>
    </row>
    <row r="25" spans="1:24" x14ac:dyDescent="0.25">
      <c r="A25" s="41" t="s">
        <v>13</v>
      </c>
      <c r="B25">
        <v>923.52767495044168</v>
      </c>
      <c r="C25">
        <v>15.719511435930013</v>
      </c>
      <c r="D25">
        <v>1.7021159042985422E-2</v>
      </c>
      <c r="E25">
        <v>75.817432579421535</v>
      </c>
      <c r="F25">
        <v>0.24281903359839671</v>
      </c>
      <c r="G25">
        <v>3.2026807732381981E-3</v>
      </c>
      <c r="I25" t="str">
        <f>IF(PPB_Mo_Aliquot_Sent!B24="LLD","LLD",PPB_Mo_Aliquot_Sent!B24/E25)</f>
        <v>LLD</v>
      </c>
      <c r="J25" t="str">
        <f>IF(I25="LLD","LLD",((PPB_Mo_Aliquot_Sent!C24/E25)^2+((I25*F25)^2)/(E25^2))^0.5)</f>
        <v>LLD</v>
      </c>
      <c r="K25" s="12" t="str">
        <f t="shared" si="0"/>
        <v>LLD</v>
      </c>
      <c r="L25" t="str">
        <f>IF(PPB_Mo_Aliquot_Sent!E24="LLD","LLD",PPB_Mo_Aliquot_Sent!E24/E25)</f>
        <v>LLD</v>
      </c>
      <c r="M25" t="str">
        <f>IF(L25="LLD","LLD",((PPB_Mo_Aliquot_Sent!F24/E25)^2+((L25*F25)^2)/(E25^2))^0.5)</f>
        <v>LLD</v>
      </c>
      <c r="N25" s="12" t="str">
        <f t="shared" si="1"/>
        <v>LLD</v>
      </c>
      <c r="O25" t="str">
        <f>IF(PPB_Mo_Aliquot_Sent!H24="LLD","LLD",PPB_Mo_Aliquot_Sent!H24/E25)</f>
        <v>LLD</v>
      </c>
      <c r="P25" t="str">
        <f>IF(O25="LLD","LLD",((PPB_Mo_Aliquot_Sent!I24/E25)^2+((O25*F25)^2)/(E25^2))^0.5)</f>
        <v>LLD</v>
      </c>
      <c r="Q25" s="12" t="str">
        <f t="shared" si="2"/>
        <v>LLD</v>
      </c>
      <c r="R25" t="str">
        <f>IF(PPB_Mo_Aliquot_Sent!Q24="LLD","LLD",PPB_Mo_Aliquot_Sent!Q24/E25)</f>
        <v>LLD</v>
      </c>
      <c r="S25" t="str">
        <f>IF(R25="LLD","LLD",((PPB_Mo_Aliquot_Sent!R24/E25)^2+((R25*F25)^2)/(E25^2))^0.5)</f>
        <v>LLD</v>
      </c>
      <c r="T25" s="12" t="str">
        <f t="shared" si="3"/>
        <v>LLD</v>
      </c>
    </row>
    <row r="26" spans="1:24" x14ac:dyDescent="0.25">
      <c r="A26" s="41" t="s">
        <v>14</v>
      </c>
      <c r="B26">
        <v>940.58147763512409</v>
      </c>
      <c r="C26">
        <v>16.010499051571564</v>
      </c>
      <c r="D26">
        <v>1.7021916157467065E-2</v>
      </c>
      <c r="E26">
        <v>14.39220773882896</v>
      </c>
      <c r="F26">
        <v>4.608868424402162E-2</v>
      </c>
      <c r="G26">
        <v>3.2023359501460119E-3</v>
      </c>
      <c r="I26" t="str">
        <f>IF(PPB_Mo_Aliquot_Sent!B25="LLD","LLD",PPB_Mo_Aliquot_Sent!B25/E26)</f>
        <v>LLD</v>
      </c>
      <c r="J26" t="str">
        <f>IF(I26="LLD","LLD",((PPB_Mo_Aliquot_Sent!C25/E26)^2+((I26*F26)^2)/(E26^2))^0.5)</f>
        <v>LLD</v>
      </c>
      <c r="K26" s="12" t="str">
        <f t="shared" si="0"/>
        <v>LLD</v>
      </c>
      <c r="L26" t="str">
        <f>IF(PPB_Mo_Aliquot_Sent!E25="LLD","LLD",PPB_Mo_Aliquot_Sent!E25/E26)</f>
        <v>LLD</v>
      </c>
      <c r="M26" t="str">
        <f>IF(L26="LLD","LLD",((PPB_Mo_Aliquot_Sent!F25/E26)^2+((L26*F26)^2)/(E26^2))^0.5)</f>
        <v>LLD</v>
      </c>
      <c r="N26" s="12" t="str">
        <f t="shared" si="1"/>
        <v>LLD</v>
      </c>
      <c r="O26" t="str">
        <f>IF(PPB_Mo_Aliquot_Sent!H25="LLD","LLD",PPB_Mo_Aliquot_Sent!H25/E26)</f>
        <v>LLD</v>
      </c>
      <c r="P26" t="str">
        <f>IF(O26="LLD","LLD",((PPB_Mo_Aliquot_Sent!I25/E26)^2+((O26*F26)^2)/(E26^2))^0.5)</f>
        <v>LLD</v>
      </c>
      <c r="Q26" s="12" t="str">
        <f t="shared" si="2"/>
        <v>LLD</v>
      </c>
      <c r="R26" t="str">
        <f>IF(PPB_Mo_Aliquot_Sent!Q25="LLD","LLD",PPB_Mo_Aliquot_Sent!Q25/E26)</f>
        <v>LLD</v>
      </c>
      <c r="S26" t="str">
        <f>IF(R26="LLD","LLD",((PPB_Mo_Aliquot_Sent!R25/E26)^2+((R26*F26)^2)/(E26^2))^0.5)</f>
        <v>LLD</v>
      </c>
      <c r="T26" s="12" t="str">
        <f t="shared" si="3"/>
        <v>LLD</v>
      </c>
    </row>
    <row r="27" spans="1:24" x14ac:dyDescent="0.25">
      <c r="A27" s="41" t="s">
        <v>15</v>
      </c>
      <c r="B27">
        <v>797.09799106696073</v>
      </c>
      <c r="C27">
        <v>13.568077754957459</v>
      </c>
      <c r="D27">
        <v>1.7021844123325188E-2</v>
      </c>
      <c r="E27">
        <v>3.174427454378518</v>
      </c>
      <c r="F27">
        <v>1.0157668795235126E-2</v>
      </c>
      <c r="G27">
        <v>3.1998427877835281E-3</v>
      </c>
      <c r="I27" t="str">
        <f>IF(PPB_Mo_Aliquot_Sent!B26="LLD","LLD",PPB_Mo_Aliquot_Sent!B26/E27)</f>
        <v>LLD</v>
      </c>
      <c r="J27" t="str">
        <f>IF(I27="LLD","LLD",((PPB_Mo_Aliquot_Sent!C26/E27)^2+((I27*F27)^2)/(E27^2))^0.5)</f>
        <v>LLD</v>
      </c>
      <c r="K27" s="12" t="str">
        <f t="shared" si="0"/>
        <v>LLD</v>
      </c>
      <c r="L27" t="str">
        <f>IF(PPB_Mo_Aliquot_Sent!E26="LLD","LLD",PPB_Mo_Aliquot_Sent!E26/E27)</f>
        <v>LLD</v>
      </c>
      <c r="M27" t="str">
        <f>IF(L27="LLD","LLD",((PPB_Mo_Aliquot_Sent!F26/E27)^2+((L27*F27)^2)/(E27^2))^0.5)</f>
        <v>LLD</v>
      </c>
      <c r="N27" s="12" t="str">
        <f t="shared" si="1"/>
        <v>LLD</v>
      </c>
      <c r="O27" t="str">
        <f>IF(PPB_Mo_Aliquot_Sent!H26="LLD","LLD",PPB_Mo_Aliquot_Sent!H26/E27)</f>
        <v>LLD</v>
      </c>
      <c r="P27" t="str">
        <f>IF(O27="LLD","LLD",((PPB_Mo_Aliquot_Sent!I26/E27)^2+((O27*F27)^2)/(E27^2))^0.5)</f>
        <v>LLD</v>
      </c>
      <c r="Q27" s="12" t="str">
        <f t="shared" si="2"/>
        <v>LLD</v>
      </c>
      <c r="R27" t="str">
        <f>IF(PPB_Mo_Aliquot_Sent!Q26="LLD","LLD",PPB_Mo_Aliquot_Sent!Q26/E27)</f>
        <v>LLD</v>
      </c>
      <c r="S27" t="str">
        <f>IF(R27="LLD","LLD",((PPB_Mo_Aliquot_Sent!R26/E27)^2+((R27*F27)^2)/(E27^2))^0.5)</f>
        <v>LLD</v>
      </c>
      <c r="T27" s="12" t="str">
        <f t="shared" si="3"/>
        <v>LLD</v>
      </c>
    </row>
    <row r="28" spans="1:24" x14ac:dyDescent="0.25">
      <c r="A28" s="41" t="s">
        <v>16</v>
      </c>
      <c r="B28">
        <v>304.33186019584014</v>
      </c>
      <c r="C28">
        <v>5.1802011518064868</v>
      </c>
      <c r="D28">
        <v>1.7021553867127101E-2</v>
      </c>
      <c r="E28">
        <v>34.639361570936096</v>
      </c>
      <c r="F28">
        <v>0.11094976596509183</v>
      </c>
      <c r="G28">
        <v>3.2029968490580791E-3</v>
      </c>
      <c r="I28" t="str">
        <f>IF(PPB_Mo_Aliquot_Sent!B27="LLD","LLD",PPB_Mo_Aliquot_Sent!B27/E28)</f>
        <v>LLD</v>
      </c>
      <c r="J28" t="str">
        <f>IF(I28="LLD","LLD",((PPB_Mo_Aliquot_Sent!C27/E28)^2+((I28*F28)^2)/(E28^2))^0.5)</f>
        <v>LLD</v>
      </c>
      <c r="K28" s="12" t="str">
        <f t="shared" si="0"/>
        <v>LLD</v>
      </c>
      <c r="L28" t="str">
        <f>IF(PPB_Mo_Aliquot_Sent!E27="LLD","LLD",PPB_Mo_Aliquot_Sent!E27/E28)</f>
        <v>LLD</v>
      </c>
      <c r="M28" t="str">
        <f>IF(L28="LLD","LLD",((PPB_Mo_Aliquot_Sent!F27/E28)^2+((L28*F28)^2)/(E28^2))^0.5)</f>
        <v>LLD</v>
      </c>
      <c r="N28" s="12" t="str">
        <f t="shared" si="1"/>
        <v>LLD</v>
      </c>
      <c r="O28" t="str">
        <f>IF(PPB_Mo_Aliquot_Sent!H27="LLD","LLD",PPB_Mo_Aliquot_Sent!H27/E28)</f>
        <v>LLD</v>
      </c>
      <c r="P28" t="str">
        <f>IF(O28="LLD","LLD",((PPB_Mo_Aliquot_Sent!I27/E28)^2+((O28*F28)^2)/(E28^2))^0.5)</f>
        <v>LLD</v>
      </c>
      <c r="Q28" s="12" t="str">
        <f t="shared" si="2"/>
        <v>LLD</v>
      </c>
      <c r="R28" t="str">
        <f>IF(PPB_Mo_Aliquot_Sent!Q27="LLD","LLD",PPB_Mo_Aliquot_Sent!Q27/E28)</f>
        <v>LLD</v>
      </c>
      <c r="S28" t="str">
        <f>IF(R28="LLD","LLD",((PPB_Mo_Aliquot_Sent!R27/E28)^2+((R28*F28)^2)/(E28^2))^0.5)</f>
        <v>LLD</v>
      </c>
      <c r="T28" s="12" t="str">
        <f t="shared" si="3"/>
        <v>LLD</v>
      </c>
    </row>
    <row r="29" spans="1:24" x14ac:dyDescent="0.25">
      <c r="A29" s="41" t="s">
        <v>17</v>
      </c>
      <c r="B29">
        <v>88.691330075357783</v>
      </c>
      <c r="C29">
        <v>1.5097444019041772</v>
      </c>
      <c r="D29">
        <v>1.7022457557253935E-2</v>
      </c>
      <c r="E29">
        <v>9.6309025495974812</v>
      </c>
      <c r="F29">
        <v>3.0777362136527073E-2</v>
      </c>
      <c r="G29">
        <v>3.1956882522722026E-3</v>
      </c>
      <c r="I29" t="str">
        <f>IF(PPB_Mo_Aliquot_Sent!B28="LLD","LLD",PPB_Mo_Aliquot_Sent!B28/E29)</f>
        <v>LLD</v>
      </c>
      <c r="J29" t="str">
        <f>IF(I29="LLD","LLD",((PPB_Mo_Aliquot_Sent!C28/E29)^2+((I29*F29)^2)/(E29^2))^0.5)</f>
        <v>LLD</v>
      </c>
      <c r="K29" s="12" t="str">
        <f t="shared" si="0"/>
        <v>LLD</v>
      </c>
      <c r="L29" t="str">
        <f>IF(PPB_Mo_Aliquot_Sent!E28="LLD","LLD",PPB_Mo_Aliquot_Sent!E28/E29)</f>
        <v>LLD</v>
      </c>
      <c r="M29" t="str">
        <f>IF(L29="LLD","LLD",((PPB_Mo_Aliquot_Sent!F28/E29)^2+((L29*F29)^2)/(E29^2))^0.5)</f>
        <v>LLD</v>
      </c>
      <c r="N29" s="12" t="str">
        <f t="shared" si="1"/>
        <v>LLD</v>
      </c>
      <c r="O29" t="str">
        <f>IF(PPB_Mo_Aliquot_Sent!H28="LLD","LLD",PPB_Mo_Aliquot_Sent!H28/E29)</f>
        <v>LLD</v>
      </c>
      <c r="P29" t="str">
        <f>IF(O29="LLD","LLD",((PPB_Mo_Aliquot_Sent!I28/E29)^2+((O29*F29)^2)/(E29^2))^0.5)</f>
        <v>LLD</v>
      </c>
      <c r="Q29" s="12" t="str">
        <f t="shared" si="2"/>
        <v>LLD</v>
      </c>
      <c r="R29" t="str">
        <f>IF(PPB_Mo_Aliquot_Sent!Q28="LLD","LLD",PPB_Mo_Aliquot_Sent!Q28/E29)</f>
        <v>LLD</v>
      </c>
      <c r="S29" t="str">
        <f>IF(R29="LLD","LLD",((PPB_Mo_Aliquot_Sent!R28/E29)^2+((R29*F29)^2)/(E29^2))^0.5)</f>
        <v>LLD</v>
      </c>
      <c r="T29" s="12" t="str">
        <f t="shared" si="3"/>
        <v>LLD</v>
      </c>
    </row>
    <row r="30" spans="1:24" x14ac:dyDescent="0.25">
      <c r="A30" s="41" t="s">
        <v>18</v>
      </c>
      <c r="B30">
        <v>124.35968653875581</v>
      </c>
      <c r="C30">
        <v>2.1168136701904681</v>
      </c>
      <c r="D30">
        <v>1.7021703166892256E-2</v>
      </c>
      <c r="E30">
        <v>12.884693996362936</v>
      </c>
      <c r="F30">
        <v>4.121254196213224E-2</v>
      </c>
      <c r="G30">
        <v>3.1985658311920817E-3</v>
      </c>
      <c r="I30" t="str">
        <f>IF(PPB_Mo_Aliquot_Sent!B29="LLD","LLD",PPB_Mo_Aliquot_Sent!B29/E30)</f>
        <v>LLD</v>
      </c>
      <c r="J30" t="str">
        <f>IF(I30="LLD","LLD",((PPB_Mo_Aliquot_Sent!C29/E30)^2+((I30*F30)^2)/(E30^2))^0.5)</f>
        <v>LLD</v>
      </c>
      <c r="K30" s="12" t="str">
        <f t="shared" si="0"/>
        <v>LLD</v>
      </c>
      <c r="L30" t="str">
        <f>IF(PPB_Mo_Aliquot_Sent!E29="LLD","LLD",PPB_Mo_Aliquot_Sent!E29/E30)</f>
        <v>LLD</v>
      </c>
      <c r="M30" t="str">
        <f>IF(L30="LLD","LLD",((PPB_Mo_Aliquot_Sent!F29/E30)^2+((L30*F30)^2)/(E30^2))^0.5)</f>
        <v>LLD</v>
      </c>
      <c r="N30" s="12" t="str">
        <f t="shared" si="1"/>
        <v>LLD</v>
      </c>
      <c r="O30" t="str">
        <f>IF(PPB_Mo_Aliquot_Sent!H29="LLD","LLD",PPB_Mo_Aliquot_Sent!H29/E30)</f>
        <v>LLD</v>
      </c>
      <c r="P30" t="str">
        <f>IF(O30="LLD","LLD",((PPB_Mo_Aliquot_Sent!I29/E30)^2+((O30*F30)^2)/(E30^2))^0.5)</f>
        <v>LLD</v>
      </c>
      <c r="Q30" s="12" t="str">
        <f t="shared" si="2"/>
        <v>LLD</v>
      </c>
      <c r="R30" t="str">
        <f>IF(PPB_Mo_Aliquot_Sent!Q29="LLD","LLD",PPB_Mo_Aliquot_Sent!Q29/E30)</f>
        <v>LLD</v>
      </c>
      <c r="S30" t="str">
        <f>IF(R30="LLD","LLD",((PPB_Mo_Aliquot_Sent!R29/E30)^2+((R30*F30)^2)/(E30^2))^0.5)</f>
        <v>LLD</v>
      </c>
      <c r="T30" s="12" t="str">
        <f t="shared" si="3"/>
        <v>LLD</v>
      </c>
    </row>
    <row r="31" spans="1:24" x14ac:dyDescent="0.25">
      <c r="V31" t="s">
        <v>91</v>
      </c>
      <c r="W31" t="s">
        <v>33</v>
      </c>
      <c r="X31" t="s">
        <v>36</v>
      </c>
    </row>
    <row r="32" spans="1:24" x14ac:dyDescent="0.25">
      <c r="G32" s="58" t="s">
        <v>84</v>
      </c>
      <c r="H32" t="s">
        <v>77</v>
      </c>
      <c r="I32">
        <f>I8/I4</f>
        <v>1.0756873197926387</v>
      </c>
      <c r="J32">
        <f>((J8/I4)^2+((I8*J4)/(I4^2))^2)^0.5</f>
        <v>5.9082488709426999E-2</v>
      </c>
      <c r="K32" s="12">
        <f>J32/I32</f>
        <v>5.4925337151707235E-2</v>
      </c>
      <c r="L32">
        <f t="shared" ref="L32:R32" si="4">L8/L4</f>
        <v>0.60903651404107673</v>
      </c>
      <c r="M32">
        <f>((M8/L4)^2+((L8*M4)/(L4^2))^2)^0.5</f>
        <v>3.3141224413625117E-2</v>
      </c>
      <c r="N32" s="12">
        <f>M32/L32</f>
        <v>5.4415825077098572E-2</v>
      </c>
      <c r="O32">
        <f t="shared" si="4"/>
        <v>1.1726882109892216</v>
      </c>
      <c r="P32">
        <f>((P8/O4)^2+((O8*P4)/(O4^2))^2)^0.5</f>
        <v>8.3821812294622919E-2</v>
      </c>
      <c r="Q32" s="12">
        <f>P32/O32</f>
        <v>7.1478344805662369E-2</v>
      </c>
      <c r="R32">
        <f t="shared" si="4"/>
        <v>0.84948982921150418</v>
      </c>
      <c r="S32">
        <f>((S8/R4)^2+((R8*S4)/(R4^2))^2)^0.5</f>
        <v>3.089309539573595E-2</v>
      </c>
      <c r="T32" s="12">
        <f>S32/R32</f>
        <v>3.6366645406939006E-2</v>
      </c>
      <c r="V32">
        <f>AVERAGE(I32,L32,O32,R32)</f>
        <v>0.92672546850861026</v>
      </c>
      <c r="W32">
        <f>(1/4)*(J32^2+M32^2+P32^2+S32^2)^0.5</f>
        <v>2.8028513146458187E-2</v>
      </c>
      <c r="X32" s="12">
        <f>W32/V32</f>
        <v>3.024467773780383E-2</v>
      </c>
    </row>
    <row r="33" spans="7:24" x14ac:dyDescent="0.25">
      <c r="G33" t="s">
        <v>85</v>
      </c>
      <c r="H33" t="s">
        <v>78</v>
      </c>
      <c r="I33">
        <f>I4/I5</f>
        <v>7.9211686006680632E-2</v>
      </c>
      <c r="K33" s="12"/>
      <c r="L33">
        <f t="shared" ref="L33:R34" si="5">L4/L5</f>
        <v>8.2389694390496537E-2</v>
      </c>
      <c r="N33" s="12"/>
      <c r="O33">
        <f t="shared" si="5"/>
        <v>8.7413710780985782E-2</v>
      </c>
      <c r="R33">
        <f t="shared" si="5"/>
        <v>8.2857039667576876E-2</v>
      </c>
      <c r="X33" s="12"/>
    </row>
    <row r="34" spans="7:24" x14ac:dyDescent="0.25">
      <c r="G34" t="s">
        <v>86</v>
      </c>
      <c r="H34" t="s">
        <v>79</v>
      </c>
      <c r="I34">
        <f>I5/I6</f>
        <v>6.6034601823243291E-2</v>
      </c>
      <c r="K34" s="12"/>
      <c r="L34">
        <f t="shared" si="5"/>
        <v>7.1724178689773085E-2</v>
      </c>
      <c r="N34" s="12"/>
      <c r="O34">
        <f t="shared" si="5"/>
        <v>7.2846406272764092E-2</v>
      </c>
      <c r="R34">
        <f t="shared" si="5"/>
        <v>7.0610495778160781E-2</v>
      </c>
      <c r="X34" s="12"/>
    </row>
    <row r="35" spans="7:24" x14ac:dyDescent="0.25">
      <c r="G35" t="s">
        <v>87</v>
      </c>
      <c r="H35" t="s">
        <v>80</v>
      </c>
      <c r="I35">
        <f>I8/I6</f>
        <v>5.6266107280758381E-3</v>
      </c>
      <c r="K35" s="12"/>
      <c r="L35">
        <f t="shared" ref="L35:R35" si="6">L8/L6</f>
        <v>3.5989996696936363E-3</v>
      </c>
      <c r="N35" s="12"/>
      <c r="O35">
        <f t="shared" si="6"/>
        <v>7.4674143084498875E-3</v>
      </c>
      <c r="R35">
        <f t="shared" si="6"/>
        <v>4.9700053588900856E-3</v>
      </c>
      <c r="X35" s="12"/>
    </row>
    <row r="36" spans="7:24" x14ac:dyDescent="0.25">
      <c r="G36" t="s">
        <v>88</v>
      </c>
      <c r="H36" t="s">
        <v>81</v>
      </c>
      <c r="I36">
        <f>I8/I20</f>
        <v>2.1010107728554033</v>
      </c>
      <c r="J36">
        <f>((J8/I20)^2+((I8*J20)/(I20^2))^2)^0.5</f>
        <v>8.248860415576971E-2</v>
      </c>
      <c r="K36" s="12">
        <f t="shared" ref="K36" si="7">J36/I36</f>
        <v>3.9261390384811121E-2</v>
      </c>
      <c r="L36">
        <f t="shared" ref="L36:R36" si="8">L8/L20</f>
        <v>1.2420851073126888</v>
      </c>
      <c r="M36">
        <f>((M8/L20)^2+((L8*M20)/(L20^2))^2)^0.5</f>
        <v>4.8075372751997525E-2</v>
      </c>
      <c r="N36" s="12">
        <f t="shared" ref="N36" si="9">M36/L36</f>
        <v>3.8705377327976277E-2</v>
      </c>
      <c r="O36">
        <f t="shared" si="8"/>
        <v>2.7473308029552457</v>
      </c>
      <c r="P36">
        <f>((P8/O20)^2+((O8*P20)/(O20^2))^2)^0.5</f>
        <v>0.1188940819337769</v>
      </c>
      <c r="Q36" s="12">
        <f>P36/O36</f>
        <v>4.327621624810709E-2</v>
      </c>
      <c r="R36">
        <f t="shared" si="8"/>
        <v>1.7726344509890195</v>
      </c>
      <c r="S36">
        <f>((S8/R20)^2+((R8*S20)/(R20^2))^2)^0.5</f>
        <v>4.875197442010136E-2</v>
      </c>
      <c r="T36" s="12">
        <f>S36/R36</f>
        <v>2.7502553836128367E-2</v>
      </c>
      <c r="V36">
        <f>AVERAGE(I36,L36,O36,R36)</f>
        <v>1.9657652835280894</v>
      </c>
      <c r="W36">
        <f t="shared" ref="W36" si="10">(1/4)*(J36^2+M36^2+P36^2+S36^2)^0.5</f>
        <v>4.0022000988163255E-2</v>
      </c>
      <c r="X36" s="12">
        <f t="shared" ref="X36" si="11">W36/V36</f>
        <v>2.035950137258153E-2</v>
      </c>
    </row>
    <row r="37" spans="7:24" x14ac:dyDescent="0.25">
      <c r="G37" t="s">
        <v>89</v>
      </c>
      <c r="H37" t="s">
        <v>82</v>
      </c>
      <c r="I37" t="e">
        <f>I22/I9</f>
        <v>#VALUE!</v>
      </c>
      <c r="L37" t="e">
        <f t="shared" ref="L37:R37" si="12">L22/L9</f>
        <v>#VALUE!</v>
      </c>
      <c r="O37">
        <f t="shared" si="12"/>
        <v>1438.235332995999</v>
      </c>
      <c r="R37">
        <f t="shared" si="12"/>
        <v>4100.3651682045538</v>
      </c>
    </row>
    <row r="38" spans="7:24" x14ac:dyDescent="0.25">
      <c r="G38" t="s">
        <v>90</v>
      </c>
      <c r="H38" t="s">
        <v>83</v>
      </c>
      <c r="I38">
        <f>I14/I23</f>
        <v>7.3530633332869216E-2</v>
      </c>
      <c r="L38">
        <f t="shared" ref="L38:R38" si="13">L14/L23</f>
        <v>6.5842058842505588E-2</v>
      </c>
      <c r="O38">
        <f t="shared" si="13"/>
        <v>5.1208177593945969E-2</v>
      </c>
      <c r="R38">
        <f t="shared" si="13"/>
        <v>6.3307998160906404E-2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B12" sqref="B12"/>
    </sheetView>
  </sheetViews>
  <sheetFormatPr defaultRowHeight="15" x14ac:dyDescent="0.25"/>
  <cols>
    <col min="1" max="1" width="17" bestFit="1" customWidth="1"/>
  </cols>
  <sheetData>
    <row r="1" spans="1:16" x14ac:dyDescent="0.25">
      <c r="A1" t="str">
        <f>PPB_Mo_Aliquot_Sent!A1</f>
        <v>Sample ID</v>
      </c>
      <c r="B1" s="24" t="str">
        <f>PPB_Mo_Aliquot_Sent!B1</f>
        <v>Mo 97</v>
      </c>
      <c r="C1" t="str">
        <f>PPB_Mo_Aliquot_Sent!C1</f>
        <v>±</v>
      </c>
      <c r="D1" t="str">
        <f>PPB_Mo_Aliquot_Sent!D1</f>
        <v>%</v>
      </c>
      <c r="E1" s="24" t="str">
        <f>PPB_Mo_Aliquot_Sent!E1</f>
        <v>Mo 98</v>
      </c>
      <c r="F1" t="str">
        <f>PPB_Mo_Aliquot_Sent!F1</f>
        <v>±</v>
      </c>
      <c r="G1" t="str">
        <f>PPB_Mo_Aliquot_Sent!G1</f>
        <v>%</v>
      </c>
      <c r="H1" s="24" t="str">
        <f>PPB_Mo_Aliquot_Sent!H1</f>
        <v>Mo 100</v>
      </c>
      <c r="I1" t="str">
        <f>PPB_Mo_Aliquot_Sent!I1</f>
        <v>±</v>
      </c>
      <c r="J1" t="str">
        <f>PPB_Mo_Aliquot_Sent!J1</f>
        <v>%</v>
      </c>
      <c r="K1" s="24"/>
      <c r="N1" s="13"/>
    </row>
    <row r="2" spans="1:16" x14ac:dyDescent="0.25">
      <c r="A2" t="str">
        <f>PPB_Mo_Aliquot_Sent!A2</f>
        <v>87G Trace</v>
      </c>
      <c r="B2" s="24">
        <f>PPB_Mo_Aliquot_Sent!B2</f>
        <v>42.724447097282315</v>
      </c>
      <c r="C2">
        <f>PPB_Mo_Aliquot_Sent!C2</f>
        <v>1.08925009065278</v>
      </c>
      <c r="D2" s="12">
        <f>PPB_Mo_Aliquot_Sent!D2</f>
        <v>2.549477324241527E-2</v>
      </c>
      <c r="E2" s="24">
        <f>PPB_Mo_Aliquot_Sent!E2</f>
        <v>59.687438818391776</v>
      </c>
      <c r="F2">
        <f>PPB_Mo_Aliquot_Sent!F2</f>
        <v>1.5091704392468031</v>
      </c>
      <c r="G2" s="12">
        <f>PPB_Mo_Aliquot_Sent!G2</f>
        <v>2.5284556836802571E-2</v>
      </c>
      <c r="H2" s="24">
        <f>PPB_Mo_Aliquot_Sent!H2</f>
        <v>53.333996504142469</v>
      </c>
      <c r="I2">
        <f>PPB_Mo_Aliquot_Sent!I2</f>
        <v>1.4464889757487225</v>
      </c>
      <c r="J2" s="12">
        <f>PPB_Mo_Aliquot_Sent!J2</f>
        <v>2.7121331056381145E-2</v>
      </c>
      <c r="K2" s="24"/>
      <c r="M2" s="12"/>
      <c r="N2" s="13"/>
      <c r="P2" s="12"/>
    </row>
    <row r="3" spans="1:16" x14ac:dyDescent="0.25">
      <c r="A3" t="str">
        <f>PPB_Mo_Aliquot_Sent!A3</f>
        <v>90G Trace</v>
      </c>
      <c r="B3" s="24">
        <f>PPB_Mo_Aliquot_Sent!B3</f>
        <v>2.356262016304516</v>
      </c>
      <c r="C3">
        <f>PPB_Mo_Aliquot_Sent!C3</f>
        <v>0.11811100219304545</v>
      </c>
      <c r="D3" s="12">
        <f>PPB_Mo_Aliquot_Sent!D3</f>
        <v>5.0126429648213261E-2</v>
      </c>
      <c r="E3" s="24">
        <f>PPB_Mo_Aliquot_Sent!E3</f>
        <v>5.8713783312816119</v>
      </c>
      <c r="F3">
        <f>PPB_Mo_Aliquot_Sent!F3</f>
        <v>0.29124892889604947</v>
      </c>
      <c r="G3" s="12">
        <f>PPB_Mo_Aliquot_Sent!G3</f>
        <v>4.9604864899325148E-2</v>
      </c>
      <c r="H3" s="24">
        <f>PPB_Mo_Aliquot_Sent!H3</f>
        <v>2.7191096202367762</v>
      </c>
      <c r="I3">
        <f>PPB_Mo_Aliquot_Sent!I3</f>
        <v>0.18270394868493758</v>
      </c>
      <c r="J3" s="12">
        <f>PPB_Mo_Aliquot_Sent!J3</f>
        <v>6.7192564553181927E-2</v>
      </c>
      <c r="K3" s="24"/>
      <c r="M3" s="12"/>
      <c r="N3" s="13"/>
      <c r="P3" s="12"/>
    </row>
    <row r="4" spans="1:16" x14ac:dyDescent="0.25">
      <c r="A4" t="str">
        <f>PPB_Mo_Aliquot_Sent!A4</f>
        <v>93G Trace</v>
      </c>
      <c r="B4" s="24">
        <f>IF(PPB_Mo_Aliquot_Sent!B4="LLD","LLD",PPB_Mo_Aliquot_Sent!B4)</f>
        <v>2.2197523732170059</v>
      </c>
      <c r="C4">
        <f>IF(PPB_Mo_Aliquot_Sent!C4="LLD","LLD",PPB_Mo_Aliquot_Sent!C4)</f>
        <v>0.11605941477693948</v>
      </c>
      <c r="D4" s="12">
        <f>IF(PPB_Mo_Aliquot_Sent!D4="LLD","LLD",C4/B4)</f>
        <v>5.2284847705214445E-2</v>
      </c>
      <c r="E4" s="24">
        <f>IF(PPB_Mo_Aliquot_Sent!E4="LLD","LLD",PPB_Mo_Aliquot_Sent!E4)</f>
        <v>5.3178658524252391</v>
      </c>
      <c r="F4">
        <f>IF(PPB_Mo_Aliquot_Sent!F4="LLD","LLD",PPB_Mo_Aliquot_Sent!F4)</f>
        <v>0.28476670677616261</v>
      </c>
      <c r="G4" s="12">
        <f>IF(PPB_Mo_Aliquot_Sent!G4="LLD","LLD",F4/E4)</f>
        <v>5.3549057963975029E-2</v>
      </c>
      <c r="H4" s="24">
        <f>IF(PPB_Mo_Aliquot_Sent!H4="LLD","LLD",PPB_Mo_Aliquot_Sent!H4)</f>
        <v>2.3212256638717248</v>
      </c>
      <c r="I4">
        <f>IF(PPB_Mo_Aliquot_Sent!I4="LLD","LLD",PPB_Mo_Aliquot_Sent!I4)</f>
        <v>0.17870768401555534</v>
      </c>
      <c r="J4" s="12">
        <f>IF(PPB_Mo_Aliquot_Sent!J4="LLD","LLD",I4/H4)</f>
        <v>7.6988500858411607E-2</v>
      </c>
      <c r="K4" s="24"/>
      <c r="M4" s="12"/>
      <c r="N4" s="24"/>
      <c r="P4" s="12"/>
    </row>
    <row r="5" spans="1:16" x14ac:dyDescent="0.25">
      <c r="A5" t="str">
        <f>PPB_Mo_Aliquot_Sent!A5</f>
        <v>96G Trace</v>
      </c>
      <c r="B5" s="24">
        <f>IF(PPB_Mo_Aliquot_Sent!B5="LLD","LLD",PPB_Mo_Aliquot_Sent!B5)</f>
        <v>2.6824168865055382</v>
      </c>
      <c r="C5">
        <f>IF(PPB_Mo_Aliquot_Sent!C5="LLD","LLD",PPB_Mo_Aliquot_Sent!C5)</f>
        <v>0.12207755543863616</v>
      </c>
      <c r="D5" s="12">
        <f>IF(PPB_Mo_Aliquot_Sent!D5="LLD","LLD",C5/B5)</f>
        <v>4.5510284420282675E-2</v>
      </c>
      <c r="E5" s="24">
        <f>IF(PPB_Mo_Aliquot_Sent!E5="LLD","LLD",PPB_Mo_Aliquot_Sent!E5)</f>
        <v>5.9165031864060307</v>
      </c>
      <c r="F5">
        <f>IF(PPB_Mo_Aliquot_Sent!F5="LLD","LLD",PPB_Mo_Aliquot_Sent!F5)</f>
        <v>0.29214850960229721</v>
      </c>
      <c r="G5" s="12">
        <f>IF(PPB_Mo_Aliquot_Sent!G5="LLD","LLD",F5/E5)</f>
        <v>4.9378577243657719E-2</v>
      </c>
      <c r="H5" s="24">
        <f>IF(PPB_Mo_Aliquot_Sent!H5="LLD","LLD",PPB_Mo_Aliquot_Sent!H5)</f>
        <v>2.5427434300485059</v>
      </c>
      <c r="I5">
        <f>IF(PPB_Mo_Aliquot_Sent!I5="LLD","LLD",PPB_Mo_Aliquot_Sent!I5)</f>
        <v>0.18121635610995809</v>
      </c>
      <c r="J5" s="12">
        <f>IF(PPB_Mo_Aliquot_Sent!J5="LLD","LLD",I5/H5)</f>
        <v>7.1268046145930339E-2</v>
      </c>
      <c r="K5" s="24"/>
      <c r="M5" s="12"/>
      <c r="N5" s="24"/>
      <c r="P5" s="12"/>
    </row>
    <row r="6" spans="1:16" x14ac:dyDescent="0.25">
      <c r="A6" t="str">
        <f>PPB_Mo_Aliquot_Sent!A6</f>
        <v>30G Trace Waste</v>
      </c>
      <c r="B6" s="24">
        <f>PPB_Mo_Aliquot_Sent!B6</f>
        <v>48.12382489499295</v>
      </c>
      <c r="C6">
        <f>PPB_Mo_Aliquot_Sent!C6</f>
        <v>1.0367620653184835</v>
      </c>
      <c r="D6" s="12">
        <f>PPB_Mo_Aliquot_Sent!D6</f>
        <v>2.1543633898193189E-2</v>
      </c>
      <c r="E6" s="24">
        <f>PPB_Mo_Aliquot_Sent!E6</f>
        <v>64.815781766905332</v>
      </c>
      <c r="F6">
        <f>PPB_Mo_Aliquot_Sent!F6</f>
        <v>1.3728862710471248</v>
      </c>
      <c r="G6" s="12">
        <f>PPB_Mo_Aliquot_Sent!G6</f>
        <v>2.1181357898056162E-2</v>
      </c>
      <c r="H6" s="24">
        <f>PPB_Mo_Aliquot_Sent!H6</f>
        <v>58.330982368155944</v>
      </c>
      <c r="I6">
        <f>PPB_Mo_Aliquot_Sent!I6</f>
        <v>1.3697516186244718</v>
      </c>
      <c r="J6" s="12">
        <f>PPB_Mo_Aliquot_Sent!J6</f>
        <v>2.3482402713180549E-2</v>
      </c>
      <c r="K6" s="24"/>
      <c r="M6" s="12"/>
      <c r="N6" s="13"/>
      <c r="P6" s="12"/>
    </row>
    <row r="7" spans="1:16" x14ac:dyDescent="0.25">
      <c r="A7" t="str">
        <f>PPB_Mo_Aliquot_Sent!A7</f>
        <v>30G Trace Original</v>
      </c>
      <c r="B7" s="24">
        <f>PPB_Mo_Aliquot_Sent!B7</f>
        <v>32.483606211645416</v>
      </c>
      <c r="C7">
        <f>PPB_Mo_Aliquot_Sent!C7</f>
        <v>0.68605761484264693</v>
      </c>
      <c r="D7" s="12">
        <f>PPB_Mo_Aliquot_Sent!D7</f>
        <v>2.1120118572201332E-2</v>
      </c>
      <c r="E7" s="24">
        <f>PPB_Mo_Aliquot_Sent!E7</f>
        <v>45.828748986972457</v>
      </c>
      <c r="F7">
        <f>PPB_Mo_Aliquot_Sent!F7</f>
        <v>0.96389211438706701</v>
      </c>
      <c r="G7" s="12">
        <f>PPB_Mo_Aliquot_Sent!G7</f>
        <v>2.1032477117389099E-2</v>
      </c>
      <c r="H7" s="24">
        <f>PPB_Mo_Aliquot_Sent!H7</f>
        <v>40.866164715664368</v>
      </c>
      <c r="I7">
        <f>PPB_Mo_Aliquot_Sent!I7</f>
        <v>0.94633079891925276</v>
      </c>
      <c r="J7" s="12">
        <f>PPB_Mo_Aliquot_Sent!J7</f>
        <v>2.3156829262143009E-2</v>
      </c>
      <c r="K7" s="24"/>
      <c r="M7" s="12"/>
      <c r="N7" s="13"/>
      <c r="P7" s="12"/>
    </row>
    <row r="9" spans="1:16" x14ac:dyDescent="0.25">
      <c r="D9" s="12"/>
      <c r="G9" s="12"/>
      <c r="J9" s="12"/>
    </row>
    <row r="10" spans="1:16" x14ac:dyDescent="0.25">
      <c r="D10" s="12"/>
    </row>
    <row r="11" spans="1:16" x14ac:dyDescent="0.25">
      <c r="A11" t="s">
        <v>70</v>
      </c>
      <c r="B11">
        <f>B7/B2-1</f>
        <v>-0.2396951062308379</v>
      </c>
      <c r="C11" t="s">
        <v>71</v>
      </c>
      <c r="E11">
        <f>E7/E2-1</f>
        <v>-0.23218771161527829</v>
      </c>
      <c r="H11">
        <f>H7/H2-1</f>
        <v>-0.2337689392451533</v>
      </c>
      <c r="J11" t="s">
        <v>72</v>
      </c>
    </row>
    <row r="13" spans="1:16" x14ac:dyDescent="0.25">
      <c r="B13" t="s">
        <v>45</v>
      </c>
    </row>
    <row r="14" spans="1:16" x14ac:dyDescent="0.25">
      <c r="B14" t="s">
        <v>46</v>
      </c>
    </row>
    <row r="15" spans="1:16" x14ac:dyDescent="0.25">
      <c r="B15" t="s">
        <v>52</v>
      </c>
    </row>
    <row r="17" spans="1:2" x14ac:dyDescent="0.25">
      <c r="B17" t="s">
        <v>53</v>
      </c>
    </row>
    <row r="18" spans="1:2" x14ac:dyDescent="0.25">
      <c r="B18" t="s">
        <v>54</v>
      </c>
    </row>
    <row r="21" spans="1:2" x14ac:dyDescent="0.25">
      <c r="A21" t="s">
        <v>69</v>
      </c>
      <c r="B2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Mo_Calculations</vt:lpstr>
      <vt:lpstr>PPB_Mo_Aliquot_Sent</vt:lpstr>
      <vt:lpstr>DF</vt:lpstr>
      <vt:lpstr>PPB_Mo_to_Stock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Paul Michael</dc:creator>
  <cp:lastModifiedBy>Mendoza, Paul Michael</cp:lastModifiedBy>
  <dcterms:created xsi:type="dcterms:W3CDTF">2015-10-01T14:52:56Z</dcterms:created>
  <dcterms:modified xsi:type="dcterms:W3CDTF">2015-12-16T16:32:04Z</dcterms:modified>
</cp:coreProperties>
</file>