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200" windowHeight="9030" activeTab="1"/>
  </bookViews>
  <sheets>
    <sheet name="Nd_Calculations" sheetId="1" r:id="rId1"/>
    <sheet name="PPB_Nd_Aliquot_Sent" sheetId="2" r:id="rId2"/>
    <sheet name="PPB_Nd_to_Stoc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R32" i="2" l="1"/>
  <c r="K7" i="2"/>
  <c r="P2" i="1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8" i="2"/>
  <c r="C7" i="2"/>
  <c r="K8" i="2" l="1"/>
  <c r="K9" i="2"/>
  <c r="O9" i="2" l="1"/>
  <c r="O10" i="2"/>
  <c r="P10" i="2" s="1"/>
  <c r="O11" i="2"/>
  <c r="O12" i="2"/>
  <c r="P12" i="2" s="1"/>
  <c r="O13" i="2"/>
  <c r="O14" i="2"/>
  <c r="O15" i="2"/>
  <c r="O16" i="2"/>
  <c r="O17" i="2"/>
  <c r="O18" i="2"/>
  <c r="O19" i="2"/>
  <c r="O20" i="2"/>
  <c r="P20" i="2" s="1"/>
  <c r="O21" i="2"/>
  <c r="O22" i="2"/>
  <c r="P22" i="2" s="1"/>
  <c r="O23" i="2"/>
  <c r="O24" i="2"/>
  <c r="P24" i="2" s="1"/>
  <c r="O25" i="2"/>
  <c r="O26" i="2"/>
  <c r="O27" i="2"/>
  <c r="O28" i="2"/>
  <c r="O29" i="2"/>
  <c r="O8" i="2"/>
  <c r="O2" i="2"/>
  <c r="P2" i="2" s="1"/>
  <c r="O3" i="2"/>
  <c r="O4" i="2"/>
  <c r="O5" i="2"/>
  <c r="O6" i="2"/>
  <c r="O7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" i="2"/>
  <c r="N4" i="2"/>
  <c r="N5" i="2"/>
  <c r="N6" i="2"/>
  <c r="N7" i="2"/>
  <c r="P3" i="2"/>
  <c r="P4" i="2"/>
  <c r="P5" i="2"/>
  <c r="P6" i="2"/>
  <c r="P7" i="2"/>
  <c r="P9" i="2"/>
  <c r="P11" i="2"/>
  <c r="P13" i="2"/>
  <c r="P14" i="2"/>
  <c r="P15" i="2"/>
  <c r="P16" i="2"/>
  <c r="P17" i="2"/>
  <c r="P18" i="2"/>
  <c r="P19" i="2"/>
  <c r="P21" i="2"/>
  <c r="P23" i="2"/>
  <c r="P25" i="2"/>
  <c r="P26" i="2"/>
  <c r="P27" i="2"/>
  <c r="P28" i="2"/>
  <c r="P29" i="2"/>
  <c r="P8" i="2"/>
  <c r="N8" i="2"/>
  <c r="N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  <c r="I4" i="2"/>
  <c r="I5" i="2"/>
  <c r="I6" i="2"/>
  <c r="J6" i="2" s="1"/>
  <c r="I7" i="2"/>
  <c r="J3" i="2"/>
  <c r="J4" i="2"/>
  <c r="J5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8" i="2"/>
  <c r="I2" i="2"/>
  <c r="J2" i="2" s="1"/>
  <c r="J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8" i="2"/>
  <c r="H7" i="2"/>
  <c r="H3" i="2"/>
  <c r="H4" i="2"/>
  <c r="H5" i="2"/>
  <c r="H6" i="2"/>
  <c r="H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8" i="2"/>
  <c r="G3" i="2"/>
  <c r="G4" i="2"/>
  <c r="G5" i="2"/>
  <c r="G6" i="2"/>
  <c r="G7" i="2"/>
  <c r="G2" i="2"/>
  <c r="F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8" i="2"/>
  <c r="F7" i="2"/>
  <c r="F3" i="2"/>
  <c r="F4" i="2"/>
  <c r="F5" i="2"/>
  <c r="F6" i="2"/>
  <c r="E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8" i="2"/>
  <c r="E3" i="2"/>
  <c r="E4" i="2"/>
  <c r="E5" i="2"/>
  <c r="E6" i="2"/>
  <c r="E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8" i="2"/>
  <c r="D7" i="2"/>
  <c r="D3" i="2"/>
  <c r="D4" i="2"/>
  <c r="D5" i="2"/>
  <c r="D6" i="2"/>
  <c r="C3" i="2"/>
  <c r="C4" i="2"/>
  <c r="C5" i="2"/>
  <c r="C6" i="2"/>
  <c r="C2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8" i="2"/>
  <c r="B3" i="2"/>
  <c r="B4" i="2"/>
  <c r="B5" i="2"/>
  <c r="B6" i="2"/>
  <c r="B7" i="2"/>
  <c r="D2" i="2"/>
  <c r="B2" i="2"/>
  <c r="P5" i="1" l="1"/>
  <c r="R5" i="1"/>
  <c r="R3" i="1"/>
  <c r="P3" i="1"/>
  <c r="N3" i="1"/>
  <c r="L3" i="1"/>
  <c r="J3" i="1"/>
  <c r="B38" i="1"/>
  <c r="S14" i="2" l="1"/>
  <c r="S15" i="2"/>
  <c r="S16" i="2"/>
  <c r="S17" i="2"/>
  <c r="S18" i="2"/>
  <c r="S25" i="2"/>
  <c r="S26" i="2"/>
  <c r="S27" i="2"/>
  <c r="S28" i="2"/>
  <c r="S4" i="2" l="1"/>
  <c r="S5" i="2"/>
  <c r="V14" i="2" l="1"/>
  <c r="V15" i="2"/>
  <c r="V16" i="2"/>
  <c r="V17" i="2"/>
  <c r="V18" i="2"/>
  <c r="V25" i="2"/>
  <c r="V26" i="2"/>
  <c r="V27" i="2"/>
  <c r="V28" i="2"/>
  <c r="T14" i="2"/>
  <c r="T15" i="2"/>
  <c r="T16" i="2"/>
  <c r="T17" i="2"/>
  <c r="T18" i="2"/>
  <c r="T25" i="2"/>
  <c r="T26" i="2"/>
  <c r="T27" i="2"/>
  <c r="T28" i="2"/>
  <c r="R14" i="2"/>
  <c r="R15" i="2"/>
  <c r="R16" i="2"/>
  <c r="R17" i="2"/>
  <c r="R18" i="2"/>
  <c r="R25" i="2"/>
  <c r="R26" i="2"/>
  <c r="R27" i="2"/>
  <c r="R28" i="2"/>
  <c r="X14" i="2"/>
  <c r="X17" i="2"/>
  <c r="X8" i="2" l="1"/>
  <c r="Y14" i="2"/>
  <c r="Z14" i="2"/>
  <c r="Y17" i="2"/>
  <c r="Z17" i="2"/>
  <c r="X9" i="2"/>
  <c r="F5" i="4"/>
  <c r="F4" i="4"/>
  <c r="P4" i="4"/>
  <c r="P5" i="4"/>
  <c r="N2" i="4"/>
  <c r="O4" i="4" l="1"/>
  <c r="V4" i="2"/>
  <c r="O5" i="4"/>
  <c r="V5" i="2"/>
  <c r="N3" i="4"/>
  <c r="N4" i="4"/>
  <c r="N5" i="4"/>
  <c r="N6" i="4"/>
  <c r="N7" i="4"/>
  <c r="N9" i="4" s="1"/>
  <c r="H2" i="4"/>
  <c r="J4" i="4"/>
  <c r="J5" i="4"/>
  <c r="H3" i="4"/>
  <c r="H4" i="4"/>
  <c r="H5" i="4"/>
  <c r="H6" i="4"/>
  <c r="H7" i="4"/>
  <c r="H9" i="4" s="1"/>
  <c r="E2" i="4"/>
  <c r="G4" i="4"/>
  <c r="G5" i="4"/>
  <c r="E3" i="4"/>
  <c r="E4" i="4"/>
  <c r="E5" i="4"/>
  <c r="E6" i="4"/>
  <c r="E7" i="4"/>
  <c r="E9" i="4" s="1"/>
  <c r="D4" i="4"/>
  <c r="D5" i="4"/>
  <c r="C4" i="4" l="1"/>
  <c r="R4" i="2"/>
  <c r="I4" i="4"/>
  <c r="T4" i="2"/>
  <c r="C5" i="4"/>
  <c r="R5" i="2"/>
  <c r="I5" i="4"/>
  <c r="T5" i="2"/>
  <c r="B4" i="4"/>
  <c r="B7" i="4"/>
  <c r="B5" i="4"/>
  <c r="B3" i="4"/>
  <c r="B6" i="4"/>
  <c r="B2" i="4"/>
  <c r="AH35" i="1"/>
  <c r="AG35" i="1"/>
  <c r="AE35" i="1"/>
  <c r="AD35" i="1"/>
  <c r="L29" i="2" s="1"/>
  <c r="AB35" i="1"/>
  <c r="AA35" i="1"/>
  <c r="Y35" i="1"/>
  <c r="X35" i="1"/>
  <c r="V35" i="1"/>
  <c r="R29" i="2" s="1"/>
  <c r="U35" i="1"/>
  <c r="A22" i="2"/>
  <c r="A23" i="2"/>
  <c r="A24" i="2"/>
  <c r="A25" i="2"/>
  <c r="A26" i="2"/>
  <c r="A27" i="2"/>
  <c r="A28" i="2"/>
  <c r="A29" i="2"/>
  <c r="AA7" i="1"/>
  <c r="AA6" i="1"/>
  <c r="S29" i="2" l="1"/>
  <c r="T29" i="2"/>
  <c r="U29" i="2"/>
  <c r="V29" i="2"/>
  <c r="B9" i="4"/>
  <c r="AC35" i="1"/>
  <c r="AI35" i="1"/>
  <c r="AF35" i="1"/>
  <c r="Z35" i="1"/>
  <c r="W35" i="1"/>
  <c r="S6" i="1"/>
  <c r="P4" i="1"/>
  <c r="R4" i="1"/>
  <c r="J2" i="1"/>
  <c r="U6" i="1" l="1"/>
  <c r="U15" i="1"/>
  <c r="U17" i="1"/>
  <c r="U19" i="1"/>
  <c r="U21" i="1"/>
  <c r="U23" i="1"/>
  <c r="U25" i="1"/>
  <c r="U27" i="1"/>
  <c r="U29" i="1"/>
  <c r="U31" i="1"/>
  <c r="U33" i="1"/>
  <c r="U7" i="1"/>
  <c r="U9" i="1"/>
  <c r="U11" i="1"/>
  <c r="U10" i="1"/>
  <c r="U34" i="1"/>
  <c r="U30" i="1"/>
  <c r="U26" i="1"/>
  <c r="U22" i="1"/>
  <c r="U18" i="1"/>
  <c r="U14" i="1"/>
  <c r="U8" i="1"/>
  <c r="U32" i="1"/>
  <c r="U28" i="1"/>
  <c r="U24" i="1"/>
  <c r="U20" i="1"/>
  <c r="U16" i="1"/>
  <c r="L2" i="1"/>
  <c r="N2" i="1"/>
  <c r="R2" i="1"/>
  <c r="AG7" i="1" l="1"/>
  <c r="AG9" i="1"/>
  <c r="AG11" i="1"/>
  <c r="AG15" i="1"/>
  <c r="AG17" i="1"/>
  <c r="AG19" i="1"/>
  <c r="AG21" i="1"/>
  <c r="AG23" i="1"/>
  <c r="AG25" i="1"/>
  <c r="AG27" i="1"/>
  <c r="AG29" i="1"/>
  <c r="AG31" i="1"/>
  <c r="AG33" i="1"/>
  <c r="AG8" i="1"/>
  <c r="AG14" i="1"/>
  <c r="AG18" i="1"/>
  <c r="AG22" i="1"/>
  <c r="AG26" i="1"/>
  <c r="AG30" i="1"/>
  <c r="AG34" i="1"/>
  <c r="AG10" i="1"/>
  <c r="AG16" i="1"/>
  <c r="AG20" i="1"/>
  <c r="AG28" i="1"/>
  <c r="AG24" i="1"/>
  <c r="AG32" i="1"/>
  <c r="AA8" i="1"/>
  <c r="AA10" i="1"/>
  <c r="AA14" i="1"/>
  <c r="AA16" i="1"/>
  <c r="AA18" i="1"/>
  <c r="AA20" i="1"/>
  <c r="AA22" i="1"/>
  <c r="AA24" i="1"/>
  <c r="AA26" i="1"/>
  <c r="AA28" i="1"/>
  <c r="AA30" i="1"/>
  <c r="AA32" i="1"/>
  <c r="AA34" i="1"/>
  <c r="AA11" i="1"/>
  <c r="AA17" i="1"/>
  <c r="AA21" i="1"/>
  <c r="AA25" i="1"/>
  <c r="AA29" i="1"/>
  <c r="AA33" i="1"/>
  <c r="AA9" i="1"/>
  <c r="AA15" i="1"/>
  <c r="AA19" i="1"/>
  <c r="AA23" i="1"/>
  <c r="AA27" i="1"/>
  <c r="AA31" i="1"/>
  <c r="AD7" i="1"/>
  <c r="AD9" i="1"/>
  <c r="AD11" i="1"/>
  <c r="AD15" i="1"/>
  <c r="AD17" i="1"/>
  <c r="AD19" i="1"/>
  <c r="AD21" i="1"/>
  <c r="AD23" i="1"/>
  <c r="AD25" i="1"/>
  <c r="AD27" i="1"/>
  <c r="AD29" i="1"/>
  <c r="AD31" i="1"/>
  <c r="AD33" i="1"/>
  <c r="AD10" i="1"/>
  <c r="AD16" i="1"/>
  <c r="AD20" i="1"/>
  <c r="AD24" i="1"/>
  <c r="AD28" i="1"/>
  <c r="AD32" i="1"/>
  <c r="AD14" i="1"/>
  <c r="AD22" i="1"/>
  <c r="AD30" i="1"/>
  <c r="AD8" i="1"/>
  <c r="AD18" i="1"/>
  <c r="AD26" i="1"/>
  <c r="AD34" i="1"/>
  <c r="X7" i="1"/>
  <c r="X9" i="1"/>
  <c r="X11" i="1"/>
  <c r="X15" i="1"/>
  <c r="X17" i="1"/>
  <c r="X19" i="1"/>
  <c r="X21" i="1"/>
  <c r="X23" i="1"/>
  <c r="X25" i="1"/>
  <c r="X27" i="1"/>
  <c r="X29" i="1"/>
  <c r="X31" i="1"/>
  <c r="X33" i="1"/>
  <c r="X6" i="1"/>
  <c r="X8" i="1"/>
  <c r="X14" i="1"/>
  <c r="X18" i="1"/>
  <c r="X22" i="1"/>
  <c r="X26" i="1"/>
  <c r="X30" i="1"/>
  <c r="X34" i="1"/>
  <c r="X10" i="1"/>
  <c r="X16" i="1"/>
  <c r="X20" i="1"/>
  <c r="X24" i="1"/>
  <c r="X28" i="1"/>
  <c r="X32" i="1"/>
  <c r="S15" i="1"/>
  <c r="S16" i="1"/>
  <c r="S17" i="1"/>
  <c r="S18" i="1"/>
  <c r="S19" i="1"/>
  <c r="S20" i="1"/>
  <c r="AH20" i="1" s="1"/>
  <c r="AI20" i="1" s="1"/>
  <c r="S21" i="1"/>
  <c r="S22" i="1"/>
  <c r="S23" i="1"/>
  <c r="AH23" i="1" s="1"/>
  <c r="AI23" i="1" s="1"/>
  <c r="S24" i="1"/>
  <c r="S25" i="1"/>
  <c r="S26" i="1"/>
  <c r="S27" i="1"/>
  <c r="S28" i="1"/>
  <c r="S29" i="1"/>
  <c r="S30" i="1"/>
  <c r="S31" i="1"/>
  <c r="S32" i="1"/>
  <c r="S33" i="1"/>
  <c r="S34" i="1"/>
  <c r="S35" i="1"/>
  <c r="S14" i="1"/>
  <c r="S7" i="1"/>
  <c r="S8" i="1"/>
  <c r="S9" i="1"/>
  <c r="S10" i="1"/>
  <c r="S11" i="1"/>
  <c r="Q17" i="1"/>
  <c r="Q20" i="1"/>
  <c r="AE20" i="1" s="1"/>
  <c r="Q15" i="1"/>
  <c r="Q16" i="1"/>
  <c r="Q18" i="1"/>
  <c r="Q19" i="1"/>
  <c r="Q21" i="1"/>
  <c r="Q22" i="1"/>
  <c r="Q23" i="1"/>
  <c r="AE23" i="1" s="1"/>
  <c r="Q24" i="1"/>
  <c r="Q25" i="1"/>
  <c r="Q26" i="1"/>
  <c r="Q27" i="1"/>
  <c r="Q28" i="1"/>
  <c r="Q29" i="1"/>
  <c r="Q30" i="1"/>
  <c r="Q31" i="1"/>
  <c r="Q32" i="1"/>
  <c r="Q33" i="1"/>
  <c r="Q34" i="1"/>
  <c r="Q35" i="1"/>
  <c r="Q14" i="1"/>
  <c r="Q6" i="1"/>
  <c r="Q7" i="1"/>
  <c r="Q8" i="1"/>
  <c r="Q9" i="1"/>
  <c r="Q10" i="1"/>
  <c r="Q11" i="1"/>
  <c r="O15" i="1"/>
  <c r="O16" i="1"/>
  <c r="O17" i="1"/>
  <c r="O18" i="1"/>
  <c r="O19" i="1"/>
  <c r="O20" i="1"/>
  <c r="AB20" i="1" s="1"/>
  <c r="AC20" i="1" s="1"/>
  <c r="O21" i="1"/>
  <c r="O22" i="1"/>
  <c r="O23" i="1"/>
  <c r="AB23" i="1" s="1"/>
  <c r="O24" i="1"/>
  <c r="O25" i="1"/>
  <c r="O26" i="1"/>
  <c r="O27" i="1"/>
  <c r="O28" i="1"/>
  <c r="O29" i="1"/>
  <c r="O30" i="1"/>
  <c r="O31" i="1"/>
  <c r="O32" i="1"/>
  <c r="O33" i="1"/>
  <c r="O34" i="1"/>
  <c r="O35" i="1"/>
  <c r="O14" i="1"/>
  <c r="O7" i="1"/>
  <c r="O8" i="1"/>
  <c r="O9" i="1"/>
  <c r="O10" i="1"/>
  <c r="O11" i="1"/>
  <c r="O6" i="1"/>
  <c r="M15" i="1"/>
  <c r="M16" i="1"/>
  <c r="M17" i="1"/>
  <c r="M18" i="1"/>
  <c r="M19" i="1"/>
  <c r="M20" i="1"/>
  <c r="Y20" i="1" s="1"/>
  <c r="Z20" i="1" s="1"/>
  <c r="M21" i="1"/>
  <c r="M22" i="1"/>
  <c r="M23" i="1"/>
  <c r="Y23" i="1" s="1"/>
  <c r="Z23" i="1" s="1"/>
  <c r="M24" i="1"/>
  <c r="M25" i="1"/>
  <c r="M26" i="1"/>
  <c r="M27" i="1"/>
  <c r="M28" i="1"/>
  <c r="M29" i="1"/>
  <c r="M30" i="1"/>
  <c r="M31" i="1"/>
  <c r="M32" i="1"/>
  <c r="M33" i="1"/>
  <c r="M34" i="1"/>
  <c r="M35" i="1"/>
  <c r="M14" i="1"/>
  <c r="M7" i="1"/>
  <c r="M8" i="1"/>
  <c r="M9" i="1"/>
  <c r="M10" i="1"/>
  <c r="M11" i="1"/>
  <c r="M6" i="1"/>
  <c r="K15" i="1"/>
  <c r="K16" i="1"/>
  <c r="K17" i="1"/>
  <c r="K18" i="1"/>
  <c r="K19" i="1"/>
  <c r="K20" i="1"/>
  <c r="V20" i="1" s="1"/>
  <c r="W20" i="1" s="1"/>
  <c r="K21" i="1"/>
  <c r="K22" i="1"/>
  <c r="K23" i="1"/>
  <c r="V23" i="1" s="1"/>
  <c r="W23" i="1" s="1"/>
  <c r="K24" i="1"/>
  <c r="K25" i="1"/>
  <c r="K26" i="1"/>
  <c r="K27" i="1"/>
  <c r="K28" i="1"/>
  <c r="K29" i="1"/>
  <c r="K30" i="1"/>
  <c r="K31" i="1"/>
  <c r="K32" i="1"/>
  <c r="K33" i="1"/>
  <c r="K34" i="1"/>
  <c r="K35" i="1"/>
  <c r="K14" i="1"/>
  <c r="K7" i="1"/>
  <c r="K8" i="1"/>
  <c r="K9" i="1"/>
  <c r="K10" i="1"/>
  <c r="K11" i="1"/>
  <c r="K6" i="1"/>
  <c r="K18" i="2" l="1"/>
  <c r="X18" i="2" s="1"/>
  <c r="L16" i="2"/>
  <c r="U16" i="2" s="1"/>
  <c r="M16" i="2"/>
  <c r="K13" i="2"/>
  <c r="X13" i="2" s="1"/>
  <c r="K10" i="2"/>
  <c r="X10" i="2" s="1"/>
  <c r="K11" i="2"/>
  <c r="X11" i="2" s="1"/>
  <c r="K25" i="2"/>
  <c r="X25" i="2" s="1"/>
  <c r="Y25" i="2" s="1"/>
  <c r="Z25" i="2" s="1"/>
  <c r="AF20" i="1"/>
  <c r="M28" i="2"/>
  <c r="L28" i="2"/>
  <c r="U28" i="2" s="1"/>
  <c r="K24" i="2"/>
  <c r="X24" i="2" s="1"/>
  <c r="K23" i="2"/>
  <c r="X23" i="2" s="1"/>
  <c r="K5" i="2"/>
  <c r="L5" i="2"/>
  <c r="M5" i="2"/>
  <c r="M5" i="4" s="1"/>
  <c r="K29" i="2"/>
  <c r="M27" i="2"/>
  <c r="L27" i="2"/>
  <c r="U27" i="2" s="1"/>
  <c r="K27" i="2"/>
  <c r="X27" i="2" s="1"/>
  <c r="M25" i="2"/>
  <c r="L25" i="2"/>
  <c r="U25" i="2" s="1"/>
  <c r="K28" i="2"/>
  <c r="X28" i="2" s="1"/>
  <c r="M26" i="2"/>
  <c r="L26" i="2"/>
  <c r="U26" i="2" s="1"/>
  <c r="AF23" i="1"/>
  <c r="K22" i="2"/>
  <c r="X22" i="2" s="1"/>
  <c r="K20" i="2"/>
  <c r="X20" i="2" s="1"/>
  <c r="L18" i="2"/>
  <c r="U18" i="2" s="1"/>
  <c r="M18" i="2"/>
  <c r="K21" i="2"/>
  <c r="X21" i="2" s="1"/>
  <c r="K3" i="2"/>
  <c r="K14" i="2"/>
  <c r="K16" i="2"/>
  <c r="X16" i="2" s="1"/>
  <c r="L14" i="2"/>
  <c r="U14" i="2" s="1"/>
  <c r="M14" i="2"/>
  <c r="X19" i="2"/>
  <c r="L17" i="2"/>
  <c r="U17" i="2" s="1"/>
  <c r="M17" i="2"/>
  <c r="K4" i="2"/>
  <c r="M4" i="2"/>
  <c r="M4" i="4" s="1"/>
  <c r="L4" i="2"/>
  <c r="K12" i="2"/>
  <c r="X12" i="2" s="1"/>
  <c r="K17" i="2"/>
  <c r="L15" i="2"/>
  <c r="U15" i="2" s="1"/>
  <c r="M15" i="2"/>
  <c r="K26" i="2"/>
  <c r="X26" i="2" s="1"/>
  <c r="K6" i="2"/>
  <c r="K15" i="2"/>
  <c r="X15" i="2" s="1"/>
  <c r="Y15" i="2" s="1"/>
  <c r="Z15" i="2" s="1"/>
  <c r="AC23" i="1"/>
  <c r="X29" i="2" l="1"/>
  <c r="Y29" i="2" s="1"/>
  <c r="Z29" i="2" s="1"/>
  <c r="M29" i="2"/>
  <c r="U5" i="2"/>
  <c r="L5" i="4"/>
  <c r="X6" i="2"/>
  <c r="K6" i="4"/>
  <c r="X5" i="2"/>
  <c r="K5" i="4"/>
  <c r="Y16" i="2"/>
  <c r="Z16" i="2"/>
  <c r="Y28" i="2"/>
  <c r="Z28" i="2"/>
  <c r="K3" i="4"/>
  <c r="X3" i="2"/>
  <c r="L4" i="4"/>
  <c r="U4" i="2"/>
  <c r="Y27" i="2"/>
  <c r="Z27" i="2"/>
  <c r="Z26" i="2"/>
  <c r="Y26" i="2"/>
  <c r="K4" i="4"/>
  <c r="X4" i="2"/>
  <c r="K7" i="4"/>
  <c r="K9" i="4" s="1"/>
  <c r="X7" i="2"/>
  <c r="Z18" i="2"/>
  <c r="Y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K1" i="2"/>
  <c r="K1" i="4" s="1"/>
  <c r="L1" i="2"/>
  <c r="L1" i="4" s="1"/>
  <c r="M1" i="2"/>
  <c r="M1" i="4" s="1"/>
  <c r="N1" i="2"/>
  <c r="N1" i="4" s="1"/>
  <c r="O1" i="2"/>
  <c r="O1" i="4" s="1"/>
  <c r="P1" i="2"/>
  <c r="P1" i="4" s="1"/>
  <c r="B1" i="2"/>
  <c r="B1" i="4" s="1"/>
  <c r="Y4" i="2" l="1"/>
  <c r="Z4" i="2"/>
  <c r="Z5" i="2"/>
  <c r="Y5" i="2"/>
  <c r="A7" i="4"/>
  <c r="A5" i="4"/>
  <c r="A3" i="4"/>
  <c r="A1" i="4"/>
  <c r="A6" i="4"/>
  <c r="A4" i="4"/>
  <c r="A2" i="4"/>
  <c r="AD6" i="1"/>
  <c r="AG6" i="1"/>
  <c r="K2" i="2" l="1"/>
  <c r="F28" i="1"/>
  <c r="F29" i="1"/>
  <c r="F30" i="1"/>
  <c r="F31" i="1"/>
  <c r="F32" i="1"/>
  <c r="F33" i="1"/>
  <c r="F34" i="1"/>
  <c r="F35" i="1"/>
  <c r="F7" i="1"/>
  <c r="F8" i="1"/>
  <c r="F9" i="1"/>
  <c r="F10" i="1"/>
  <c r="F11" i="1"/>
  <c r="F14" i="1"/>
  <c r="F15" i="1"/>
  <c r="F16" i="1"/>
  <c r="F17" i="1"/>
  <c r="F18" i="1"/>
  <c r="F19" i="1"/>
  <c r="F21" i="1"/>
  <c r="F22" i="1"/>
  <c r="F24" i="1"/>
  <c r="F25" i="1"/>
  <c r="F26" i="1"/>
  <c r="F27" i="1"/>
  <c r="F6" i="1"/>
  <c r="K2" i="4" l="1"/>
  <c r="X2" i="2"/>
  <c r="AH27" i="1"/>
  <c r="AE27" i="1"/>
  <c r="L21" i="2" s="1"/>
  <c r="M21" i="2" s="1"/>
  <c r="V27" i="1"/>
  <c r="Y27" i="1"/>
  <c r="AB27" i="1"/>
  <c r="AH25" i="1"/>
  <c r="V25" i="1"/>
  <c r="Y25" i="1"/>
  <c r="AB25" i="1"/>
  <c r="AE25" i="1"/>
  <c r="L19" i="2" s="1"/>
  <c r="M19" i="2" s="1"/>
  <c r="Y22" i="1"/>
  <c r="Z22" i="1" s="1"/>
  <c r="AE22" i="1"/>
  <c r="AF22" i="1" s="1"/>
  <c r="V22" i="1"/>
  <c r="W22" i="1" s="1"/>
  <c r="AB22" i="1"/>
  <c r="AC22" i="1" s="1"/>
  <c r="AH22" i="1"/>
  <c r="AI22" i="1" s="1"/>
  <c r="AH19" i="1"/>
  <c r="AE19" i="1"/>
  <c r="L13" i="2" s="1"/>
  <c r="M13" i="2" s="1"/>
  <c r="V19" i="1"/>
  <c r="Y19" i="1"/>
  <c r="AB19" i="1"/>
  <c r="AH17" i="1"/>
  <c r="V17" i="1"/>
  <c r="Y17" i="1"/>
  <c r="AB17" i="1"/>
  <c r="AE17" i="1"/>
  <c r="L11" i="2" s="1"/>
  <c r="M11" i="2" s="1"/>
  <c r="AH15" i="1"/>
  <c r="V15" i="1"/>
  <c r="Y15" i="1"/>
  <c r="AB15" i="1"/>
  <c r="AE15" i="1"/>
  <c r="L9" i="2" s="1"/>
  <c r="M9" i="2" s="1"/>
  <c r="AH11" i="1"/>
  <c r="AE11" i="1"/>
  <c r="L7" i="2" s="1"/>
  <c r="M7" i="2" s="1"/>
  <c r="V11" i="1"/>
  <c r="Y11" i="1"/>
  <c r="AB11" i="1"/>
  <c r="AH9" i="1"/>
  <c r="AI9" i="1" s="1"/>
  <c r="AE9" i="1"/>
  <c r="AF9" i="1" s="1"/>
  <c r="V9" i="1"/>
  <c r="W9" i="1" s="1"/>
  <c r="Y9" i="1"/>
  <c r="Z9" i="1" s="1"/>
  <c r="AB9" i="1"/>
  <c r="AC9" i="1" s="1"/>
  <c r="AE7" i="1"/>
  <c r="L3" i="2" s="1"/>
  <c r="M3" i="2" s="1"/>
  <c r="AH7" i="1"/>
  <c r="V7" i="1"/>
  <c r="Y7" i="1"/>
  <c r="AB7" i="1"/>
  <c r="V34" i="1"/>
  <c r="W34" i="1" s="1"/>
  <c r="AE34" i="1"/>
  <c r="AF34" i="1" s="1"/>
  <c r="AB34" i="1"/>
  <c r="AC34" i="1" s="1"/>
  <c r="Y34" i="1"/>
  <c r="Z34" i="1" s="1"/>
  <c r="AH34" i="1"/>
  <c r="AI34" i="1" s="1"/>
  <c r="AB32" i="1"/>
  <c r="AC32" i="1" s="1"/>
  <c r="V32" i="1"/>
  <c r="W32" i="1" s="1"/>
  <c r="Y32" i="1"/>
  <c r="Z32" i="1" s="1"/>
  <c r="AE32" i="1"/>
  <c r="AF32" i="1" s="1"/>
  <c r="AH32" i="1"/>
  <c r="AI32" i="1" s="1"/>
  <c r="Y30" i="1"/>
  <c r="V30" i="1"/>
  <c r="AB30" i="1"/>
  <c r="AE30" i="1"/>
  <c r="L24" i="2" s="1"/>
  <c r="M24" i="2" s="1"/>
  <c r="AH30" i="1"/>
  <c r="AB28" i="1"/>
  <c r="AE28" i="1"/>
  <c r="L22" i="2" s="1"/>
  <c r="M22" i="2" s="1"/>
  <c r="Y28" i="1"/>
  <c r="V28" i="1"/>
  <c r="AH28" i="1"/>
  <c r="V6" i="1"/>
  <c r="AB6" i="1"/>
  <c r="T2" i="2" s="1"/>
  <c r="Y6" i="1"/>
  <c r="V26" i="1"/>
  <c r="AE26" i="1"/>
  <c r="L20" i="2" s="1"/>
  <c r="M20" i="2" s="1"/>
  <c r="AB26" i="1"/>
  <c r="Y26" i="1"/>
  <c r="AH26" i="1"/>
  <c r="AB24" i="1"/>
  <c r="AC24" i="1" s="1"/>
  <c r="V24" i="1"/>
  <c r="W24" i="1" s="1"/>
  <c r="AE24" i="1"/>
  <c r="AF24" i="1" s="1"/>
  <c r="Y24" i="1"/>
  <c r="Z24" i="1" s="1"/>
  <c r="AH24" i="1"/>
  <c r="AI24" i="1" s="1"/>
  <c r="AE21" i="1"/>
  <c r="AH21" i="1"/>
  <c r="V21" i="1"/>
  <c r="W21" i="1" s="1"/>
  <c r="Y21" i="1"/>
  <c r="Z21" i="1" s="1"/>
  <c r="AB21" i="1"/>
  <c r="V18" i="1"/>
  <c r="AB18" i="1"/>
  <c r="AH18" i="1"/>
  <c r="Y18" i="1"/>
  <c r="AE18" i="1"/>
  <c r="L12" i="2" s="1"/>
  <c r="M12" i="2" s="1"/>
  <c r="AB16" i="1"/>
  <c r="V16" i="1"/>
  <c r="Y16" i="1"/>
  <c r="AE16" i="1"/>
  <c r="L10" i="2" s="1"/>
  <c r="M10" i="2" s="1"/>
  <c r="AH16" i="1"/>
  <c r="V14" i="1"/>
  <c r="Y14" i="1"/>
  <c r="AH14" i="1"/>
  <c r="AB14" i="1"/>
  <c r="AE14" i="1"/>
  <c r="L8" i="2" s="1"/>
  <c r="M8" i="2" s="1"/>
  <c r="AB10" i="1"/>
  <c r="Y10" i="1"/>
  <c r="V10" i="1"/>
  <c r="AH10" i="1"/>
  <c r="AE10" i="1"/>
  <c r="L6" i="2" s="1"/>
  <c r="M6" i="2" s="1"/>
  <c r="AB8" i="1"/>
  <c r="AC8" i="1" s="1"/>
  <c r="AE8" i="1"/>
  <c r="AF8" i="1" s="1"/>
  <c r="V8" i="1"/>
  <c r="W8" i="1" s="1"/>
  <c r="Y8" i="1"/>
  <c r="Z8" i="1" s="1"/>
  <c r="AH8" i="1"/>
  <c r="AI8" i="1" s="1"/>
  <c r="AH33" i="1"/>
  <c r="AI33" i="1" s="1"/>
  <c r="V33" i="1"/>
  <c r="W33" i="1" s="1"/>
  <c r="Y33" i="1"/>
  <c r="Z33" i="1" s="1"/>
  <c r="AB33" i="1"/>
  <c r="AC33" i="1" s="1"/>
  <c r="AE33" i="1"/>
  <c r="AF33" i="1" s="1"/>
  <c r="AH31" i="1"/>
  <c r="AI31" i="1" s="1"/>
  <c r="AE31" i="1"/>
  <c r="AF31" i="1" s="1"/>
  <c r="V31" i="1"/>
  <c r="W31" i="1" s="1"/>
  <c r="Y31" i="1"/>
  <c r="Z31" i="1" s="1"/>
  <c r="AB31" i="1"/>
  <c r="AC31" i="1" s="1"/>
  <c r="V29" i="1"/>
  <c r="Y29" i="1"/>
  <c r="AB29" i="1"/>
  <c r="AH29" i="1"/>
  <c r="AE29" i="1"/>
  <c r="L23" i="2" s="1"/>
  <c r="M23" i="2" s="1"/>
  <c r="G27" i="1"/>
  <c r="G6" i="1"/>
  <c r="AE6" i="1"/>
  <c r="AH6" i="1"/>
  <c r="V2" i="2" s="1"/>
  <c r="G26" i="1"/>
  <c r="G24" i="1"/>
  <c r="G21" i="1"/>
  <c r="G18" i="1"/>
  <c r="G16" i="1"/>
  <c r="G14" i="1"/>
  <c r="G10" i="1"/>
  <c r="G8" i="1"/>
  <c r="G35" i="1"/>
  <c r="G33" i="1"/>
  <c r="G31" i="1"/>
  <c r="G29" i="1"/>
  <c r="G25" i="1"/>
  <c r="G22" i="1"/>
  <c r="G19" i="1"/>
  <c r="G17" i="1"/>
  <c r="G15" i="1"/>
  <c r="G11" i="1"/>
  <c r="G9" i="1"/>
  <c r="G7" i="1"/>
  <c r="G34" i="1"/>
  <c r="G32" i="1"/>
  <c r="G30" i="1"/>
  <c r="G28" i="1"/>
  <c r="L2" i="2" l="1"/>
  <c r="M2" i="2" s="1"/>
  <c r="T12" i="2"/>
  <c r="U12" i="2"/>
  <c r="V12" i="2"/>
  <c r="AI29" i="1"/>
  <c r="AI10" i="1"/>
  <c r="V6" i="2"/>
  <c r="AI14" i="1"/>
  <c r="AI30" i="1"/>
  <c r="AI7" i="1"/>
  <c r="V3" i="2"/>
  <c r="AI15" i="1"/>
  <c r="AI19" i="1"/>
  <c r="AI25" i="1"/>
  <c r="O2" i="4"/>
  <c r="P2" i="4"/>
  <c r="AI16" i="1"/>
  <c r="AI26" i="1"/>
  <c r="AI28" i="1"/>
  <c r="AI11" i="1"/>
  <c r="V7" i="2"/>
  <c r="AI17" i="1"/>
  <c r="AI27" i="1"/>
  <c r="AF29" i="1"/>
  <c r="AF10" i="1"/>
  <c r="U6" i="2"/>
  <c r="AF30" i="1"/>
  <c r="AF7" i="1"/>
  <c r="U3" i="2"/>
  <c r="AF17" i="1"/>
  <c r="AF19" i="1"/>
  <c r="M2" i="4"/>
  <c r="AF14" i="1"/>
  <c r="AF16" i="1"/>
  <c r="AF26" i="1"/>
  <c r="AF28" i="1"/>
  <c r="AF11" i="1"/>
  <c r="U7" i="2"/>
  <c r="AF15" i="1"/>
  <c r="AF25" i="1"/>
  <c r="AF27" i="1"/>
  <c r="AC29" i="1"/>
  <c r="AC10" i="1"/>
  <c r="T6" i="2"/>
  <c r="AC14" i="1"/>
  <c r="AC16" i="1"/>
  <c r="AC26" i="1"/>
  <c r="I2" i="4"/>
  <c r="J2" i="4"/>
  <c r="AC28" i="1"/>
  <c r="AC7" i="1"/>
  <c r="T3" i="2"/>
  <c r="AC11" i="1"/>
  <c r="T7" i="2"/>
  <c r="AC15" i="1"/>
  <c r="AC25" i="1"/>
  <c r="AC27" i="1"/>
  <c r="AC30" i="1"/>
  <c r="AC17" i="1"/>
  <c r="AC19" i="1"/>
  <c r="Z14" i="1"/>
  <c r="Z16" i="1"/>
  <c r="Z18" i="1"/>
  <c r="Z28" i="1"/>
  <c r="Z17" i="1"/>
  <c r="Z19" i="1"/>
  <c r="Z29" i="1"/>
  <c r="Z10" i="1"/>
  <c r="S6" i="2"/>
  <c r="Z26" i="1"/>
  <c r="Z6" i="1"/>
  <c r="S2" i="2"/>
  <c r="Z30" i="1"/>
  <c r="Z7" i="1"/>
  <c r="S3" i="2"/>
  <c r="Z11" i="1"/>
  <c r="S7" i="2"/>
  <c r="Z15" i="1"/>
  <c r="Z25" i="1"/>
  <c r="Z27" i="1"/>
  <c r="W29" i="1"/>
  <c r="R23" i="2"/>
  <c r="W10" i="1"/>
  <c r="R6" i="2"/>
  <c r="W26" i="1"/>
  <c r="R20" i="2"/>
  <c r="W30" i="1"/>
  <c r="R24" i="2"/>
  <c r="W7" i="1"/>
  <c r="R3" i="2"/>
  <c r="Y3" i="2" s="1"/>
  <c r="Z3" i="2" s="1"/>
  <c r="W11" i="1"/>
  <c r="R7" i="2"/>
  <c r="W15" i="1"/>
  <c r="R9" i="2"/>
  <c r="W25" i="1"/>
  <c r="R19" i="2"/>
  <c r="W27" i="1"/>
  <c r="R21" i="2"/>
  <c r="W14" i="1"/>
  <c r="R8" i="2"/>
  <c r="W16" i="1"/>
  <c r="R10" i="2"/>
  <c r="W18" i="1"/>
  <c r="R12" i="2"/>
  <c r="W6" i="1"/>
  <c r="R2" i="2"/>
  <c r="W28" i="1"/>
  <c r="R22" i="2"/>
  <c r="W17" i="1"/>
  <c r="R11" i="2"/>
  <c r="W19" i="1"/>
  <c r="R13" i="2"/>
  <c r="AF18" i="1"/>
  <c r="AI18" i="1"/>
  <c r="AI21" i="1"/>
  <c r="AC18" i="1"/>
  <c r="AC21" i="1"/>
  <c r="AF21" i="1"/>
  <c r="AI6" i="1"/>
  <c r="AC6" i="1"/>
  <c r="AF6" i="1"/>
  <c r="Y7" i="2" l="1"/>
  <c r="Z7" i="2" s="1"/>
  <c r="L2" i="4"/>
  <c r="U2" i="2"/>
  <c r="Y2" i="2" s="1"/>
  <c r="Z2" i="2" s="1"/>
  <c r="Y6" i="2"/>
  <c r="Z6" i="2" s="1"/>
  <c r="S21" i="2"/>
  <c r="S19" i="2"/>
  <c r="S9" i="2"/>
  <c r="S24" i="2"/>
  <c r="S20" i="2"/>
  <c r="S23" i="2"/>
  <c r="S13" i="2"/>
  <c r="S11" i="2"/>
  <c r="S22" i="2"/>
  <c r="S12" i="2"/>
  <c r="Y12" i="2" s="1"/>
  <c r="Z12" i="2" s="1"/>
  <c r="S10" i="2"/>
  <c r="S8" i="2"/>
  <c r="T13" i="2"/>
  <c r="T11" i="2"/>
  <c r="T24" i="2"/>
  <c r="T21" i="2"/>
  <c r="T19" i="2"/>
  <c r="T9" i="2"/>
  <c r="T22" i="2"/>
  <c r="T20" i="2"/>
  <c r="T10" i="2"/>
  <c r="T8" i="2"/>
  <c r="T23" i="2"/>
  <c r="U21" i="2"/>
  <c r="U19" i="2"/>
  <c r="U9" i="2"/>
  <c r="U22" i="2"/>
  <c r="U20" i="2"/>
  <c r="U10" i="2"/>
  <c r="U8" i="2"/>
  <c r="U13" i="2"/>
  <c r="U11" i="2"/>
  <c r="U24" i="2"/>
  <c r="U23" i="2"/>
  <c r="V21" i="2"/>
  <c r="V11" i="2"/>
  <c r="V22" i="2"/>
  <c r="V20" i="2"/>
  <c r="V10" i="2"/>
  <c r="V19" i="2"/>
  <c r="V13" i="2"/>
  <c r="V9" i="2"/>
  <c r="V24" i="2"/>
  <c r="V8" i="2"/>
  <c r="V23" i="2"/>
  <c r="O7" i="4"/>
  <c r="P7" i="4"/>
  <c r="O3" i="4"/>
  <c r="P3" i="4"/>
  <c r="O6" i="4"/>
  <c r="P6" i="4"/>
  <c r="L7" i="4"/>
  <c r="M7" i="4"/>
  <c r="L3" i="4"/>
  <c r="M3" i="4"/>
  <c r="L6" i="4"/>
  <c r="M6" i="4"/>
  <c r="I7" i="4"/>
  <c r="J7" i="4"/>
  <c r="I3" i="4"/>
  <c r="J3" i="4"/>
  <c r="I6" i="4"/>
  <c r="J6" i="4"/>
  <c r="F7" i="4"/>
  <c r="G7" i="4"/>
  <c r="F3" i="4"/>
  <c r="G3" i="4"/>
  <c r="F2" i="4"/>
  <c r="G2" i="4"/>
  <c r="F6" i="4"/>
  <c r="G6" i="4"/>
  <c r="C2" i="4"/>
  <c r="D2" i="4"/>
  <c r="C7" i="4"/>
  <c r="D7" i="4"/>
  <c r="C3" i="4"/>
  <c r="D3" i="4"/>
  <c r="C6" i="4"/>
  <c r="D6" i="4"/>
  <c r="Y10" i="2" l="1"/>
  <c r="Z10" i="2" s="1"/>
  <c r="Y22" i="2"/>
  <c r="Z22" i="2" s="1"/>
  <c r="Y13" i="2"/>
  <c r="Z13" i="2" s="1"/>
  <c r="Y20" i="2"/>
  <c r="Z20" i="2" s="1"/>
  <c r="Y9" i="2"/>
  <c r="Z9" i="2" s="1"/>
  <c r="Y21" i="2"/>
  <c r="Z21" i="2" s="1"/>
  <c r="Y8" i="2"/>
  <c r="Z8" i="2" s="1"/>
  <c r="Y11" i="2"/>
  <c r="Z11" i="2" s="1"/>
  <c r="Y23" i="2"/>
  <c r="Z23" i="2" s="1"/>
  <c r="Y24" i="2"/>
  <c r="Z24" i="2" s="1"/>
  <c r="Y19" i="2"/>
  <c r="Z19" i="2" s="1"/>
</calcChain>
</file>

<file path=xl/sharedStrings.xml><?xml version="1.0" encoding="utf-8"?>
<sst xmlns="http://schemas.openxmlformats.org/spreadsheetml/2006/main" count="154" uniqueCount="75">
  <si>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</si>
  <si>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</si>
  <si>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</si>
  <si>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</si>
  <si>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</si>
  <si>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</si>
  <si>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</si>
  <si>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</si>
  <si>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</si>
  <si>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</si>
  <si>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</si>
  <si>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</si>
  <si>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</si>
  <si>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</si>
  <si>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</si>
  <si>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</si>
  <si>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</si>
  <si>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</si>
  <si>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</si>
  <si>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</si>
  <si>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</si>
  <si>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</si>
  <si>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</si>
  <si>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</si>
  <si>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</si>
  <si>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</si>
  <si>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</si>
  <si>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</si>
  <si>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</si>
  <si>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</si>
  <si>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</si>
  <si>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</si>
  <si>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</si>
  <si>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</si>
  <si>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</si>
  <si>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</si>
  <si>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</si>
  <si>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</si>
  <si>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</si>
  <si>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</si>
  <si>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Nd 143</t>
  </si>
  <si>
    <t>Nd145</t>
  </si>
  <si>
    <t>Nd146</t>
  </si>
  <si>
    <t>Nd148</t>
  </si>
  <si>
    <t>Nd150</t>
  </si>
  <si>
    <t>ppb</t>
  </si>
  <si>
    <t>148 yield is higher than 150</t>
  </si>
  <si>
    <t>Their removal cross sections are about the same</t>
  </si>
  <si>
    <t>The reason why 150 is about the same as 148 or even higher is because 149 has a much larger absorption cross section, a high yield, and a long half life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</si>
  <si>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</si>
  <si>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</si>
  <si>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</si>
  <si>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Background subtracted Nd values reported above. Isotopes 148 and 150 had Sm subtracted out as well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</si>
  <si>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</si>
  <si>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</si>
  <si>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</si>
  <si>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Vial 87G basically vial 30G after 4 TBP contacts…as you can see we gain Nd in all cases</t>
  </si>
  <si>
    <t>Based on dry run and blanks sent I would estimate the Nd concentration in TBP to be about 0.145 ppb</t>
  </si>
  <si>
    <t>Based on dry run and blanks sent I would estimate the Nd concentration in the vials themselves to be 0</t>
  </si>
  <si>
    <t xml:space="preserve">I have created something from nothing…go me. Why am I getting so much more Nd in my waste stream after first contacts? </t>
  </si>
  <si>
    <t>Lower limits of detection were determined based on the background Nd levels within each sample (see Mass_Contamination.xlsx File)</t>
  </si>
  <si>
    <t>Nd DF</t>
  </si>
  <si>
    <t>The book says ~51 (lab notebook pg 123)</t>
  </si>
  <si>
    <t>% of STD</t>
  </si>
  <si>
    <t>% of Prop</t>
  </si>
  <si>
    <t>Nd Response</t>
  </si>
  <si>
    <t>Sm Response</t>
  </si>
  <si>
    <t>MS-B (ppb/cps)</t>
  </si>
  <si>
    <t>Sm Background on masses 148 150 (Nd Background as well)</t>
  </si>
  <si>
    <t>Assumed response with no Sm (Sm subtracted (Nd as well) in PPB_Nd_Aliquot_Sent)</t>
  </si>
  <si>
    <t>CPS</t>
  </si>
  <si>
    <t>±^2</t>
  </si>
  <si>
    <t>Sum Nd</t>
  </si>
  <si>
    <t>Background (Nd/Sm) (ppb)</t>
  </si>
  <si>
    <t>±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</si>
</sst>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4" fillId="0" borderId="2" applyNumberFormat="0" applyFont="0" applyFill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3" borderId="0" xfId="0" applyFill="1"/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10" fontId="0" fillId="3" borderId="0" xfId="0" applyNumberFormat="1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3" borderId="4" xfId="0" applyFill="1" applyBorder="1"/>
    <xf numFmtId="0" fontId="0" fillId="0" borderId="7" xfId="0" applyBorder="1"/>
    <xf numFmtId="0" fontId="0" fillId="3" borderId="7" xfId="0" applyFill="1" applyBorder="1"/>
    <xf numFmtId="11" fontId="0" fillId="3" borderId="7" xfId="0" applyNumberFormat="1" applyFill="1" applyBorder="1"/>
    <xf numFmtId="11" fontId="0" fillId="0" borderId="7" xfId="0" applyNumberFormat="1" applyBorder="1"/>
    <xf numFmtId="0" fontId="0" fillId="4" borderId="7" xfId="0" applyFill="1" applyBorder="1"/>
    <xf numFmtId="0" fontId="0" fillId="3" borderId="6" xfId="0" applyFill="1" applyBorder="1"/>
    <xf numFmtId="0" fontId="0" fillId="0" borderId="0" xfId="0" applyAlignment="1">
      <alignment wrapText="1"/>
    </xf>
    <xf numFmtId="11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6" xfId="0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3" xfId="0" applyFont="1" applyBorder="1"/>
    <xf numFmtId="0" fontId="0" fillId="0" borderId="8" xfId="0" applyBorder="1"/>
    <xf numFmtId="10" fontId="0" fillId="0" borderId="8" xfId="0" applyNumberFormat="1" applyBorder="1"/>
    <xf numFmtId="0" fontId="0" fillId="0" borderId="9" xfId="0" applyBorder="1"/>
    <xf numFmtId="0" fontId="0" fillId="0" borderId="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0" xfId="0" applyNumberFormat="1" applyBorder="1"/>
    <xf numFmtId="0" fontId="0" fillId="5" borderId="2" xfId="0" applyFill="1" applyBorder="1"/>
    <xf numFmtId="0" fontId="0" fillId="6" borderId="0" xfId="0" applyFill="1"/>
    <xf numFmtId="10" fontId="0" fillId="6" borderId="0" xfId="0" applyNumberFormat="1" applyFill="1"/>
    <xf numFmtId="0" fontId="0" fillId="6" borderId="2" xfId="0" applyFill="1" applyBorder="1"/>
    <xf numFmtId="10" fontId="0" fillId="6" borderId="11" xfId="0" applyNumberFormat="1" applyFill="1" applyBorder="1"/>
    <xf numFmtId="0" fontId="0" fillId="7" borderId="0" xfId="0" applyFill="1"/>
    <xf numFmtId="10" fontId="0" fillId="7" borderId="0" xfId="0" applyNumberFormat="1" applyFill="1"/>
    <xf numFmtId="0" fontId="0" fillId="7" borderId="2" xfId="0" applyFill="1" applyBorder="1"/>
    <xf numFmtId="10" fontId="0" fillId="7" borderId="11" xfId="0" applyNumberFormat="1" applyFill="1" applyBorder="1"/>
    <xf numFmtId="0" fontId="0" fillId="8" borderId="0" xfId="0" applyFill="1"/>
    <xf numFmtId="10" fontId="0" fillId="8" borderId="0" xfId="0" applyNumberFormat="1" applyFill="1"/>
    <xf numFmtId="0" fontId="0" fillId="8" borderId="2" xfId="0" applyFill="1" applyBorder="1"/>
    <xf numFmtId="10" fontId="0" fillId="8" borderId="11" xfId="0" applyNumberFormat="1" applyFill="1" applyBorder="1"/>
    <xf numFmtId="0" fontId="0" fillId="9" borderId="0" xfId="0" applyFill="1"/>
    <xf numFmtId="10" fontId="0" fillId="9" borderId="0" xfId="0" applyNumberFormat="1" applyFill="1"/>
    <xf numFmtId="0" fontId="0" fillId="9" borderId="2" xfId="0" applyFill="1" applyBorder="1"/>
    <xf numFmtId="10" fontId="0" fillId="9" borderId="11" xfId="0" applyNumberFormat="1" applyFill="1" applyBorder="1"/>
    <xf numFmtId="0" fontId="0" fillId="5" borderId="0" xfId="0" applyFill="1"/>
    <xf numFmtId="10" fontId="0" fillId="5" borderId="0" xfId="0" applyNumberFormat="1" applyFill="1"/>
    <xf numFmtId="10" fontId="0" fillId="5" borderId="11" xfId="0" applyNumberFormat="1" applyFill="1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35</xdr:row>
      <xdr:rowOff>66675</xdr:rowOff>
    </xdr:from>
    <xdr:to>
      <xdr:col>15</xdr:col>
      <xdr:colOff>208400</xdr:colOff>
      <xdr:row>72</xdr:row>
      <xdr:rowOff>94365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6162675"/>
          <a:ext cx="9200000" cy="70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36</xdr:col>
      <xdr:colOff>74743</xdr:colOff>
      <xdr:row>63</xdr:row>
      <xdr:rowOff>8952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7075" y="6858000"/>
          <a:ext cx="11657143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pane ySplit="1" topLeftCell="A5" activePane="bottomLeft" state="frozen"/>
      <selection activeCell="G1" sqref="G1"/>
      <selection pane="bottomLeft" activeCell="B25" sqref="B25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6" max="16" width="12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2:38" x14ac:dyDescent="0.25">
      <c r="H1" s="38"/>
      <c r="J1" s="5">
        <v>143</v>
      </c>
      <c r="K1" s="5"/>
      <c r="L1" s="5">
        <v>145</v>
      </c>
      <c r="M1" s="5"/>
      <c r="N1" s="5">
        <v>146</v>
      </c>
      <c r="O1" s="5"/>
      <c r="P1" s="5">
        <v>148</v>
      </c>
      <c r="Q1" s="5"/>
      <c r="R1" s="5">
        <v>150</v>
      </c>
      <c r="S1" s="5"/>
      <c r="T1" s="32"/>
      <c r="U1" s="5" t="s">
        <v>45</v>
      </c>
      <c r="V1" s="5"/>
      <c r="W1" s="5"/>
      <c r="X1" s="5" t="s">
        <v>45</v>
      </c>
      <c r="Y1" s="5"/>
      <c r="Z1" s="5"/>
      <c r="AA1" s="5" t="s">
        <v>45</v>
      </c>
      <c r="AB1" s="5"/>
      <c r="AD1" s="5" t="s">
        <v>45</v>
      </c>
      <c r="AG1" s="5" t="s">
        <v>45</v>
      </c>
    </row>
    <row r="2" spans="2:38" x14ac:dyDescent="0.25">
      <c r="C2" t="s">
        <v>38</v>
      </c>
      <c r="E2">
        <v>40</v>
      </c>
      <c r="F2" t="s">
        <v>39</v>
      </c>
      <c r="H2" s="38" t="s">
        <v>65</v>
      </c>
      <c r="I2" s="5" t="s">
        <v>34</v>
      </c>
      <c r="J2" s="5">
        <f>(J12+J36)/2</f>
        <v>1.0523103974398699E-5</v>
      </c>
      <c r="K2" s="5" t="s">
        <v>34</v>
      </c>
      <c r="L2" s="5">
        <f>(L12+L36)/2</f>
        <v>1.059126483358275E-5</v>
      </c>
      <c r="M2" s="5" t="s">
        <v>34</v>
      </c>
      <c r="N2" s="5">
        <f>(N12+N36)/2</f>
        <v>1.0689325267401499E-5</v>
      </c>
      <c r="O2" s="5" t="s">
        <v>34</v>
      </c>
      <c r="P2" s="5">
        <f>P12</f>
        <v>1.0847215591065494E-5</v>
      </c>
      <c r="Q2" s="5" t="s">
        <v>34</v>
      </c>
      <c r="R2" s="5">
        <f>(R12+R36)/2</f>
        <v>1.0483066429086655E-5</v>
      </c>
      <c r="S2" s="5"/>
      <c r="T2" s="32"/>
    </row>
    <row r="3" spans="2:38" x14ac:dyDescent="0.25">
      <c r="C3" t="s">
        <v>37</v>
      </c>
      <c r="E3">
        <v>2.0000000000000001E-4</v>
      </c>
      <c r="F3" t="s">
        <v>35</v>
      </c>
      <c r="H3" s="38"/>
      <c r="I3" s="8" t="s">
        <v>33</v>
      </c>
      <c r="J3" s="18">
        <f>$B$39*((K12^2+K36^2)^0.5)+$B$38*_xlfn.STDEV.S(J12,J36)</f>
        <v>9.9178347295877414E-8</v>
      </c>
      <c r="K3" s="8" t="s">
        <v>33</v>
      </c>
      <c r="L3" s="18">
        <f>$B$39*((M12^2+M36^2)^0.5)+$B$38*_xlfn.STDEV.S(L12,L36)</f>
        <v>1.0260407806825511E-7</v>
      </c>
      <c r="M3" s="8" t="s">
        <v>33</v>
      </c>
      <c r="N3" s="18">
        <f>$B$39*((O12^2+O36^2)^0.5)+$B$38*_xlfn.STDEV.S(N12,N36)</f>
        <v>8.4404665269855892E-8</v>
      </c>
      <c r="O3" s="8" t="s">
        <v>33</v>
      </c>
      <c r="P3" s="18">
        <f>$B$39*((Q12^2+Q36^2)^0.5)+$B$38*_xlfn.STDEV.S(P12,P36)</f>
        <v>1.792646725548243E-7</v>
      </c>
      <c r="Q3" s="8" t="s">
        <v>33</v>
      </c>
      <c r="R3" s="18">
        <f>$B$39*((S12^2+S36^2)^0.5)+$B$38*_xlfn.STDEV.S(R12,R36)</f>
        <v>1.610431484599705E-7</v>
      </c>
      <c r="S3" s="8"/>
      <c r="T3" s="32"/>
      <c r="U3" s="5"/>
      <c r="V3" s="5"/>
      <c r="W3" s="5"/>
      <c r="X3" s="5"/>
      <c r="Y3" s="5"/>
      <c r="Z3" s="5"/>
      <c r="AA3" s="5"/>
      <c r="AB3" s="5"/>
    </row>
    <row r="4" spans="2:38" x14ac:dyDescent="0.25">
      <c r="H4" s="38" t="s">
        <v>66</v>
      </c>
      <c r="I4" s="5" t="s">
        <v>34</v>
      </c>
      <c r="J4" s="18"/>
      <c r="K4" s="5" t="s">
        <v>34</v>
      </c>
      <c r="L4" s="18"/>
      <c r="M4" s="5" t="s">
        <v>34</v>
      </c>
      <c r="N4" s="18"/>
      <c r="O4" s="5" t="s">
        <v>34</v>
      </c>
      <c r="P4" s="18">
        <f>(P13+P37)/2</f>
        <v>1.0641969662633372E-5</v>
      </c>
      <c r="Q4" s="5" t="s">
        <v>34</v>
      </c>
      <c r="R4" s="18">
        <f>(R13+R37)/2</f>
        <v>1.0676053489880945E-5</v>
      </c>
      <c r="S4" s="8"/>
      <c r="T4" s="32"/>
      <c r="U4" s="5"/>
      <c r="V4" s="5"/>
      <c r="W4" s="27" t="s">
        <v>51</v>
      </c>
      <c r="X4" s="5"/>
      <c r="Y4" s="5"/>
      <c r="Z4" s="5"/>
      <c r="AA4" s="5"/>
      <c r="AB4" s="5"/>
      <c r="AD4" s="5"/>
      <c r="AG4" s="5"/>
    </row>
    <row r="5" spans="2:38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8"/>
      <c r="I5" s="46" t="s">
        <v>33</v>
      </c>
      <c r="J5" s="45" t="s">
        <v>70</v>
      </c>
      <c r="K5" s="46" t="s">
        <v>33</v>
      </c>
      <c r="L5" s="45" t="s">
        <v>70</v>
      </c>
      <c r="M5" s="46" t="s">
        <v>33</v>
      </c>
      <c r="N5" s="45" t="s">
        <v>70</v>
      </c>
      <c r="O5" s="46" t="s">
        <v>33</v>
      </c>
      <c r="P5" s="45">
        <f>$B$39*((Q13^2+Q37^2)^0.5)+$B$38*_xlfn.STDEV.S(P13,P37)</f>
        <v>9.7129342538745293E-8</v>
      </c>
      <c r="Q5" s="46" t="s">
        <v>33</v>
      </c>
      <c r="R5" s="45">
        <f>$B$39*((S13^2+S37^2)^0.5)+$B$38*_xlfn.STDEV.S(R13,R37)</f>
        <v>1.1191667155642978E-7</v>
      </c>
      <c r="S5" s="49"/>
      <c r="T5" s="50"/>
      <c r="U5" s="47" t="s">
        <v>40</v>
      </c>
      <c r="V5" s="51" t="s">
        <v>33</v>
      </c>
      <c r="W5" s="51" t="s">
        <v>36</v>
      </c>
      <c r="X5" s="47" t="s">
        <v>41</v>
      </c>
      <c r="Y5" s="51" t="s">
        <v>33</v>
      </c>
      <c r="Z5" s="51" t="s">
        <v>36</v>
      </c>
      <c r="AA5" s="51" t="s">
        <v>42</v>
      </c>
      <c r="AB5" s="51" t="s">
        <v>33</v>
      </c>
      <c r="AC5" s="51" t="s">
        <v>36</v>
      </c>
      <c r="AD5" s="51" t="s">
        <v>43</v>
      </c>
      <c r="AE5" s="51" t="s">
        <v>33</v>
      </c>
      <c r="AF5" s="51" t="s">
        <v>36</v>
      </c>
      <c r="AG5" s="51" t="s">
        <v>44</v>
      </c>
      <c r="AH5" s="51" t="s">
        <v>33</v>
      </c>
      <c r="AI5" s="51" t="s">
        <v>36</v>
      </c>
      <c r="AJ5" s="7"/>
      <c r="AK5" s="7"/>
      <c r="AL5" s="7"/>
    </row>
    <row r="6" spans="2:38" ht="15.75" thickTop="1" x14ac:dyDescent="0.25">
      <c r="B6" s="6" t="s">
        <v>4</v>
      </c>
      <c r="C6" s="3">
        <v>1.34E-2</v>
      </c>
      <c r="D6" s="3">
        <v>5.0464000000000002</v>
      </c>
      <c r="E6" s="3">
        <v>376.597014925373</v>
      </c>
      <c r="F6" s="10">
        <f>(((1/C6)^2)*($E$3^2)+((D6/(C6^2))^2)*($E$3^2))^0.5</f>
        <v>5.6208707851070203</v>
      </c>
      <c r="G6" s="11">
        <f>F6/E6</f>
        <v>1.4925425753098069E-2</v>
      </c>
      <c r="H6" s="38"/>
      <c r="I6" t="s">
        <v>4</v>
      </c>
      <c r="J6">
        <v>10608.52</v>
      </c>
      <c r="K6">
        <f>(J6/$E$2)^0.5</f>
        <v>16.285361525001527</v>
      </c>
      <c r="L6">
        <v>7332.54</v>
      </c>
      <c r="M6">
        <f>(L6/$E$2)^0.5</f>
        <v>13.539331593546263</v>
      </c>
      <c r="N6">
        <v>6797.8599999999988</v>
      </c>
      <c r="O6" s="9">
        <f>(N6/$E$2)^0.5</f>
        <v>13.036353017619613</v>
      </c>
      <c r="P6" s="9">
        <v>4475.1999999999989</v>
      </c>
      <c r="Q6" s="9">
        <f>(P6/$E$2)^0.5</f>
        <v>10.57733425774188</v>
      </c>
      <c r="R6" s="9">
        <v>4492.7999999999993</v>
      </c>
      <c r="S6" s="9">
        <f>(R6/$E$2)^0.5</f>
        <v>10.598113039593414</v>
      </c>
      <c r="T6" s="33"/>
      <c r="U6">
        <f t="shared" ref="U6:U11" si="0">$J$2*J6*E6</f>
        <v>42.041241672302718</v>
      </c>
      <c r="V6">
        <f t="shared" ref="V6:V11" si="1">((J6*E6*$J$3)^2+($J$2*E6*K6)^2+($J$2*J6*F6)^2)^0.5</f>
        <v>0.74491592158547126</v>
      </c>
      <c r="W6" s="12">
        <f>V6/U6</f>
        <v>1.7718694594984593E-2</v>
      </c>
      <c r="X6">
        <f t="shared" ref="X6:X11" si="2">$L$2*L6*E6</f>
        <v>29.246852964431479</v>
      </c>
      <c r="Y6">
        <f t="shared" ref="Y6:Y11" si="3">((L6*E6*$L$3)^2+($L$2*E6*M6)^2+($L$2*L6*F6)^2)^0.5</f>
        <v>0.52320620953843022</v>
      </c>
      <c r="Z6" s="12">
        <f>Y6/X6</f>
        <v>1.788931650782143E-2</v>
      </c>
      <c r="AA6">
        <f t="shared" ref="AA6:AA11" si="4">$N$2*N6*E6</f>
        <v>27.365247597941668</v>
      </c>
      <c r="AB6">
        <f t="shared" ref="AB6:AB11" si="5">((N6*E6*$N$3)^2+($N$2*E6*O6)^2+($N$2*N6*F6)^2)^0.5</f>
        <v>0.46504447956185802</v>
      </c>
      <c r="AC6" s="12">
        <f>AB6/AA6</f>
        <v>1.6993980335732E-2</v>
      </c>
      <c r="AD6">
        <f t="shared" ref="AD6:AD11" si="6">$P$2*E6*P6</f>
        <v>18.281321833818719</v>
      </c>
      <c r="AE6">
        <f t="shared" ref="AE6:AE11" si="7">((P6*E6*$P$3)^2+($P$2*E6*Q6)^2+($P$2*P6*F6)^2)^0.5</f>
        <v>0.40938500188428872</v>
      </c>
      <c r="AF6" s="12">
        <f>AE6/AD6</f>
        <v>2.2393621511928374E-2</v>
      </c>
      <c r="AG6">
        <f t="shared" ref="AG6:AG11" si="8">$R$2*R6*E6</f>
        <v>17.737087041086802</v>
      </c>
      <c r="AH6">
        <f t="shared" ref="AH6:AH11" si="9">((R6*E6*$R$3)^2+($R$2*E6*S6)^2+($R$2*R6*F6)^2)^0.5</f>
        <v>0.38220460435774378</v>
      </c>
      <c r="AI6" s="12">
        <f>AH6/AG6</f>
        <v>2.1548329975062525E-2</v>
      </c>
      <c r="AL6" s="12"/>
    </row>
    <row r="7" spans="2:38" x14ac:dyDescent="0.25">
      <c r="B7" s="6" t="s">
        <v>5</v>
      </c>
      <c r="C7" s="3">
        <v>3.9E-2</v>
      </c>
      <c r="D7" s="3">
        <v>4.9492000000000003</v>
      </c>
      <c r="E7" s="3">
        <v>126.90256410256411</v>
      </c>
      <c r="F7" s="10">
        <f t="shared" ref="F7:F11" si="10">(((1/C7)^2)*($E$3^2)+((D7/(C7^2))^2)*($E$3^2))^0.5</f>
        <v>0.65080258498519816</v>
      </c>
      <c r="G7" s="11">
        <f t="shared" ref="G7:G11" si="11">F7/E7</f>
        <v>5.1283643446259448E-3</v>
      </c>
      <c r="H7" s="38"/>
      <c r="I7" t="s">
        <v>5</v>
      </c>
      <c r="J7">
        <v>576.79999999999995</v>
      </c>
      <c r="K7">
        <f t="shared" ref="K7:K11" si="12">(J7/$E$2)^0.5</f>
        <v>3.7973675092095047</v>
      </c>
      <c r="L7">
        <v>408</v>
      </c>
      <c r="M7">
        <f t="shared" ref="M7:M11" si="13">(L7/$E$2)^0.5</f>
        <v>3.1937438845342623</v>
      </c>
      <c r="N7">
        <v>392.8</v>
      </c>
      <c r="O7" s="9">
        <f t="shared" ref="O7:O11" si="14">(N7/$E$2)^0.5</f>
        <v>3.1336879231984796</v>
      </c>
      <c r="P7" s="9">
        <v>262.39999999999998</v>
      </c>
      <c r="Q7" s="9">
        <f t="shared" ref="Q7:Q11" si="15">(P7/$E$2)^0.5</f>
        <v>2.5612496949731396</v>
      </c>
      <c r="R7" s="9">
        <v>288</v>
      </c>
      <c r="S7" s="9">
        <f t="shared" ref="S7:S11" si="16">(R7/$E$2)^0.5</f>
        <v>2.6832815729997477</v>
      </c>
      <c r="T7" s="34"/>
      <c r="U7">
        <f t="shared" si="0"/>
        <v>0.77026384006272408</v>
      </c>
      <c r="V7">
        <f t="shared" si="1"/>
        <v>9.696453384739347E-3</v>
      </c>
      <c r="W7" s="12">
        <f t="shared" ref="W7:W35" si="17">V7/U7</f>
        <v>1.2588483166949322E-2</v>
      </c>
      <c r="X7">
        <f t="shared" si="2"/>
        <v>0.54837593510415494</v>
      </c>
      <c r="Y7">
        <f t="shared" si="3"/>
        <v>7.3862896446909455E-3</v>
      </c>
      <c r="Z7" s="12">
        <f t="shared" ref="Z7:Z11" si="18">Y7/X7</f>
        <v>1.3469390561947328E-2</v>
      </c>
      <c r="AA7">
        <f t="shared" si="4"/>
        <v>0.53283429393212189</v>
      </c>
      <c r="AB7">
        <f t="shared" si="5"/>
        <v>6.5755972053941278E-3</v>
      </c>
      <c r="AC7" s="12">
        <f t="shared" ref="AC7:AC35" si="19">AB7/AA7</f>
        <v>1.2340792025356756E-2</v>
      </c>
      <c r="AD7">
        <f t="shared" si="6"/>
        <v>0.36120395742118649</v>
      </c>
      <c r="AE7">
        <f t="shared" si="7"/>
        <v>7.1760065695964069E-3</v>
      </c>
      <c r="AF7" s="12">
        <f t="shared" ref="AF7:AF35" si="20">AE7/AD7</f>
        <v>1.9866910154665698E-2</v>
      </c>
      <c r="AG7">
        <f t="shared" si="8"/>
        <v>0.38313446673847884</v>
      </c>
      <c r="AH7">
        <f t="shared" si="9"/>
        <v>7.158602823664195E-3</v>
      </c>
      <c r="AI7" s="12">
        <f t="shared" ref="AI7:AI35" si="21">AH7/AG7</f>
        <v>1.8684309152876444E-2</v>
      </c>
      <c r="AL7" s="12"/>
    </row>
    <row r="8" spans="2:38" x14ac:dyDescent="0.25">
      <c r="B8" s="6" t="s">
        <v>6</v>
      </c>
      <c r="C8" s="3">
        <v>5.0299999999999997E-2</v>
      </c>
      <c r="D8" s="3">
        <v>4.9884000000000004</v>
      </c>
      <c r="E8" s="3">
        <v>99.172962226640166</v>
      </c>
      <c r="F8" s="10">
        <f t="shared" si="10"/>
        <v>0.39434593954365693</v>
      </c>
      <c r="G8" s="11">
        <f t="shared" si="11"/>
        <v>3.9763452728421821E-3</v>
      </c>
      <c r="H8" s="38"/>
      <c r="I8" t="s">
        <v>6</v>
      </c>
      <c r="J8">
        <v>54.4</v>
      </c>
      <c r="K8">
        <f t="shared" si="12"/>
        <v>1.16619037896906</v>
      </c>
      <c r="L8">
        <v>48.800000000000004</v>
      </c>
      <c r="M8">
        <f t="shared" si="13"/>
        <v>1.1045361017187261</v>
      </c>
      <c r="N8">
        <v>89.600000000000009</v>
      </c>
      <c r="O8" s="9">
        <f t="shared" si="14"/>
        <v>1.4966629547095767</v>
      </c>
      <c r="P8" s="9">
        <v>31.199999999999996</v>
      </c>
      <c r="Q8" s="9">
        <f t="shared" si="15"/>
        <v>0.88317608663278468</v>
      </c>
      <c r="R8" s="9">
        <v>36.799999999999997</v>
      </c>
      <c r="S8" s="9">
        <f t="shared" si="16"/>
        <v>0.95916630466254382</v>
      </c>
      <c r="T8" s="34"/>
      <c r="U8">
        <f t="shared" si="0"/>
        <v>5.6772242177026665E-2</v>
      </c>
      <c r="V8">
        <f t="shared" si="1"/>
        <v>1.348501919186354E-3</v>
      </c>
      <c r="W8" s="12">
        <f t="shared" si="17"/>
        <v>2.3752838842994225E-2</v>
      </c>
      <c r="X8">
        <f t="shared" si="2"/>
        <v>5.1257914834934332E-2</v>
      </c>
      <c r="Y8">
        <f t="shared" si="3"/>
        <v>1.2783237423262886E-3</v>
      </c>
      <c r="Z8" s="12">
        <f t="shared" si="18"/>
        <v>2.4939050806941126E-2</v>
      </c>
      <c r="AA8">
        <f t="shared" si="4"/>
        <v>9.4984247767116226E-2</v>
      </c>
      <c r="AB8">
        <f t="shared" si="5"/>
        <v>1.7951233402382538E-3</v>
      </c>
      <c r="AC8" s="12">
        <f t="shared" si="19"/>
        <v>1.8899168887872478E-2</v>
      </c>
      <c r="AD8">
        <f t="shared" si="6"/>
        <v>3.3563415664801158E-2</v>
      </c>
      <c r="AE8">
        <f t="shared" si="7"/>
        <v>1.1082093905055396E-3</v>
      </c>
      <c r="AF8" s="12">
        <f t="shared" si="20"/>
        <v>3.3018373385273421E-2</v>
      </c>
      <c r="AG8">
        <f t="shared" si="8"/>
        <v>3.8258632436475072E-2</v>
      </c>
      <c r="AH8">
        <f t="shared" si="9"/>
        <v>1.1674569374094188E-3</v>
      </c>
      <c r="AI8" s="12">
        <f t="shared" si="21"/>
        <v>3.0514863262503522E-2</v>
      </c>
      <c r="AL8" s="12"/>
    </row>
    <row r="9" spans="2:38" x14ac:dyDescent="0.25">
      <c r="B9" s="6" t="s">
        <v>7</v>
      </c>
      <c r="C9" s="3">
        <v>3.6399999999999995E-2</v>
      </c>
      <c r="D9" s="3">
        <v>4.9635000000000007</v>
      </c>
      <c r="E9" s="3">
        <v>136.35989010989016</v>
      </c>
      <c r="F9" s="10">
        <f t="shared" si="10"/>
        <v>0.74925031224172078</v>
      </c>
      <c r="G9" s="11">
        <f t="shared" si="11"/>
        <v>5.4946532417847541E-3</v>
      </c>
      <c r="H9" s="38"/>
      <c r="I9" t="s">
        <v>7</v>
      </c>
      <c r="J9">
        <v>38.4</v>
      </c>
      <c r="K9">
        <f t="shared" si="12"/>
        <v>0.9797958971132712</v>
      </c>
      <c r="L9">
        <v>28.8</v>
      </c>
      <c r="M9">
        <f t="shared" si="13"/>
        <v>0.84852813742385702</v>
      </c>
      <c r="N9">
        <v>67.2</v>
      </c>
      <c r="O9" s="9">
        <f t="shared" si="14"/>
        <v>1.2961481396815722</v>
      </c>
      <c r="P9" s="9">
        <v>28</v>
      </c>
      <c r="Q9" s="9">
        <f t="shared" si="15"/>
        <v>0.83666002653407556</v>
      </c>
      <c r="R9" s="9">
        <v>27.2</v>
      </c>
      <c r="S9" s="9">
        <f t="shared" si="16"/>
        <v>0.82462112512353203</v>
      </c>
      <c r="T9" s="34"/>
      <c r="U9">
        <f t="shared" si="0"/>
        <v>5.5101285180055866E-2</v>
      </c>
      <c r="V9">
        <f t="shared" si="1"/>
        <v>1.529058269824279E-3</v>
      </c>
      <c r="W9" s="12">
        <f t="shared" si="17"/>
        <v>2.7749956554148174E-2</v>
      </c>
      <c r="X9">
        <f t="shared" si="2"/>
        <v>4.1593642814364132E-2</v>
      </c>
      <c r="Y9">
        <f t="shared" si="3"/>
        <v>1.3100984815547373E-3</v>
      </c>
      <c r="Z9" s="12">
        <f t="shared" si="18"/>
        <v>3.1497565322706048E-2</v>
      </c>
      <c r="AA9">
        <f t="shared" si="4"/>
        <v>9.7950398704148983E-2</v>
      </c>
      <c r="AB9">
        <f t="shared" si="5"/>
        <v>2.1111990661297777E-3</v>
      </c>
      <c r="AC9" s="12">
        <f t="shared" si="19"/>
        <v>2.1553756738719142E-2</v>
      </c>
      <c r="AD9">
        <f t="shared" si="6"/>
        <v>4.1415503527887379E-2</v>
      </c>
      <c r="AE9">
        <f t="shared" si="7"/>
        <v>1.4323825761143906E-3</v>
      </c>
      <c r="AF9" s="12">
        <f t="shared" si="20"/>
        <v>3.4585661264504179E-2</v>
      </c>
      <c r="AG9">
        <f t="shared" si="8"/>
        <v>3.8881578186950226E-2</v>
      </c>
      <c r="AH9">
        <f t="shared" si="9"/>
        <v>1.3386259338787391E-3</v>
      </c>
      <c r="AI9" s="12">
        <f t="shared" si="21"/>
        <v>3.442828188306462E-2</v>
      </c>
      <c r="AL9" s="12"/>
    </row>
    <row r="10" spans="2:38" x14ac:dyDescent="0.25">
      <c r="B10" s="6" t="s">
        <v>8</v>
      </c>
      <c r="C10" s="3">
        <v>2.8899999999999999E-2</v>
      </c>
      <c r="D10" s="3">
        <v>4.9984000000000002</v>
      </c>
      <c r="E10" s="3">
        <v>172.95501730103808</v>
      </c>
      <c r="F10" s="10">
        <f t="shared" si="10"/>
        <v>1.1969405411901297</v>
      </c>
      <c r="G10" s="11">
        <f t="shared" si="11"/>
        <v>6.9205308979662979E-3</v>
      </c>
      <c r="H10" s="38"/>
      <c r="I10" t="s">
        <v>8</v>
      </c>
      <c r="J10">
        <v>26254.780000000006</v>
      </c>
      <c r="K10">
        <f t="shared" si="12"/>
        <v>25.619709209903224</v>
      </c>
      <c r="L10">
        <v>18097.099999999999</v>
      </c>
      <c r="M10">
        <f t="shared" si="13"/>
        <v>21.270343203625089</v>
      </c>
      <c r="N10">
        <v>16507.7</v>
      </c>
      <c r="O10" s="9">
        <f t="shared" si="14"/>
        <v>20.314834481235629</v>
      </c>
      <c r="P10" s="9">
        <v>11060.079999999998</v>
      </c>
      <c r="Q10" s="9">
        <f t="shared" si="15"/>
        <v>16.628349286685072</v>
      </c>
      <c r="R10" s="9">
        <v>11661.460000000001</v>
      </c>
      <c r="S10" s="9">
        <f t="shared" si="16"/>
        <v>17.074439961533148</v>
      </c>
      <c r="T10" s="34"/>
      <c r="U10">
        <f t="shared" si="0"/>
        <v>47.784319999210865</v>
      </c>
      <c r="V10">
        <f t="shared" si="1"/>
        <v>0.56067353346512894</v>
      </c>
      <c r="W10" s="12">
        <f t="shared" si="17"/>
        <v>1.1733420784776015E-2</v>
      </c>
      <c r="X10">
        <f t="shared" si="2"/>
        <v>33.150492048894122</v>
      </c>
      <c r="Y10">
        <f t="shared" si="3"/>
        <v>0.3965955014119032</v>
      </c>
      <c r="Z10" s="12">
        <f t="shared" si="18"/>
        <v>1.1963487625672613E-2</v>
      </c>
      <c r="AA10">
        <f t="shared" si="4"/>
        <v>30.518980750999035</v>
      </c>
      <c r="AB10">
        <f t="shared" si="5"/>
        <v>0.32263282856295533</v>
      </c>
      <c r="AC10" s="12">
        <f t="shared" si="19"/>
        <v>1.0571546644866047E-2</v>
      </c>
      <c r="AD10">
        <f t="shared" si="6"/>
        <v>20.749598870471111</v>
      </c>
      <c r="AE10">
        <f t="shared" si="7"/>
        <v>0.37307394321847026</v>
      </c>
      <c r="AF10" s="12">
        <f t="shared" si="20"/>
        <v>1.7979814720630295E-2</v>
      </c>
      <c r="AG10">
        <f t="shared" si="8"/>
        <v>21.143380713665753</v>
      </c>
      <c r="AH10">
        <f t="shared" si="9"/>
        <v>0.35758907507443344</v>
      </c>
      <c r="AI10" s="12">
        <f t="shared" si="21"/>
        <v>1.6912577979703611E-2</v>
      </c>
      <c r="AL10" s="12"/>
    </row>
    <row r="11" spans="2:38" x14ac:dyDescent="0.25">
      <c r="B11" s="6" t="s">
        <v>9</v>
      </c>
      <c r="C11" s="3">
        <v>4.4299999999999999E-2</v>
      </c>
      <c r="D11" s="3">
        <v>4.9031000000000002</v>
      </c>
      <c r="E11" s="3">
        <v>110.67945823927766</v>
      </c>
      <c r="F11" s="10">
        <f t="shared" si="10"/>
        <v>0.499701921883555</v>
      </c>
      <c r="G11" s="11">
        <f t="shared" si="11"/>
        <v>4.5148569556895607E-3</v>
      </c>
      <c r="H11" s="38"/>
      <c r="I11" t="s">
        <v>9</v>
      </c>
      <c r="J11">
        <v>29589.379999999997</v>
      </c>
      <c r="K11">
        <f t="shared" si="12"/>
        <v>27.198060592623143</v>
      </c>
      <c r="L11">
        <v>20745.240000000002</v>
      </c>
      <c r="M11">
        <f t="shared" si="13"/>
        <v>22.773471408636851</v>
      </c>
      <c r="N11">
        <v>18455.240000000002</v>
      </c>
      <c r="O11" s="9">
        <f t="shared" si="14"/>
        <v>21.479781190691863</v>
      </c>
      <c r="P11" s="9">
        <v>12497.460000000001</v>
      </c>
      <c r="Q11" s="9">
        <f t="shared" si="15"/>
        <v>17.675873387190801</v>
      </c>
      <c r="R11" s="9">
        <v>13483.3</v>
      </c>
      <c r="S11" s="9">
        <f t="shared" si="16"/>
        <v>18.359806643862019</v>
      </c>
      <c r="T11" s="34"/>
      <c r="U11">
        <f t="shared" si="0"/>
        <v>34.462497804542423</v>
      </c>
      <c r="V11">
        <f t="shared" si="1"/>
        <v>0.36153778283420723</v>
      </c>
      <c r="W11" s="12">
        <f t="shared" si="17"/>
        <v>1.0490759691439248E-2</v>
      </c>
      <c r="X11">
        <f t="shared" si="2"/>
        <v>24.318305826619955</v>
      </c>
      <c r="Y11">
        <f t="shared" si="3"/>
        <v>0.26128192619523422</v>
      </c>
      <c r="Z11" s="12">
        <f t="shared" si="18"/>
        <v>1.0744248717738502E-2</v>
      </c>
      <c r="AA11">
        <f t="shared" si="4"/>
        <v>21.834186444945086</v>
      </c>
      <c r="AB11">
        <f t="shared" si="5"/>
        <v>0.20021838004873874</v>
      </c>
      <c r="AC11" s="12">
        <f t="shared" si="19"/>
        <v>9.1699491782572026E-3</v>
      </c>
      <c r="AD11">
        <f t="shared" si="6"/>
        <v>15.003999880376828</v>
      </c>
      <c r="AE11">
        <f t="shared" si="7"/>
        <v>0.2579221828354446</v>
      </c>
      <c r="AF11" s="12">
        <f t="shared" si="20"/>
        <v>1.7190228265248884E-2</v>
      </c>
      <c r="AG11">
        <f t="shared" si="8"/>
        <v>15.644135182390482</v>
      </c>
      <c r="AH11">
        <f t="shared" si="9"/>
        <v>0.25139682824603798</v>
      </c>
      <c r="AI11" s="12">
        <f t="shared" si="21"/>
        <v>1.606971720169089E-2</v>
      </c>
      <c r="AL11" s="12"/>
    </row>
    <row r="12" spans="2:38" s="14" customFormat="1" ht="30" x14ac:dyDescent="0.25">
      <c r="H12" s="39" t="s">
        <v>65</v>
      </c>
      <c r="I12" s="15" t="s">
        <v>67</v>
      </c>
      <c r="J12" s="17">
        <v>1.07645190262413E-5</v>
      </c>
      <c r="K12" s="17">
        <v>8.1849727670353704E-8</v>
      </c>
      <c r="L12" s="17">
        <v>1.08392086257107E-5</v>
      </c>
      <c r="M12" s="17">
        <v>8.5232557432533802E-8</v>
      </c>
      <c r="N12" s="17">
        <v>1.0849347190061799E-5</v>
      </c>
      <c r="O12" s="17">
        <v>8.0603719637927205E-8</v>
      </c>
      <c r="P12" s="14">
        <v>1.0847215591065494E-5</v>
      </c>
      <c r="Q12" s="17">
        <v>1.7651000000000001E-7</v>
      </c>
      <c r="R12" s="14">
        <v>1.0876134575385289E-5</v>
      </c>
      <c r="S12" s="17">
        <v>1.3608000000000001E-7</v>
      </c>
      <c r="T12" s="35"/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L12" s="19"/>
    </row>
    <row r="13" spans="2:38" s="14" customFormat="1" ht="30" x14ac:dyDescent="0.25">
      <c r="G13" s="17"/>
      <c r="H13" s="40" t="s">
        <v>66</v>
      </c>
      <c r="I13" s="16" t="s">
        <v>67</v>
      </c>
      <c r="P13" s="17">
        <v>1.0816045756921949E-5</v>
      </c>
      <c r="Q13" s="17">
        <v>9.5141457876423596E-8</v>
      </c>
      <c r="R13" s="17">
        <v>1.0868029033039007E-5</v>
      </c>
      <c r="S13" s="17">
        <v>1.1173315857957099E-7</v>
      </c>
      <c r="T13" s="35"/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L13" s="19"/>
    </row>
    <row r="14" spans="2:38" x14ac:dyDescent="0.25">
      <c r="B14" s="6" t="s">
        <v>19</v>
      </c>
      <c r="C14" s="3">
        <v>9.3700000000000006E-2</v>
      </c>
      <c r="D14" s="3">
        <v>5.0049000000000001</v>
      </c>
      <c r="E14" s="3">
        <v>53.414087513340448</v>
      </c>
      <c r="F14" s="10">
        <f t="shared" ref="F14:F19" si="22">(((1/C14)^2)*($E$3^2)+((D14/(C14^2))^2)*($E$3^2))^0.5</f>
        <v>0.11403083782205169</v>
      </c>
      <c r="G14" s="11">
        <f t="shared" ref="G14:G19" si="23">F14/E14</f>
        <v>2.1348457519483393E-3</v>
      </c>
      <c r="H14" s="41"/>
      <c r="I14" t="s">
        <v>19</v>
      </c>
      <c r="J14">
        <v>6961.96</v>
      </c>
      <c r="K14">
        <f>(J14/$E$2)^0.5</f>
        <v>13.192763167737075</v>
      </c>
      <c r="L14">
        <v>4796.9199999999992</v>
      </c>
      <c r="M14">
        <f>(L14/$E$2)^0.5</f>
        <v>10.95093603305215</v>
      </c>
      <c r="N14">
        <v>9032.8799999999992</v>
      </c>
      <c r="O14">
        <f>(N14/$E$2)^0.5</f>
        <v>15.027375020275496</v>
      </c>
      <c r="P14" s="9">
        <v>3336.4399999999996</v>
      </c>
      <c r="Q14">
        <f>(P14/$E$2)^0.5</f>
        <v>9.1329622795673462</v>
      </c>
      <c r="R14" s="9">
        <v>3387.66</v>
      </c>
      <c r="S14">
        <f>(R14/$E$2)^0.5</f>
        <v>9.2027984874167483</v>
      </c>
      <c r="T14" s="34"/>
      <c r="U14">
        <f t="shared" ref="U14:U35" si="24">$J$2*J14*E14</f>
        <v>3.9131923770529058</v>
      </c>
      <c r="V14">
        <f t="shared" ref="V14:V35" si="25">((J14*E14*$J$3)^2+($J$2*E14*K14)^2+($J$2*J14*F14)^2)^0.5</f>
        <v>3.853565085705396E-2</v>
      </c>
      <c r="W14" s="12">
        <f t="shared" si="17"/>
        <v>9.8476249424966529E-3</v>
      </c>
      <c r="X14">
        <f t="shared" ref="X14:X35" si="26">$L$2*L14*E14</f>
        <v>2.7137267580903499</v>
      </c>
      <c r="Y14">
        <f t="shared" ref="Y14:Y35" si="27">((L14*E14*$L$3)^2+($L$2*E14*M14)^2+($L$2*L14*F14)^2)^0.5</f>
        <v>2.7623964999014611E-2</v>
      </c>
      <c r="Z14" s="12">
        <f t="shared" ref="Z14:Z35" si="28">Y14/X14</f>
        <v>1.0179346508140561E-2</v>
      </c>
      <c r="AA14">
        <f t="shared" ref="AA14:AA35" si="29">$N$2*N14*E14</f>
        <v>5.1574181806818906</v>
      </c>
      <c r="AB14">
        <f t="shared" ref="AB14:AB35" si="30">((N14*E14*$N$3)^2+($N$2*E14*O14)^2+($N$2*N14*F14)^2)^0.5</f>
        <v>4.3049658399311672E-2</v>
      </c>
      <c r="AC14" s="12">
        <f t="shared" si="19"/>
        <v>8.347133563953087E-3</v>
      </c>
      <c r="AD14">
        <f t="shared" ref="AD14:AD35" si="31">$P$2*E14*P14</f>
        <v>1.9331137272658205</v>
      </c>
      <c r="AE14">
        <f t="shared" ref="AE14:AE35" si="32">((P14*E14*$P$3)^2+($P$2*E14*Q14)^2+($P$2*P14*F14)^2)^0.5</f>
        <v>3.2644458423282716E-2</v>
      </c>
      <c r="AF14" s="12">
        <f t="shared" si="20"/>
        <v>1.6886982883027146E-2</v>
      </c>
      <c r="AG14">
        <f t="shared" ref="AG14:AG35" si="33">$R$2*R14*E14</f>
        <v>1.8968979521175278</v>
      </c>
      <c r="AH14">
        <f t="shared" ref="AH14:AH35" si="34">((R14*E14*$R$3)^2+($R$2*E14*S14)^2+($R$2*R14*F14)^2)^0.5</f>
        <v>2.9868465268468949E-2</v>
      </c>
      <c r="AI14" s="12">
        <f t="shared" si="21"/>
        <v>1.574595261443899E-2</v>
      </c>
      <c r="AL14" s="12"/>
    </row>
    <row r="15" spans="2:38" x14ac:dyDescent="0.25">
      <c r="B15" s="6" t="s">
        <v>20</v>
      </c>
      <c r="C15" s="3">
        <v>2.87E-2</v>
      </c>
      <c r="D15" s="3">
        <v>4.9332000000000003</v>
      </c>
      <c r="E15" s="3">
        <v>171.88850174216029</v>
      </c>
      <c r="F15" s="10">
        <f t="shared" si="22"/>
        <v>1.1978495510797849</v>
      </c>
      <c r="G15" s="11">
        <f t="shared" si="23"/>
        <v>6.968759044026154E-3</v>
      </c>
      <c r="H15" s="41"/>
      <c r="I15" t="s">
        <v>20</v>
      </c>
      <c r="J15">
        <v>325.59999999999997</v>
      </c>
      <c r="K15">
        <f t="shared" ref="K15:K35" si="35">(J15/$E$2)^0.5</f>
        <v>2.8530685235374209</v>
      </c>
      <c r="L15">
        <v>238.39999999999998</v>
      </c>
      <c r="M15">
        <f t="shared" ref="M15:M35" si="36">(L15/$E$2)^0.5</f>
        <v>2.4413111231467406</v>
      </c>
      <c r="N15">
        <v>464</v>
      </c>
      <c r="O15">
        <f t="shared" ref="O15:O35" si="37">(N15/$E$2)^0.5</f>
        <v>3.40587727318528</v>
      </c>
      <c r="P15" s="9">
        <v>165.6</v>
      </c>
      <c r="Q15">
        <f t="shared" ref="Q15:Q35" si="38">(P15/$E$2)^0.5</f>
        <v>2.0346989949375804</v>
      </c>
      <c r="R15" s="9">
        <v>176</v>
      </c>
      <c r="S15">
        <f t="shared" ref="S15:S35" si="39">(R15/$E$2)^0.5</f>
        <v>2.0976176963403033</v>
      </c>
      <c r="T15" s="34"/>
      <c r="U15">
        <f t="shared" si="24"/>
        <v>0.58894546749232024</v>
      </c>
      <c r="V15">
        <f t="shared" si="25"/>
        <v>8.6189938155652266E-3</v>
      </c>
      <c r="W15" s="12">
        <f t="shared" si="17"/>
        <v>1.4634621185326666E-2</v>
      </c>
      <c r="X15">
        <f t="shared" si="26"/>
        <v>0.43401116788167426</v>
      </c>
      <c r="Y15">
        <f t="shared" si="27"/>
        <v>6.8248753070485647E-3</v>
      </c>
      <c r="Z15" s="12">
        <f t="shared" si="28"/>
        <v>1.5725114495001313E-2</v>
      </c>
      <c r="AA15">
        <f t="shared" si="29"/>
        <v>0.85254065664959289</v>
      </c>
      <c r="AB15">
        <f t="shared" si="30"/>
        <v>1.0944188923973521E-2</v>
      </c>
      <c r="AC15" s="12">
        <f t="shared" si="19"/>
        <v>1.2837146051172723E-2</v>
      </c>
      <c r="AD15">
        <f t="shared" si="31"/>
        <v>0.3087631269253176</v>
      </c>
      <c r="AE15">
        <f t="shared" si="32"/>
        <v>6.7126651439321445E-3</v>
      </c>
      <c r="AF15" s="12">
        <f t="shared" si="20"/>
        <v>2.1740501240472852E-2</v>
      </c>
      <c r="AG15">
        <f t="shared" si="33"/>
        <v>0.31713767046002689</v>
      </c>
      <c r="AH15">
        <f t="shared" si="34"/>
        <v>6.5503078770176382E-3</v>
      </c>
      <c r="AI15" s="12">
        <f t="shared" si="21"/>
        <v>2.0654461727980883E-2</v>
      </c>
      <c r="AL15" s="12"/>
    </row>
    <row r="16" spans="2:38" x14ac:dyDescent="0.25">
      <c r="B16" s="6" t="s">
        <v>21</v>
      </c>
      <c r="C16" s="3">
        <v>4.0600000000000004E-2</v>
      </c>
      <c r="D16" s="3">
        <v>5.0502000000000002</v>
      </c>
      <c r="E16" s="3">
        <v>124.38916256157634</v>
      </c>
      <c r="F16" s="10">
        <f t="shared" si="22"/>
        <v>0.61277429625328761</v>
      </c>
      <c r="G16" s="11">
        <f t="shared" si="23"/>
        <v>4.9262675592815098E-3</v>
      </c>
      <c r="H16" s="38"/>
      <c r="I16" t="s">
        <v>21</v>
      </c>
      <c r="J16">
        <v>444.8</v>
      </c>
      <c r="K16">
        <f t="shared" si="35"/>
        <v>3.3346664001066135</v>
      </c>
      <c r="L16">
        <v>318.39999999999998</v>
      </c>
      <c r="M16">
        <f t="shared" si="36"/>
        <v>2.8213471959331766</v>
      </c>
      <c r="N16">
        <v>656</v>
      </c>
      <c r="O16">
        <f t="shared" si="37"/>
        <v>4.0496913462633168</v>
      </c>
      <c r="P16" s="9">
        <v>224</v>
      </c>
      <c r="Q16">
        <f t="shared" si="38"/>
        <v>2.3664319132398464</v>
      </c>
      <c r="R16" s="9">
        <v>232</v>
      </c>
      <c r="S16">
        <f t="shared" si="39"/>
        <v>2.4083189157584592</v>
      </c>
      <c r="T16" s="34"/>
      <c r="U16">
        <f t="shared" si="24"/>
        <v>0.58222544844292845</v>
      </c>
      <c r="V16">
        <f t="shared" si="25"/>
        <v>7.575653799241272E-3</v>
      </c>
      <c r="W16" s="12">
        <f t="shared" si="17"/>
        <v>1.3011547021005663E-2</v>
      </c>
      <c r="X16">
        <f t="shared" si="26"/>
        <v>0.41947243849652649</v>
      </c>
      <c r="Y16">
        <f t="shared" si="27"/>
        <v>5.882127730153096E-3</v>
      </c>
      <c r="Z16" s="12">
        <f t="shared" si="28"/>
        <v>1.4022679895813473E-2</v>
      </c>
      <c r="AA16">
        <f t="shared" si="29"/>
        <v>0.87224135924440305</v>
      </c>
      <c r="AB16">
        <f t="shared" si="30"/>
        <v>9.7413106024263306E-3</v>
      </c>
      <c r="AC16" s="12">
        <f t="shared" si="19"/>
        <v>1.1168136547508983E-2</v>
      </c>
      <c r="AD16">
        <f t="shared" si="31"/>
        <v>0.30223783822344247</v>
      </c>
      <c r="AE16">
        <f t="shared" si="32"/>
        <v>6.1123436159045185E-3</v>
      </c>
      <c r="AF16" s="12">
        <f t="shared" si="20"/>
        <v>2.0223621409658516E-2</v>
      </c>
      <c r="AG16">
        <f t="shared" si="33"/>
        <v>0.30252332617241956</v>
      </c>
      <c r="AH16">
        <f t="shared" si="34"/>
        <v>5.8035965205143992E-3</v>
      </c>
      <c r="AI16" s="12">
        <f t="shared" si="21"/>
        <v>1.9183963742375056E-2</v>
      </c>
      <c r="AL16" s="12"/>
    </row>
    <row r="17" spans="2:38" x14ac:dyDescent="0.25">
      <c r="B17" s="6" t="s">
        <v>22</v>
      </c>
      <c r="C17" s="3">
        <v>3.2599999999999997E-2</v>
      </c>
      <c r="D17" s="3">
        <v>4.9707999999999997</v>
      </c>
      <c r="E17" s="3">
        <v>152.47852760736197</v>
      </c>
      <c r="F17" s="10">
        <f t="shared" si="22"/>
        <v>0.93547120688552143</v>
      </c>
      <c r="G17" s="11">
        <f t="shared" si="23"/>
        <v>6.1351012602534798E-3</v>
      </c>
      <c r="H17" s="38"/>
      <c r="I17" t="s">
        <v>22</v>
      </c>
      <c r="J17">
        <v>503.2</v>
      </c>
      <c r="K17">
        <f t="shared" si="35"/>
        <v>3.5468295701936396</v>
      </c>
      <c r="L17">
        <v>357.59999999999997</v>
      </c>
      <c r="M17">
        <f t="shared" si="36"/>
        <v>2.9899832775452104</v>
      </c>
      <c r="N17">
        <v>656.8</v>
      </c>
      <c r="O17">
        <f t="shared" si="37"/>
        <v>4.052159917870962</v>
      </c>
      <c r="P17" s="9">
        <v>228</v>
      </c>
      <c r="Q17">
        <f>(P17/$E$2)^0.5</f>
        <v>2.3874672772626644</v>
      </c>
      <c r="R17" s="9">
        <v>253.6</v>
      </c>
      <c r="S17">
        <f t="shared" si="39"/>
        <v>2.5179356624028344</v>
      </c>
      <c r="T17" s="34"/>
      <c r="U17">
        <f t="shared" si="24"/>
        <v>0.80740825161734775</v>
      </c>
      <c r="V17">
        <f t="shared" si="25"/>
        <v>1.0716005242782701E-2</v>
      </c>
      <c r="W17" s="12">
        <f t="shared" si="17"/>
        <v>1.3272102708037843E-2</v>
      </c>
      <c r="X17">
        <f t="shared" si="26"/>
        <v>0.57750271111518003</v>
      </c>
      <c r="Y17">
        <f t="shared" si="27"/>
        <v>8.1956533518486325E-3</v>
      </c>
      <c r="Z17" s="12">
        <f t="shared" si="28"/>
        <v>1.4191540912461708E-2</v>
      </c>
      <c r="AA17">
        <f t="shared" si="29"/>
        <v>1.0705134451578573</v>
      </c>
      <c r="AB17">
        <f t="shared" si="30"/>
        <v>1.2578064253144493E-2</v>
      </c>
      <c r="AC17" s="12">
        <f t="shared" si="19"/>
        <v>1.1749562147059012E-2</v>
      </c>
      <c r="AD17">
        <f t="shared" si="31"/>
        <v>0.37710458132808544</v>
      </c>
      <c r="AE17">
        <f t="shared" si="32"/>
        <v>7.7320988363111832E-3</v>
      </c>
      <c r="AF17" s="12">
        <f t="shared" si="20"/>
        <v>2.050385813155679E-2</v>
      </c>
      <c r="AG17">
        <f t="shared" si="33"/>
        <v>0.40536502660142704</v>
      </c>
      <c r="AH17">
        <f t="shared" si="34"/>
        <v>7.820684264443321E-3</v>
      </c>
      <c r="AI17" s="12">
        <f t="shared" si="21"/>
        <v>1.929294278298203E-2</v>
      </c>
      <c r="AL17" s="12"/>
    </row>
    <row r="18" spans="2:38" x14ac:dyDescent="0.25">
      <c r="B18" s="6" t="s">
        <v>23</v>
      </c>
      <c r="C18" s="3">
        <v>3.2399999999999998E-2</v>
      </c>
      <c r="D18" s="3">
        <v>5.0772000000000004</v>
      </c>
      <c r="E18" s="3">
        <v>156.70370370370372</v>
      </c>
      <c r="F18" s="10">
        <f t="shared" si="22"/>
        <v>0.96732650868068526</v>
      </c>
      <c r="G18" s="11">
        <f t="shared" si="23"/>
        <v>6.1729651936607184E-3</v>
      </c>
      <c r="H18" s="38"/>
      <c r="I18" t="s">
        <v>23</v>
      </c>
      <c r="J18">
        <v>309.59999999999997</v>
      </c>
      <c r="K18">
        <f t="shared" si="35"/>
        <v>2.7820855486487108</v>
      </c>
      <c r="L18">
        <v>206.39999999999998</v>
      </c>
      <c r="M18">
        <f t="shared" si="36"/>
        <v>2.2715633383201093</v>
      </c>
      <c r="N18">
        <v>348.79999999999995</v>
      </c>
      <c r="O18">
        <f t="shared" si="37"/>
        <v>2.9529646120466797</v>
      </c>
      <c r="P18" s="9">
        <v>119.2</v>
      </c>
      <c r="Q18">
        <f t="shared" si="38"/>
        <v>1.7262676501632068</v>
      </c>
      <c r="R18" s="9">
        <v>121.6</v>
      </c>
      <c r="S18">
        <f t="shared" si="39"/>
        <v>1.7435595774162693</v>
      </c>
      <c r="T18" s="34"/>
      <c r="U18">
        <f t="shared" si="24"/>
        <v>0.51053330009980757</v>
      </c>
      <c r="V18">
        <f t="shared" si="25"/>
        <v>7.3573864359462709E-3</v>
      </c>
      <c r="W18" s="12">
        <f t="shared" si="17"/>
        <v>1.4411178339410821E-2</v>
      </c>
      <c r="X18">
        <f t="shared" si="26"/>
        <v>0.3425601039943485</v>
      </c>
      <c r="Y18">
        <f t="shared" si="27"/>
        <v>5.4496067500379259E-3</v>
      </c>
      <c r="Z18" s="12">
        <f t="shared" si="28"/>
        <v>1.5908468868656791E-2</v>
      </c>
      <c r="AA18">
        <f t="shared" si="29"/>
        <v>0.58425983259199477</v>
      </c>
      <c r="AB18">
        <f t="shared" si="30"/>
        <v>7.6653735978249654E-3</v>
      </c>
      <c r="AC18" s="12">
        <f t="shared" si="19"/>
        <v>1.3119802475242061E-2</v>
      </c>
      <c r="AD18">
        <f t="shared" si="31"/>
        <v>0.20261602387270872</v>
      </c>
      <c r="AE18">
        <f t="shared" si="32"/>
        <v>4.6246043354369057E-3</v>
      </c>
      <c r="AF18" s="12">
        <f t="shared" si="20"/>
        <v>2.2824474822101249E-2</v>
      </c>
      <c r="AG18">
        <f t="shared" si="33"/>
        <v>0.19975661681015636</v>
      </c>
      <c r="AH18">
        <f t="shared" si="34"/>
        <v>4.3750590817507526E-3</v>
      </c>
      <c r="AI18" s="12">
        <f t="shared" si="21"/>
        <v>2.1901948238884614E-2</v>
      </c>
      <c r="AL18" s="12"/>
    </row>
    <row r="19" spans="2:38" x14ac:dyDescent="0.25">
      <c r="B19" s="6" t="s">
        <v>24</v>
      </c>
      <c r="C19" s="3">
        <v>6.7900000000000002E-2</v>
      </c>
      <c r="D19" s="3">
        <v>4.9969000000000001</v>
      </c>
      <c r="E19" s="3">
        <v>73.592047128129607</v>
      </c>
      <c r="F19" s="10">
        <f t="shared" si="22"/>
        <v>0.21678598240630462</v>
      </c>
      <c r="G19" s="11">
        <f t="shared" si="23"/>
        <v>2.9457800246929259E-3</v>
      </c>
      <c r="H19" s="38"/>
      <c r="I19" t="s">
        <v>24</v>
      </c>
      <c r="J19">
        <v>570.40000000000009</v>
      </c>
      <c r="K19">
        <f t="shared" si="35"/>
        <v>3.7762415176998414</v>
      </c>
      <c r="L19">
        <v>357.59999999999997</v>
      </c>
      <c r="M19">
        <f t="shared" si="36"/>
        <v>2.9899832775452104</v>
      </c>
      <c r="N19">
        <v>781.6</v>
      </c>
      <c r="O19">
        <f t="shared" si="37"/>
        <v>4.4204072210600689</v>
      </c>
      <c r="P19" s="9">
        <v>282.39999999999998</v>
      </c>
      <c r="Q19">
        <f t="shared" si="38"/>
        <v>2.6570660511172846</v>
      </c>
      <c r="R19" s="9">
        <v>274.39999999999998</v>
      </c>
      <c r="S19">
        <f t="shared" si="39"/>
        <v>2.6191601707417589</v>
      </c>
      <c r="T19" s="34"/>
      <c r="U19">
        <f t="shared" si="24"/>
        <v>0.44172732196779685</v>
      </c>
      <c r="V19">
        <f t="shared" si="25"/>
        <v>5.2514248753258519E-3</v>
      </c>
      <c r="W19" s="12">
        <f t="shared" si="17"/>
        <v>1.1888385920825372E-2</v>
      </c>
      <c r="X19">
        <f t="shared" si="26"/>
        <v>0.27872519101475757</v>
      </c>
      <c r="Y19">
        <f t="shared" si="27"/>
        <v>3.6600978207486303E-3</v>
      </c>
      <c r="Z19" s="12">
        <f t="shared" si="28"/>
        <v>1.3131564489823383E-2</v>
      </c>
      <c r="AA19">
        <f t="shared" si="29"/>
        <v>0.61484511542643827</v>
      </c>
      <c r="AB19">
        <f t="shared" si="30"/>
        <v>6.2403809762508868E-3</v>
      </c>
      <c r="AC19" s="12">
        <f t="shared" si="19"/>
        <v>1.0149517040438297E-2</v>
      </c>
      <c r="AD19">
        <f t="shared" si="31"/>
        <v>0.22543110939863675</v>
      </c>
      <c r="AE19">
        <f t="shared" si="32"/>
        <v>4.3381529501369939E-3</v>
      </c>
      <c r="AF19" s="12">
        <f t="shared" si="20"/>
        <v>1.924380783872072E-2</v>
      </c>
      <c r="AG19">
        <f t="shared" si="33"/>
        <v>0.21169145545036305</v>
      </c>
      <c r="AH19">
        <f t="shared" si="34"/>
        <v>3.8791165289212949E-3</v>
      </c>
      <c r="AI19" s="12">
        <f t="shared" si="21"/>
        <v>1.8324388769819108E-2</v>
      </c>
      <c r="AL19" s="12"/>
    </row>
    <row r="20" spans="2:38" s="24" customFormat="1" x14ac:dyDescent="0.25">
      <c r="B20" s="20" t="s">
        <v>25</v>
      </c>
      <c r="C20" s="21" t="s">
        <v>26</v>
      </c>
      <c r="D20" s="20">
        <v>5.5175000000000001</v>
      </c>
      <c r="E20" s="21" t="s">
        <v>26</v>
      </c>
      <c r="F20" s="22"/>
      <c r="G20" s="23"/>
      <c r="H20" s="42"/>
      <c r="I20" s="24" t="s">
        <v>25</v>
      </c>
      <c r="J20" s="24">
        <v>393.59999999999997</v>
      </c>
      <c r="K20" s="24">
        <f t="shared" si="35"/>
        <v>3.1368774282716245</v>
      </c>
      <c r="L20" s="24">
        <v>296</v>
      </c>
      <c r="M20" s="24">
        <f t="shared" si="36"/>
        <v>2.7202941017470885</v>
      </c>
      <c r="N20" s="24">
        <v>604</v>
      </c>
      <c r="O20" s="24">
        <f t="shared" si="37"/>
        <v>3.8858718455450894</v>
      </c>
      <c r="P20" s="24">
        <v>192.8</v>
      </c>
      <c r="Q20" s="24">
        <f>(P20/$E$2)^0.5</f>
        <v>2.1954498400100149</v>
      </c>
      <c r="R20" s="24">
        <v>198.4</v>
      </c>
      <c r="S20" s="24">
        <f t="shared" si="39"/>
        <v>2.2271057451320089</v>
      </c>
      <c r="T20" s="36"/>
      <c r="U20" s="24" t="e">
        <f t="shared" si="24"/>
        <v>#VALUE!</v>
      </c>
      <c r="V20" s="24" t="e">
        <f t="shared" si="25"/>
        <v>#VALUE!</v>
      </c>
      <c r="W20" s="25" t="e">
        <f t="shared" si="17"/>
        <v>#VALUE!</v>
      </c>
      <c r="X20" s="24" t="e">
        <f t="shared" si="26"/>
        <v>#VALUE!</v>
      </c>
      <c r="Y20" s="24" t="e">
        <f t="shared" si="27"/>
        <v>#VALUE!</v>
      </c>
      <c r="Z20" s="25" t="e">
        <f t="shared" si="28"/>
        <v>#VALUE!</v>
      </c>
      <c r="AA20" s="24" t="e">
        <f t="shared" si="29"/>
        <v>#VALUE!</v>
      </c>
      <c r="AB20" s="24" t="e">
        <f t="shared" si="30"/>
        <v>#VALUE!</v>
      </c>
      <c r="AC20" s="25" t="e">
        <f t="shared" si="19"/>
        <v>#VALUE!</v>
      </c>
      <c r="AD20" s="24" t="e">
        <f t="shared" si="31"/>
        <v>#VALUE!</v>
      </c>
      <c r="AE20" s="24" t="e">
        <f t="shared" si="32"/>
        <v>#VALUE!</v>
      </c>
      <c r="AF20" s="25" t="e">
        <f t="shared" si="20"/>
        <v>#VALUE!</v>
      </c>
      <c r="AG20" s="24" t="e">
        <f t="shared" si="33"/>
        <v>#VALUE!</v>
      </c>
      <c r="AH20" s="24" t="e">
        <f t="shared" si="34"/>
        <v>#VALUE!</v>
      </c>
      <c r="AI20" s="25" t="e">
        <f t="shared" si="21"/>
        <v>#VALUE!</v>
      </c>
      <c r="AL20" s="25"/>
    </row>
    <row r="21" spans="2:38" x14ac:dyDescent="0.25">
      <c r="B21" s="6" t="s">
        <v>27</v>
      </c>
      <c r="C21" s="3">
        <v>1.6500000000000001E-2</v>
      </c>
      <c r="D21" s="3">
        <v>4.8581000000000003</v>
      </c>
      <c r="E21" s="3">
        <v>294.43030303030304</v>
      </c>
      <c r="F21" s="10">
        <f>(((1/C21)^2)*($E$3^2)+((D21/(C21^2))^2)*($E$3^2))^0.5</f>
        <v>3.5688727420627053</v>
      </c>
      <c r="G21" s="11">
        <f>F21/E21</f>
        <v>1.2121282032900648E-2</v>
      </c>
      <c r="H21" s="38"/>
      <c r="I21" t="s">
        <v>27</v>
      </c>
      <c r="J21">
        <v>67.2</v>
      </c>
      <c r="K21">
        <f t="shared" si="35"/>
        <v>1.2961481396815722</v>
      </c>
      <c r="L21">
        <v>46.4</v>
      </c>
      <c r="M21">
        <f t="shared" si="36"/>
        <v>1.0770329614269007</v>
      </c>
      <c r="N21">
        <v>83.2</v>
      </c>
      <c r="O21">
        <f t="shared" si="37"/>
        <v>1.4422205101855958</v>
      </c>
      <c r="P21" s="9">
        <v>36</v>
      </c>
      <c r="Q21">
        <f t="shared" si="38"/>
        <v>0.94868329805051377</v>
      </c>
      <c r="R21" s="9">
        <v>29.599999999999998</v>
      </c>
      <c r="S21">
        <f t="shared" si="39"/>
        <v>0.86023252670426265</v>
      </c>
      <c r="T21" s="34"/>
      <c r="U21">
        <f t="shared" si="24"/>
        <v>0.20820715050250721</v>
      </c>
      <c r="V21">
        <f t="shared" si="25"/>
        <v>5.1329565830203249E-3</v>
      </c>
      <c r="W21" s="12">
        <f t="shared" si="17"/>
        <v>2.4653123442840232E-2</v>
      </c>
      <c r="X21">
        <f t="shared" si="26"/>
        <v>0.14469326418936457</v>
      </c>
      <c r="Y21">
        <f t="shared" si="27"/>
        <v>4.0399448511659469E-3</v>
      </c>
      <c r="Z21" s="12">
        <f t="shared" si="28"/>
        <v>2.7920752730263558E-2</v>
      </c>
      <c r="AA21">
        <f t="shared" si="29"/>
        <v>0.26185213830218546</v>
      </c>
      <c r="AB21">
        <f t="shared" si="30"/>
        <v>5.9120370914105026E-3</v>
      </c>
      <c r="AC21" s="12">
        <f t="shared" si="19"/>
        <v>2.257776900254994E-2</v>
      </c>
      <c r="AD21">
        <f t="shared" si="31"/>
        <v>0.11497496304644787</v>
      </c>
      <c r="AE21">
        <f t="shared" si="32"/>
        <v>3.838320850726907E-3</v>
      </c>
      <c r="AF21" s="12">
        <f t="shared" si="20"/>
        <v>3.3383971162280715E-2</v>
      </c>
      <c r="AG21">
        <f t="shared" si="33"/>
        <v>9.1361359791922309E-2</v>
      </c>
      <c r="AH21">
        <f t="shared" si="34"/>
        <v>3.2009320498040065E-3</v>
      </c>
      <c r="AI21" s="12">
        <f t="shared" si="21"/>
        <v>3.5035950177341998E-2</v>
      </c>
      <c r="AL21" s="12"/>
    </row>
    <row r="22" spans="2:38" x14ac:dyDescent="0.25">
      <c r="B22" s="6" t="s">
        <v>28</v>
      </c>
      <c r="C22" s="3">
        <v>4.0399999999999998E-2</v>
      </c>
      <c r="D22" s="3">
        <v>4.9471999999999996</v>
      </c>
      <c r="E22" s="3">
        <v>122.45544554455445</v>
      </c>
      <c r="F22" s="10">
        <f>(((1/C22)^2)*($E$3^2)+((D22/(C22^2))^2)*($E$3^2))^0.5</f>
        <v>0.6062352900703305</v>
      </c>
      <c r="G22" s="11">
        <f>F22/E22</f>
        <v>4.9506601145782167E-3</v>
      </c>
      <c r="H22" s="38"/>
      <c r="I22" t="s">
        <v>28</v>
      </c>
      <c r="J22">
        <v>65.600000000000009</v>
      </c>
      <c r="K22">
        <f t="shared" si="35"/>
        <v>1.2806248474865698</v>
      </c>
      <c r="L22">
        <v>45.6</v>
      </c>
      <c r="M22">
        <f t="shared" si="36"/>
        <v>1.0677078252031311</v>
      </c>
      <c r="N22">
        <v>82.4</v>
      </c>
      <c r="O22">
        <f t="shared" si="37"/>
        <v>1.4352700094407325</v>
      </c>
      <c r="P22" s="9">
        <v>24.8</v>
      </c>
      <c r="Q22">
        <f t="shared" si="38"/>
        <v>0.78740078740118113</v>
      </c>
      <c r="R22" s="9">
        <v>29.599999999999998</v>
      </c>
      <c r="S22">
        <f t="shared" si="39"/>
        <v>0.86023252670426265</v>
      </c>
      <c r="T22" s="34"/>
      <c r="U22">
        <f t="shared" si="24"/>
        <v>8.4532906901701191E-2</v>
      </c>
      <c r="V22">
        <f t="shared" si="25"/>
        <v>1.8796625189879373E-3</v>
      </c>
      <c r="W22" s="12">
        <f t="shared" si="17"/>
        <v>2.2235867520487573E-2</v>
      </c>
      <c r="X22">
        <f t="shared" si="26"/>
        <v>5.9141287265899657E-2</v>
      </c>
      <c r="Y22">
        <f t="shared" si="27"/>
        <v>1.5269502732057352E-3</v>
      </c>
      <c r="Z22" s="12">
        <f t="shared" si="28"/>
        <v>2.5818685114859873E-2</v>
      </c>
      <c r="AA22">
        <f t="shared" si="29"/>
        <v>0.1078588056668819</v>
      </c>
      <c r="AB22">
        <f t="shared" si="30"/>
        <v>2.1307410819058222E-3</v>
      </c>
      <c r="AC22" s="12">
        <f t="shared" si="19"/>
        <v>1.9754910771833879E-2</v>
      </c>
      <c r="AD22">
        <f t="shared" si="31"/>
        <v>3.2941855329419713E-2</v>
      </c>
      <c r="AE22">
        <f t="shared" si="32"/>
        <v>1.190333400644847E-3</v>
      </c>
      <c r="AF22" s="12">
        <f t="shared" si="20"/>
        <v>3.6134376426023095E-2</v>
      </c>
      <c r="AG22">
        <f t="shared" si="33"/>
        <v>3.7997773679310246E-2</v>
      </c>
      <c r="AH22">
        <f t="shared" si="34"/>
        <v>1.2631624555238417E-3</v>
      </c>
      <c r="AI22" s="12">
        <f t="shared" si="21"/>
        <v>3.3243064874920097E-2</v>
      </c>
      <c r="AL22" s="12"/>
    </row>
    <row r="23" spans="2:38" s="24" customFormat="1" x14ac:dyDescent="0.25">
      <c r="B23" s="20" t="s">
        <v>29</v>
      </c>
      <c r="C23" s="21" t="s">
        <v>26</v>
      </c>
      <c r="D23" s="20">
        <v>4.9318</v>
      </c>
      <c r="E23" s="21" t="s">
        <v>26</v>
      </c>
      <c r="F23" s="22"/>
      <c r="G23" s="26"/>
      <c r="H23" s="42"/>
      <c r="I23" s="24" t="s">
        <v>29</v>
      </c>
      <c r="J23" s="24">
        <v>82.4</v>
      </c>
      <c r="K23" s="24">
        <f t="shared" si="35"/>
        <v>1.4352700094407325</v>
      </c>
      <c r="L23" s="24">
        <v>54.4</v>
      </c>
      <c r="M23" s="24">
        <f t="shared" si="36"/>
        <v>1.16619037896906</v>
      </c>
      <c r="N23" s="24">
        <v>124.8</v>
      </c>
      <c r="O23" s="24">
        <f t="shared" si="37"/>
        <v>1.7663521732655694</v>
      </c>
      <c r="P23" s="24">
        <v>52</v>
      </c>
      <c r="Q23" s="24">
        <f t="shared" si="38"/>
        <v>1.1401754250991381</v>
      </c>
      <c r="R23" s="24">
        <v>42.4</v>
      </c>
      <c r="S23" s="24">
        <f t="shared" si="39"/>
        <v>1.0295630140987</v>
      </c>
      <c r="T23" s="36"/>
      <c r="U23" s="24" t="e">
        <f t="shared" si="24"/>
        <v>#VALUE!</v>
      </c>
      <c r="V23" s="24" t="e">
        <f t="shared" si="25"/>
        <v>#VALUE!</v>
      </c>
      <c r="W23" s="25" t="e">
        <f t="shared" si="17"/>
        <v>#VALUE!</v>
      </c>
      <c r="X23" s="24" t="e">
        <f t="shared" si="26"/>
        <v>#VALUE!</v>
      </c>
      <c r="Y23" s="24" t="e">
        <f t="shared" si="27"/>
        <v>#VALUE!</v>
      </c>
      <c r="Z23" s="25" t="e">
        <f t="shared" si="28"/>
        <v>#VALUE!</v>
      </c>
      <c r="AA23" s="24" t="e">
        <f t="shared" si="29"/>
        <v>#VALUE!</v>
      </c>
      <c r="AB23" s="24" t="e">
        <f t="shared" si="30"/>
        <v>#VALUE!</v>
      </c>
      <c r="AC23" s="25" t="e">
        <f t="shared" si="19"/>
        <v>#VALUE!</v>
      </c>
      <c r="AD23" s="24" t="e">
        <f t="shared" si="31"/>
        <v>#VALUE!</v>
      </c>
      <c r="AE23" s="24" t="e">
        <f t="shared" si="32"/>
        <v>#VALUE!</v>
      </c>
      <c r="AF23" s="25" t="e">
        <f t="shared" si="20"/>
        <v>#VALUE!</v>
      </c>
      <c r="AG23" s="24" t="e">
        <f t="shared" si="33"/>
        <v>#VALUE!</v>
      </c>
      <c r="AH23" s="24" t="e">
        <f t="shared" si="34"/>
        <v>#VALUE!</v>
      </c>
      <c r="AI23" s="25" t="e">
        <f t="shared" si="21"/>
        <v>#VALUE!</v>
      </c>
      <c r="AL23" s="25"/>
    </row>
    <row r="24" spans="2:38" x14ac:dyDescent="0.25">
      <c r="B24" s="6" t="s">
        <v>30</v>
      </c>
      <c r="C24" s="3">
        <v>3.6400000000000002E-2</v>
      </c>
      <c r="D24" s="3">
        <v>4.9192</v>
      </c>
      <c r="E24" s="3">
        <v>135.14285714285714</v>
      </c>
      <c r="F24" s="10">
        <f t="shared" ref="F24:F35" si="40">(((1/C24)^2)*($E$3^2)+((D24/(C24^2))^2)*($E$3^2))^0.5</f>
        <v>0.7425634993450424</v>
      </c>
      <c r="G24" s="11">
        <f t="shared" ref="G24:G35" si="41">F24/E24</f>
        <v>5.4946559148153244E-3</v>
      </c>
      <c r="H24" s="38"/>
      <c r="I24" t="s">
        <v>30</v>
      </c>
      <c r="J24">
        <v>76.8</v>
      </c>
      <c r="K24">
        <f t="shared" si="35"/>
        <v>1.3856406460551018</v>
      </c>
      <c r="L24">
        <v>42.4</v>
      </c>
      <c r="M24">
        <f t="shared" si="36"/>
        <v>1.0295630140987</v>
      </c>
      <c r="N24">
        <v>99.2</v>
      </c>
      <c r="O24">
        <f t="shared" si="37"/>
        <v>1.5748015748023623</v>
      </c>
      <c r="P24" s="9">
        <v>24.8</v>
      </c>
      <c r="Q24">
        <f t="shared" si="38"/>
        <v>0.78740078740118113</v>
      </c>
      <c r="R24" s="9">
        <v>40</v>
      </c>
      <c r="S24">
        <f t="shared" si="39"/>
        <v>1</v>
      </c>
      <c r="T24" s="34"/>
      <c r="U24">
        <f t="shared" si="24"/>
        <v>0.10921899549017053</v>
      </c>
      <c r="V24">
        <f t="shared" si="25"/>
        <v>2.3027842538655705E-3</v>
      </c>
      <c r="W24" s="12">
        <f t="shared" si="17"/>
        <v>2.1084100284302798E-2</v>
      </c>
      <c r="X24">
        <f t="shared" si="26"/>
        <v>6.0688552711562503E-2</v>
      </c>
      <c r="Y24">
        <f t="shared" si="27"/>
        <v>1.621263462629711E-3</v>
      </c>
      <c r="Z24" s="12">
        <f t="shared" si="28"/>
        <v>2.6714485519784437E-2</v>
      </c>
      <c r="AA24">
        <f t="shared" si="29"/>
        <v>0.14330292699054462</v>
      </c>
      <c r="AB24">
        <f t="shared" si="30"/>
        <v>2.6600234185260854E-3</v>
      </c>
      <c r="AC24" s="12">
        <f t="shared" si="19"/>
        <v>1.8562240663106612E-2</v>
      </c>
      <c r="AD24">
        <f t="shared" si="31"/>
        <v>3.6354907934124193E-2</v>
      </c>
      <c r="AE24">
        <f t="shared" si="32"/>
        <v>1.3165172686312755E-3</v>
      </c>
      <c r="AF24" s="12">
        <f t="shared" si="20"/>
        <v>3.6212917139463827E-2</v>
      </c>
      <c r="AG24">
        <f t="shared" si="33"/>
        <v>5.6668461953805573E-2</v>
      </c>
      <c r="AH24">
        <f t="shared" si="34"/>
        <v>1.6917116041164819E-3</v>
      </c>
      <c r="AI24" s="12">
        <f t="shared" si="21"/>
        <v>2.9852788408048104E-2</v>
      </c>
      <c r="AL24" s="12"/>
    </row>
    <row r="25" spans="2:38" x14ac:dyDescent="0.25">
      <c r="B25" s="3" t="s">
        <v>10</v>
      </c>
      <c r="C25" s="3">
        <v>1.21E-2</v>
      </c>
      <c r="D25" s="3">
        <v>4.9885000000000002</v>
      </c>
      <c r="E25" s="3">
        <v>412.27272727272731</v>
      </c>
      <c r="F25" s="10">
        <f t="shared" si="40"/>
        <v>6.8144452902538699</v>
      </c>
      <c r="G25" s="11">
        <f t="shared" si="41"/>
        <v>1.6528974243173664E-2</v>
      </c>
      <c r="H25" s="38"/>
      <c r="I25" t="s">
        <v>10</v>
      </c>
      <c r="J25">
        <v>884.80000000000007</v>
      </c>
      <c r="K25">
        <f t="shared" si="35"/>
        <v>4.703190406521939</v>
      </c>
      <c r="L25">
        <v>632.79999999999995</v>
      </c>
      <c r="M25">
        <f t="shared" si="36"/>
        <v>3.9774363602702683</v>
      </c>
      <c r="N25">
        <v>616</v>
      </c>
      <c r="O25">
        <f t="shared" si="37"/>
        <v>3.9242833740697169</v>
      </c>
      <c r="P25" s="9">
        <v>388.8</v>
      </c>
      <c r="Q25">
        <f t="shared" si="38"/>
        <v>3.117691453623979</v>
      </c>
      <c r="R25" s="9">
        <v>536.79999999999995</v>
      </c>
      <c r="S25">
        <f t="shared" si="39"/>
        <v>3.6633318168028404</v>
      </c>
      <c r="T25" s="34"/>
      <c r="U25">
        <f t="shared" si="24"/>
        <v>3.8386063880313679</v>
      </c>
      <c r="V25">
        <f t="shared" si="25"/>
        <v>7.5834500758531501E-2</v>
      </c>
      <c r="W25" s="12">
        <f t="shared" si="17"/>
        <v>1.9755737653899774E-2</v>
      </c>
      <c r="X25">
        <f t="shared" si="26"/>
        <v>2.7631146430585845</v>
      </c>
      <c r="Y25">
        <f t="shared" si="27"/>
        <v>5.5713860797132718E-2</v>
      </c>
      <c r="Z25" s="12">
        <f t="shared" si="28"/>
        <v>2.0163427144470985E-2</v>
      </c>
      <c r="AA25">
        <f t="shared" si="29"/>
        <v>2.7146610449092847</v>
      </c>
      <c r="AB25">
        <f t="shared" si="30"/>
        <v>5.264908636453295E-2</v>
      </c>
      <c r="AC25" s="12">
        <f t="shared" si="19"/>
        <v>1.939434997354976E-2</v>
      </c>
      <c r="AD25">
        <f t="shared" si="31"/>
        <v>1.7387179370810371</v>
      </c>
      <c r="AE25">
        <f t="shared" si="32"/>
        <v>4.2965229845439108E-2</v>
      </c>
      <c r="AF25" s="12">
        <f t="shared" si="20"/>
        <v>2.4710868237529784E-2</v>
      </c>
      <c r="AG25">
        <f t="shared" si="33"/>
        <v>2.3199864652883093</v>
      </c>
      <c r="AH25">
        <f t="shared" si="34"/>
        <v>5.469350264274736E-2</v>
      </c>
      <c r="AI25" s="12">
        <f t="shared" si="21"/>
        <v>2.3574923156265262E-2</v>
      </c>
      <c r="AL25" s="12"/>
    </row>
    <row r="26" spans="2:38" x14ac:dyDescent="0.25">
      <c r="B26" s="3" t="s">
        <v>11</v>
      </c>
      <c r="C26" s="3">
        <v>4.9700000000000001E-2</v>
      </c>
      <c r="D26" s="3">
        <v>4.8765000000000001</v>
      </c>
      <c r="E26" s="3">
        <v>98.118712273641847</v>
      </c>
      <c r="F26" s="10">
        <f t="shared" si="40"/>
        <v>0.39486441854832172</v>
      </c>
      <c r="G26" s="11">
        <f t="shared" si="41"/>
        <v>4.0243538607303581E-3</v>
      </c>
      <c r="H26" s="38"/>
      <c r="I26" t="s">
        <v>11</v>
      </c>
      <c r="J26">
        <v>134563.19999999998</v>
      </c>
      <c r="K26">
        <f t="shared" si="35"/>
        <v>58.00068965107225</v>
      </c>
      <c r="L26">
        <v>94366.44</v>
      </c>
      <c r="M26">
        <f t="shared" si="36"/>
        <v>48.571195167506431</v>
      </c>
      <c r="N26">
        <v>162181.32</v>
      </c>
      <c r="O26">
        <f t="shared" si="37"/>
        <v>63.675214958412198</v>
      </c>
      <c r="P26" s="9">
        <v>62023.92</v>
      </c>
      <c r="Q26">
        <f t="shared" si="38"/>
        <v>39.377633245282787</v>
      </c>
      <c r="R26" s="9">
        <v>62551.4</v>
      </c>
      <c r="S26">
        <f t="shared" si="39"/>
        <v>39.544721518807037</v>
      </c>
      <c r="T26" s="33"/>
      <c r="U26">
        <f t="shared" si="24"/>
        <v>138.9383086391378</v>
      </c>
      <c r="V26">
        <f t="shared" si="25"/>
        <v>1.4251062775023169</v>
      </c>
      <c r="W26" s="12">
        <f t="shared" si="17"/>
        <v>1.0257115488599491E-2</v>
      </c>
      <c r="X26">
        <f t="shared" si="26"/>
        <v>98.065723993316837</v>
      </c>
      <c r="Y26">
        <f t="shared" si="27"/>
        <v>1.0299711859744138</v>
      </c>
      <c r="Z26" s="12">
        <f t="shared" si="28"/>
        <v>1.0502866282255829E-2</v>
      </c>
      <c r="AA26">
        <f t="shared" si="29"/>
        <v>170.09947106606117</v>
      </c>
      <c r="AB26">
        <f t="shared" si="30"/>
        <v>1.5089939899935871</v>
      </c>
      <c r="AC26" s="12">
        <f t="shared" si="19"/>
        <v>8.871244457941567E-3</v>
      </c>
      <c r="AD26">
        <f t="shared" si="31"/>
        <v>66.012977594722017</v>
      </c>
      <c r="AE26">
        <f t="shared" si="32"/>
        <v>1.1236139914624483</v>
      </c>
      <c r="AF26" s="12">
        <f t="shared" si="20"/>
        <v>1.7021107551923025E-2</v>
      </c>
      <c r="AG26">
        <f t="shared" si="33"/>
        <v>64.339430436719454</v>
      </c>
      <c r="AH26">
        <f t="shared" si="34"/>
        <v>1.0225574545679195</v>
      </c>
      <c r="AI26" s="12">
        <f t="shared" si="21"/>
        <v>1.5893169206302626E-2</v>
      </c>
      <c r="AL26" s="12"/>
    </row>
    <row r="27" spans="2:38" x14ac:dyDescent="0.25">
      <c r="B27" s="3" t="s">
        <v>12</v>
      </c>
      <c r="C27" s="3">
        <v>2.7699999999999999E-2</v>
      </c>
      <c r="D27" s="3">
        <v>4.9138999999999999</v>
      </c>
      <c r="E27" s="3">
        <v>177.39711191335741</v>
      </c>
      <c r="F27" s="10">
        <f t="shared" si="40"/>
        <v>1.2808659236544595</v>
      </c>
      <c r="G27" s="11">
        <f t="shared" si="41"/>
        <v>7.2203313224177392E-3</v>
      </c>
      <c r="H27" s="38"/>
      <c r="I27" t="s">
        <v>12</v>
      </c>
      <c r="J27">
        <v>24335.68</v>
      </c>
      <c r="K27">
        <f t="shared" si="35"/>
        <v>24.665603580695123</v>
      </c>
      <c r="L27">
        <v>16871.419999999998</v>
      </c>
      <c r="M27">
        <f t="shared" si="36"/>
        <v>20.537417072261057</v>
      </c>
      <c r="N27">
        <v>17569.120000000003</v>
      </c>
      <c r="O27">
        <f t="shared" si="37"/>
        <v>20.957767056630821</v>
      </c>
      <c r="P27" s="9">
        <v>10505.22</v>
      </c>
      <c r="Q27">
        <f t="shared" si="38"/>
        <v>16.205878563040017</v>
      </c>
      <c r="R27" s="9">
        <v>11148.96</v>
      </c>
      <c r="S27">
        <f t="shared" si="39"/>
        <v>16.695029200333853</v>
      </c>
      <c r="T27" s="34"/>
      <c r="U27">
        <f t="shared" si="24"/>
        <v>45.429074849444049</v>
      </c>
      <c r="V27">
        <f t="shared" si="25"/>
        <v>0.5413264403603617</v>
      </c>
      <c r="W27" s="12">
        <f t="shared" si="17"/>
        <v>1.1915858778862769E-2</v>
      </c>
      <c r="X27">
        <f t="shared" si="26"/>
        <v>31.699032688598177</v>
      </c>
      <c r="Y27">
        <f t="shared" si="27"/>
        <v>0.38493751598350678</v>
      </c>
      <c r="Z27" s="12">
        <f t="shared" si="28"/>
        <v>1.2143509859276083E-2</v>
      </c>
      <c r="AA27">
        <f t="shared" si="29"/>
        <v>33.315539213314018</v>
      </c>
      <c r="AB27">
        <f t="shared" si="30"/>
        <v>0.35867321581159844</v>
      </c>
      <c r="AC27" s="12">
        <f t="shared" si="19"/>
        <v>1.0765943589118332E-2</v>
      </c>
      <c r="AD27">
        <f t="shared" si="31"/>
        <v>20.214824202472663</v>
      </c>
      <c r="AE27">
        <f t="shared" si="32"/>
        <v>0.36590091676470704</v>
      </c>
      <c r="AF27" s="12">
        <f t="shared" si="20"/>
        <v>1.8100623240638932E-2</v>
      </c>
      <c r="AG27">
        <f t="shared" si="33"/>
        <v>20.733338597614818</v>
      </c>
      <c r="AH27">
        <f t="shared" si="34"/>
        <v>0.35330319429144197</v>
      </c>
      <c r="AI27" s="12">
        <f t="shared" si="21"/>
        <v>1.7040342664933195E-2</v>
      </c>
      <c r="AL27" s="12"/>
    </row>
    <row r="28" spans="2:38" x14ac:dyDescent="0.25">
      <c r="B28" s="3" t="s">
        <v>31</v>
      </c>
      <c r="C28" s="3">
        <v>1.01E-2</v>
      </c>
      <c r="D28" s="3">
        <v>5.0003000000000002</v>
      </c>
      <c r="E28" s="3">
        <v>495.0792079207921</v>
      </c>
      <c r="F28" s="10">
        <f t="shared" si="40"/>
        <v>9.8035686704785281</v>
      </c>
      <c r="G28" s="11">
        <f t="shared" si="41"/>
        <v>1.9802020593131037E-2</v>
      </c>
      <c r="H28" s="38"/>
      <c r="I28" t="s">
        <v>31</v>
      </c>
      <c r="J28">
        <v>2620.2999999999997</v>
      </c>
      <c r="K28">
        <f t="shared" si="35"/>
        <v>8.0936703664036127</v>
      </c>
      <c r="L28">
        <v>1841.74</v>
      </c>
      <c r="M28">
        <f t="shared" si="36"/>
        <v>6.7855360878857613</v>
      </c>
      <c r="N28">
        <v>3531.7000000000003</v>
      </c>
      <c r="O28">
        <f t="shared" si="37"/>
        <v>9.39640888850629</v>
      </c>
      <c r="P28" s="9">
        <v>1294.5</v>
      </c>
      <c r="Q28">
        <f t="shared" si="38"/>
        <v>5.6888047953854066</v>
      </c>
      <c r="R28" s="9">
        <v>1284.9000000000001</v>
      </c>
      <c r="S28">
        <f t="shared" si="39"/>
        <v>5.6676714795407825</v>
      </c>
      <c r="T28" s="34"/>
      <c r="U28">
        <f t="shared" si="24"/>
        <v>13.651160279939385</v>
      </c>
      <c r="V28">
        <f t="shared" si="25"/>
        <v>0.30233178771885805</v>
      </c>
      <c r="W28" s="12">
        <f t="shared" si="17"/>
        <v>2.2146966376414157E-2</v>
      </c>
      <c r="X28">
        <f t="shared" si="26"/>
        <v>9.6571913247368162</v>
      </c>
      <c r="Y28">
        <f t="shared" si="27"/>
        <v>0.21584286910404249</v>
      </c>
      <c r="Z28" s="12">
        <f t="shared" si="28"/>
        <v>2.2350480781214592E-2</v>
      </c>
      <c r="AA28">
        <f t="shared" si="29"/>
        <v>18.689977790239947</v>
      </c>
      <c r="AB28">
        <f t="shared" si="30"/>
        <v>0.40152935544521118</v>
      </c>
      <c r="AC28" s="12">
        <f t="shared" si="19"/>
        <v>2.1483672155827437E-2</v>
      </c>
      <c r="AD28">
        <f t="shared" si="31"/>
        <v>6.9517639038956629</v>
      </c>
      <c r="AE28">
        <f t="shared" si="32"/>
        <v>0.18188557978862102</v>
      </c>
      <c r="AF28" s="12">
        <f t="shared" si="20"/>
        <v>2.6163946633270315E-2</v>
      </c>
      <c r="AG28">
        <f t="shared" si="33"/>
        <v>6.6685644733944205</v>
      </c>
      <c r="AH28">
        <f t="shared" si="34"/>
        <v>0.16969819780477485</v>
      </c>
      <c r="AI28" s="12">
        <f t="shared" si="21"/>
        <v>2.5447485509335621E-2</v>
      </c>
      <c r="AL28" s="12"/>
    </row>
    <row r="29" spans="2:38" x14ac:dyDescent="0.25">
      <c r="B29" s="3" t="s">
        <v>32</v>
      </c>
      <c r="C29" s="3">
        <v>5.7000000000000002E-3</v>
      </c>
      <c r="D29" s="3">
        <v>4.8712999999999997</v>
      </c>
      <c r="E29" s="3">
        <v>854.61403508771923</v>
      </c>
      <c r="F29" s="10">
        <f t="shared" si="40"/>
        <v>29.986477899892936</v>
      </c>
      <c r="G29" s="11">
        <f t="shared" si="41"/>
        <v>3.5087743318906607E-2</v>
      </c>
      <c r="H29" s="38"/>
      <c r="I29" t="s">
        <v>32</v>
      </c>
      <c r="J29">
        <v>536</v>
      </c>
      <c r="K29">
        <f t="shared" si="35"/>
        <v>3.6606010435446255</v>
      </c>
      <c r="L29">
        <v>362.40000000000003</v>
      </c>
      <c r="M29">
        <f t="shared" si="36"/>
        <v>3.0099833886584824</v>
      </c>
      <c r="N29">
        <v>772</v>
      </c>
      <c r="O29">
        <f t="shared" si="37"/>
        <v>4.3931765272977596</v>
      </c>
      <c r="P29" s="9">
        <v>235.2</v>
      </c>
      <c r="Q29">
        <f t="shared" si="38"/>
        <v>2.4248711305964283</v>
      </c>
      <c r="R29" s="9">
        <v>254.4</v>
      </c>
      <c r="S29">
        <f t="shared" si="39"/>
        <v>2.5219040425836985</v>
      </c>
      <c r="T29" s="34"/>
      <c r="U29">
        <f t="shared" si="24"/>
        <v>4.820351099175749</v>
      </c>
      <c r="V29">
        <f t="shared" si="25"/>
        <v>0.17819780752307121</v>
      </c>
      <c r="W29" s="12">
        <f t="shared" si="17"/>
        <v>3.6967806671497842E-2</v>
      </c>
      <c r="X29">
        <f t="shared" si="26"/>
        <v>3.2802431519825599</v>
      </c>
      <c r="Y29">
        <f t="shared" si="27"/>
        <v>0.12247147610786252</v>
      </c>
      <c r="Z29" s="12">
        <f t="shared" si="28"/>
        <v>3.7336096878623611E-2</v>
      </c>
      <c r="AA29">
        <f t="shared" si="29"/>
        <v>7.0524109921353917</v>
      </c>
      <c r="AB29">
        <f t="shared" si="30"/>
        <v>0.25679711611274336</v>
      </c>
      <c r="AC29" s="12">
        <f t="shared" si="19"/>
        <v>3.6412670276748584E-2</v>
      </c>
      <c r="AD29">
        <f t="shared" si="31"/>
        <v>2.180346967687671</v>
      </c>
      <c r="AE29">
        <f t="shared" si="32"/>
        <v>8.750126161221064E-2</v>
      </c>
      <c r="AF29" s="12">
        <f t="shared" si="20"/>
        <v>4.0131806042323886E-2</v>
      </c>
      <c r="AG29">
        <f t="shared" si="33"/>
        <v>2.2791634183482281</v>
      </c>
      <c r="AH29">
        <f t="shared" si="34"/>
        <v>9.0175926665748266E-2</v>
      </c>
      <c r="AI29" s="12">
        <f t="shared" si="21"/>
        <v>3.9565362421928138E-2</v>
      </c>
      <c r="AL29" s="12"/>
    </row>
    <row r="30" spans="2:38" x14ac:dyDescent="0.25">
      <c r="B30" s="3" t="s">
        <v>13</v>
      </c>
      <c r="C30" s="4">
        <v>2.5381</v>
      </c>
      <c r="D30" s="3">
        <v>5.0625</v>
      </c>
      <c r="E30" s="3">
        <v>1.9946022615342185</v>
      </c>
      <c r="F30" s="10">
        <f t="shared" si="40"/>
        <v>1.7581981791480486E-4</v>
      </c>
      <c r="G30" s="11">
        <f t="shared" si="41"/>
        <v>8.8147808365346417E-5</v>
      </c>
      <c r="H30" s="38"/>
      <c r="I30" t="s">
        <v>13</v>
      </c>
      <c r="J30">
        <v>41442.22</v>
      </c>
      <c r="K30">
        <f t="shared" si="35"/>
        <v>32.18781601786614</v>
      </c>
      <c r="L30">
        <v>28846.860000000004</v>
      </c>
      <c r="M30">
        <f t="shared" si="36"/>
        <v>26.854636471194322</v>
      </c>
      <c r="N30">
        <v>56125.760000000002</v>
      </c>
      <c r="O30">
        <f t="shared" si="37"/>
        <v>37.458563773855502</v>
      </c>
      <c r="P30" s="9">
        <v>20032.04</v>
      </c>
      <c r="Q30">
        <f t="shared" si="38"/>
        <v>22.3785835119205</v>
      </c>
      <c r="R30" s="9">
        <v>20300.48</v>
      </c>
      <c r="S30">
        <f t="shared" si="39"/>
        <v>22.528026988620198</v>
      </c>
      <c r="T30" s="34"/>
      <c r="U30">
        <f t="shared" si="24"/>
        <v>0.86984762197072429</v>
      </c>
      <c r="V30">
        <f t="shared" si="25"/>
        <v>8.2263043315436019E-3</v>
      </c>
      <c r="W30" s="12">
        <f t="shared" si="17"/>
        <v>9.4571786181424627E-3</v>
      </c>
      <c r="X30">
        <f t="shared" si="26"/>
        <v>0.60940032514627274</v>
      </c>
      <c r="Y30">
        <f t="shared" si="27"/>
        <v>5.931073528859571E-3</v>
      </c>
      <c r="Z30" s="12">
        <f t="shared" si="28"/>
        <v>9.7326392588253895E-3</v>
      </c>
      <c r="AA30">
        <f t="shared" si="29"/>
        <v>1.1966546547153656</v>
      </c>
      <c r="AB30">
        <f t="shared" si="30"/>
        <v>9.4832600605617174E-3</v>
      </c>
      <c r="AC30" s="12">
        <f t="shared" si="19"/>
        <v>7.9248094036097581E-3</v>
      </c>
      <c r="AD30">
        <f t="shared" si="31"/>
        <v>0.43341082860497659</v>
      </c>
      <c r="AE30">
        <f t="shared" si="32"/>
        <v>7.1791384092559909E-3</v>
      </c>
      <c r="AF30" s="12">
        <f t="shared" si="20"/>
        <v>1.6564280205835072E-2</v>
      </c>
      <c r="AG30">
        <f t="shared" si="33"/>
        <v>0.42447386113061814</v>
      </c>
      <c r="AH30">
        <f t="shared" si="34"/>
        <v>6.5379585616522342E-3</v>
      </c>
      <c r="AI30" s="12">
        <f t="shared" si="21"/>
        <v>1.540249980113708E-2</v>
      </c>
      <c r="AL30" s="12"/>
    </row>
    <row r="31" spans="2:38" x14ac:dyDescent="0.25">
      <c r="B31" s="3" t="s">
        <v>14</v>
      </c>
      <c r="C31" s="4">
        <v>2.7002000000000002</v>
      </c>
      <c r="D31" s="3">
        <v>5.3585000000000003</v>
      </c>
      <c r="E31" s="3">
        <v>1.9844826309162285</v>
      </c>
      <c r="F31" s="10">
        <f t="shared" si="40"/>
        <v>1.6459518971101252E-4</v>
      </c>
      <c r="G31" s="11">
        <f t="shared" si="41"/>
        <v>8.2941108753881867E-5</v>
      </c>
      <c r="H31" s="38"/>
      <c r="I31" t="s">
        <v>14</v>
      </c>
      <c r="J31">
        <v>12548.72</v>
      </c>
      <c r="K31">
        <f t="shared" si="35"/>
        <v>17.712086268985932</v>
      </c>
      <c r="L31">
        <v>8530.9</v>
      </c>
      <c r="M31">
        <f t="shared" si="36"/>
        <v>14.603852231517545</v>
      </c>
      <c r="N31">
        <v>17173.419999999998</v>
      </c>
      <c r="O31">
        <f t="shared" si="37"/>
        <v>20.720412640678756</v>
      </c>
      <c r="P31" s="9">
        <v>5910.2199999999993</v>
      </c>
      <c r="Q31">
        <f t="shared" si="38"/>
        <v>12.155472018807002</v>
      </c>
      <c r="R31" s="9">
        <v>5999.0199999999995</v>
      </c>
      <c r="S31">
        <f t="shared" si="39"/>
        <v>12.246448464759078</v>
      </c>
      <c r="T31" s="34"/>
      <c r="U31">
        <f t="shared" si="24"/>
        <v>0.26205387897568538</v>
      </c>
      <c r="V31">
        <f t="shared" si="25"/>
        <v>2.4974480138751382E-3</v>
      </c>
      <c r="W31" s="12">
        <f t="shared" si="17"/>
        <v>9.5302844729379613E-3</v>
      </c>
      <c r="X31">
        <f t="shared" si="26"/>
        <v>0.17930400116031189</v>
      </c>
      <c r="Y31">
        <f t="shared" si="27"/>
        <v>1.7640019658859492E-3</v>
      </c>
      <c r="Z31" s="12">
        <f t="shared" si="28"/>
        <v>9.8380513232874962E-3</v>
      </c>
      <c r="AA31">
        <f t="shared" si="29"/>
        <v>0.36429598596404789</v>
      </c>
      <c r="AB31">
        <f t="shared" si="30"/>
        <v>2.9100847862962589E-3</v>
      </c>
      <c r="AC31" s="12">
        <f t="shared" si="19"/>
        <v>7.9882427982158801E-3</v>
      </c>
      <c r="AD31">
        <f t="shared" si="31"/>
        <v>0.12722405136596004</v>
      </c>
      <c r="AE31">
        <f t="shared" si="32"/>
        <v>2.1187921482094425E-3</v>
      </c>
      <c r="AF31" s="12">
        <f t="shared" si="20"/>
        <v>1.6654021982956162E-2</v>
      </c>
      <c r="AG31">
        <f t="shared" si="33"/>
        <v>0.12480039208959855</v>
      </c>
      <c r="AH31">
        <f t="shared" si="34"/>
        <v>1.9340918716113562E-3</v>
      </c>
      <c r="AI31" s="12">
        <f t="shared" si="21"/>
        <v>1.5497482333411295E-2</v>
      </c>
      <c r="AL31" s="12"/>
    </row>
    <row r="32" spans="2:38" x14ac:dyDescent="0.25">
      <c r="B32" s="3" t="s">
        <v>15</v>
      </c>
      <c r="C32" s="4">
        <v>2.6623999999999999</v>
      </c>
      <c r="D32" s="3">
        <v>5.5254000000000003</v>
      </c>
      <c r="E32" s="3">
        <v>2.0753455528846154</v>
      </c>
      <c r="F32" s="10">
        <f t="shared" si="40"/>
        <v>1.7305480235115642E-4</v>
      </c>
      <c r="G32" s="11">
        <f t="shared" si="41"/>
        <v>8.3386018347942026E-5</v>
      </c>
      <c r="H32" s="38"/>
      <c r="I32" t="s">
        <v>15</v>
      </c>
      <c r="J32">
        <v>4785.7199999999993</v>
      </c>
      <c r="K32">
        <f t="shared" si="35"/>
        <v>10.938144266739217</v>
      </c>
      <c r="L32">
        <v>3286.84</v>
      </c>
      <c r="M32">
        <f t="shared" si="36"/>
        <v>9.0648221162910865</v>
      </c>
      <c r="N32">
        <v>6630.56</v>
      </c>
      <c r="O32">
        <f t="shared" si="37"/>
        <v>12.874936893049224</v>
      </c>
      <c r="P32" s="9">
        <v>2274.6</v>
      </c>
      <c r="Q32">
        <f t="shared" si="38"/>
        <v>7.5408885418099105</v>
      </c>
      <c r="R32" s="9">
        <v>2393.0199999999995</v>
      </c>
      <c r="S32">
        <f t="shared" si="39"/>
        <v>7.7346945641052942</v>
      </c>
      <c r="T32" s="34"/>
      <c r="U32">
        <f t="shared" si="24"/>
        <v>0.10451570775182026</v>
      </c>
      <c r="V32">
        <f t="shared" si="25"/>
        <v>1.0136301443999167E-3</v>
      </c>
      <c r="W32" s="12">
        <f t="shared" si="17"/>
        <v>9.6983522018226319E-3</v>
      </c>
      <c r="X32">
        <f t="shared" si="26"/>
        <v>7.2246499594604413E-2</v>
      </c>
      <c r="Y32">
        <f t="shared" si="27"/>
        <v>7.2773025961476111E-4</v>
      </c>
      <c r="Z32" s="12">
        <f t="shared" si="28"/>
        <v>1.0072879152599253E-2</v>
      </c>
      <c r="AA32">
        <f t="shared" si="29"/>
        <v>0.14709263251061555</v>
      </c>
      <c r="AB32">
        <f t="shared" si="30"/>
        <v>1.1961333712783163E-3</v>
      </c>
      <c r="AC32" s="12">
        <f t="shared" si="19"/>
        <v>8.1318374065539444E-3</v>
      </c>
      <c r="AD32">
        <f t="shared" si="31"/>
        <v>5.1205159763418703E-2</v>
      </c>
      <c r="AE32">
        <f t="shared" si="32"/>
        <v>8.6310318926348904E-4</v>
      </c>
      <c r="AF32" s="12">
        <f t="shared" si="20"/>
        <v>1.6855785496056503E-2</v>
      </c>
      <c r="AG32">
        <f t="shared" si="33"/>
        <v>5.2062507928724071E-2</v>
      </c>
      <c r="AH32">
        <f t="shared" si="34"/>
        <v>8.1731792790432512E-4</v>
      </c>
      <c r="AI32" s="12">
        <f t="shared" si="21"/>
        <v>1.5698781338449357E-2</v>
      </c>
      <c r="AL32" s="12"/>
    </row>
    <row r="33" spans="1:38" x14ac:dyDescent="0.25">
      <c r="B33" s="3" t="s">
        <v>16</v>
      </c>
      <c r="C33" s="4">
        <v>2.5741999999999998</v>
      </c>
      <c r="D33" s="3">
        <v>5.1252000000000004</v>
      </c>
      <c r="E33" s="3">
        <v>1.9909874912594208</v>
      </c>
      <c r="F33" s="10">
        <f t="shared" si="40"/>
        <v>1.7310314585262601E-4</v>
      </c>
      <c r="G33" s="11">
        <f t="shared" si="41"/>
        <v>8.6943361830529498E-5</v>
      </c>
      <c r="H33" s="38"/>
      <c r="I33" t="s">
        <v>16</v>
      </c>
      <c r="J33">
        <v>6358.4</v>
      </c>
      <c r="K33">
        <f t="shared" si="35"/>
        <v>12.607934009979589</v>
      </c>
      <c r="L33">
        <v>4519.9999999999991</v>
      </c>
      <c r="M33">
        <f t="shared" si="36"/>
        <v>10.630145812734648</v>
      </c>
      <c r="N33">
        <v>6165.5199999999995</v>
      </c>
      <c r="O33">
        <f t="shared" si="37"/>
        <v>12.415232579376029</v>
      </c>
      <c r="P33" s="9">
        <v>2977.96</v>
      </c>
      <c r="Q33">
        <f t="shared" si="38"/>
        <v>8.6283833943560939</v>
      </c>
      <c r="R33" s="9">
        <v>3278.84</v>
      </c>
      <c r="S33">
        <f t="shared" si="39"/>
        <v>9.0537837394097291</v>
      </c>
      <c r="T33" s="34"/>
      <c r="U33">
        <f t="shared" si="24"/>
        <v>0.13321718072169905</v>
      </c>
      <c r="V33">
        <f t="shared" si="25"/>
        <v>1.2830866806275035E-3</v>
      </c>
      <c r="W33" s="12">
        <f t="shared" si="17"/>
        <v>9.6315405691400294E-3</v>
      </c>
      <c r="X33">
        <f t="shared" si="26"/>
        <v>9.5313582617261278E-2</v>
      </c>
      <c r="Y33">
        <f t="shared" si="27"/>
        <v>9.5021659035164174E-4</v>
      </c>
      <c r="Z33" s="12">
        <f t="shared" si="28"/>
        <v>9.9693722999302896E-3</v>
      </c>
      <c r="AA33">
        <f t="shared" si="29"/>
        <v>0.13121652581517546</v>
      </c>
      <c r="AB33">
        <f t="shared" si="30"/>
        <v>1.0693283282142926E-3</v>
      </c>
      <c r="AC33" s="12">
        <f t="shared" si="19"/>
        <v>8.1493418726882854E-3</v>
      </c>
      <c r="AD33">
        <f t="shared" si="31"/>
        <v>6.4314021051344691E-2</v>
      </c>
      <c r="AE33">
        <f t="shared" si="32"/>
        <v>1.0791006860683032E-3</v>
      </c>
      <c r="AF33" s="12">
        <f t="shared" si="20"/>
        <v>1.677862258381901E-2</v>
      </c>
      <c r="AG33">
        <f t="shared" si="33"/>
        <v>6.8434814428766949E-2</v>
      </c>
      <c r="AH33">
        <f t="shared" si="34"/>
        <v>1.0681750315537561E-3</v>
      </c>
      <c r="AI33" s="12">
        <f t="shared" si="21"/>
        <v>1.560864949324306E-2</v>
      </c>
      <c r="AL33" s="12"/>
    </row>
    <row r="34" spans="1:38" x14ac:dyDescent="0.25">
      <c r="B34" s="3" t="s">
        <v>17</v>
      </c>
      <c r="C34" s="4">
        <v>2.5093000000000001</v>
      </c>
      <c r="D34" s="3">
        <v>5.0574000000000003</v>
      </c>
      <c r="E34" s="3">
        <v>2.0154624795759775</v>
      </c>
      <c r="F34" s="10">
        <f t="shared" si="40"/>
        <v>1.7932560206231394E-4</v>
      </c>
      <c r="G34" s="11">
        <f t="shared" si="41"/>
        <v>8.8974914631028662E-5</v>
      </c>
      <c r="H34" s="38"/>
      <c r="I34" t="s">
        <v>17</v>
      </c>
      <c r="J34">
        <v>8137.06</v>
      </c>
      <c r="K34">
        <f t="shared" si="35"/>
        <v>14.262766211363068</v>
      </c>
      <c r="L34">
        <v>5724.5199999999995</v>
      </c>
      <c r="M34">
        <f t="shared" si="36"/>
        <v>11.962984577437187</v>
      </c>
      <c r="N34">
        <v>8956.8199999999979</v>
      </c>
      <c r="O34">
        <f t="shared" si="37"/>
        <v>14.963973402809827</v>
      </c>
      <c r="P34" s="9">
        <v>3823.78</v>
      </c>
      <c r="Q34">
        <f t="shared" si="38"/>
        <v>9.777243987954888</v>
      </c>
      <c r="R34" s="9">
        <v>4195.88</v>
      </c>
      <c r="S34">
        <f t="shared" si="39"/>
        <v>10.241923647440455</v>
      </c>
      <c r="T34" s="34"/>
      <c r="U34">
        <f t="shared" si="24"/>
        <v>0.17257826457627676</v>
      </c>
      <c r="V34">
        <f t="shared" si="25"/>
        <v>1.6544800834021247E-3</v>
      </c>
      <c r="W34" s="12">
        <f t="shared" si="17"/>
        <v>9.5868392666034231E-3</v>
      </c>
      <c r="X34">
        <f t="shared" si="26"/>
        <v>0.12219730343460913</v>
      </c>
      <c r="Y34">
        <f t="shared" si="27"/>
        <v>1.2110791364320754E-3</v>
      </c>
      <c r="Z34" s="12">
        <f t="shared" si="28"/>
        <v>9.9108499319721446E-3</v>
      </c>
      <c r="AA34">
        <f t="shared" si="29"/>
        <v>0.19296513900539647</v>
      </c>
      <c r="AB34">
        <f t="shared" si="30"/>
        <v>1.5575106993771671E-3</v>
      </c>
      <c r="AC34" s="12">
        <f t="shared" si="19"/>
        <v>8.0714615469150083E-3</v>
      </c>
      <c r="AD34">
        <f t="shared" si="31"/>
        <v>8.3596074990756414E-2</v>
      </c>
      <c r="AE34">
        <f t="shared" si="32"/>
        <v>1.3979942295516002E-3</v>
      </c>
      <c r="AF34" s="12">
        <f t="shared" si="20"/>
        <v>1.6723204166059023E-2</v>
      </c>
      <c r="AG34">
        <f t="shared" si="33"/>
        <v>8.8651505351170098E-2</v>
      </c>
      <c r="AH34">
        <f t="shared" si="34"/>
        <v>1.3789908339918175E-3</v>
      </c>
      <c r="AI34" s="12">
        <f t="shared" si="21"/>
        <v>1.5555188019981169E-2</v>
      </c>
      <c r="AL34" s="12"/>
    </row>
    <row r="35" spans="1:38" x14ac:dyDescent="0.25">
      <c r="B35" s="3" t="s">
        <v>18</v>
      </c>
      <c r="C35" s="4">
        <v>2.4788999999999999</v>
      </c>
      <c r="D35" s="3">
        <v>5.0540000000000003</v>
      </c>
      <c r="E35" s="3">
        <v>2.0388075356004682</v>
      </c>
      <c r="F35" s="10">
        <f t="shared" si="40"/>
        <v>1.8321391048842223E-4</v>
      </c>
      <c r="G35" s="11">
        <f t="shared" si="41"/>
        <v>8.9863269234220384E-5</v>
      </c>
      <c r="H35" s="38"/>
      <c r="I35" t="s">
        <v>18</v>
      </c>
      <c r="J35">
        <v>39020.079999999994</v>
      </c>
      <c r="K35">
        <f t="shared" si="35"/>
        <v>31.233027390888637</v>
      </c>
      <c r="L35">
        <v>27154.28</v>
      </c>
      <c r="M35">
        <f t="shared" si="36"/>
        <v>26.05488437894131</v>
      </c>
      <c r="N35">
        <v>52096.380000000005</v>
      </c>
      <c r="O35">
        <f t="shared" si="37"/>
        <v>36.088911039265234</v>
      </c>
      <c r="P35" s="9">
        <v>18406.36</v>
      </c>
      <c r="Q35">
        <f t="shared" si="38"/>
        <v>21.451316975887519</v>
      </c>
      <c r="R35" s="9">
        <v>18581.82</v>
      </c>
      <c r="S35">
        <f t="shared" si="39"/>
        <v>21.553317610057157</v>
      </c>
      <c r="T35" s="33"/>
      <c r="U35">
        <f t="shared" si="24"/>
        <v>0.83715957159585341</v>
      </c>
      <c r="V35">
        <f t="shared" si="25"/>
        <v>7.9188383301808801E-3</v>
      </c>
      <c r="W35" s="12">
        <f t="shared" si="17"/>
        <v>9.4591743305107584E-3</v>
      </c>
      <c r="X35">
        <f t="shared" si="26"/>
        <v>0.58635731794422574</v>
      </c>
      <c r="Y35">
        <f t="shared" si="27"/>
        <v>5.7084404658612102E-3</v>
      </c>
      <c r="Z35" s="12">
        <f t="shared" si="28"/>
        <v>9.7354297305865586E-3</v>
      </c>
      <c r="AA35">
        <f t="shared" si="29"/>
        <v>1.1353612543986267</v>
      </c>
      <c r="AB35">
        <f t="shared" si="30"/>
        <v>9.0000109538050221E-3</v>
      </c>
      <c r="AC35" s="12">
        <f t="shared" si="19"/>
        <v>7.927002017143971E-3</v>
      </c>
      <c r="AD35">
        <f t="shared" si="31"/>
        <v>0.40706373577507232</v>
      </c>
      <c r="AE35">
        <f t="shared" si="32"/>
        <v>6.744075780524981E-3</v>
      </c>
      <c r="AF35" s="12">
        <f t="shared" si="20"/>
        <v>1.6567616291546777E-2</v>
      </c>
      <c r="AG35">
        <f t="shared" si="33"/>
        <v>0.3971483995530497</v>
      </c>
      <c r="AH35">
        <f t="shared" si="34"/>
        <v>6.1185503815212785E-3</v>
      </c>
      <c r="AI35" s="12">
        <f t="shared" si="21"/>
        <v>1.5406206819433459E-2</v>
      </c>
    </row>
    <row r="36" spans="1:38" s="14" customFormat="1" ht="30" x14ac:dyDescent="0.25">
      <c r="H36" s="39" t="s">
        <v>65</v>
      </c>
      <c r="I36" s="15" t="s">
        <v>67</v>
      </c>
      <c r="J36" s="17">
        <v>1.02816889225561E-5</v>
      </c>
      <c r="K36" s="17">
        <v>7.7912978276627796E-8</v>
      </c>
      <c r="L36" s="17">
        <v>1.0343321041454799E-5</v>
      </c>
      <c r="M36" s="17">
        <v>8.0948492664080795E-8</v>
      </c>
      <c r="N36" s="17">
        <v>1.0529303344741201E-5</v>
      </c>
      <c r="O36" s="17">
        <v>7.8097983474536398E-8</v>
      </c>
      <c r="P36" s="14">
        <v>1.0171599999999999E-5</v>
      </c>
      <c r="Q36" s="17">
        <v>1.6128E-7</v>
      </c>
      <c r="R36" s="14">
        <v>1.0089998282788024E-5</v>
      </c>
      <c r="S36" s="14">
        <v>1.2253E-7</v>
      </c>
      <c r="T36" s="35"/>
    </row>
    <row r="37" spans="1:38" s="14" customFormat="1" ht="30.75" thickBot="1" x14ac:dyDescent="0.3">
      <c r="A37" s="30"/>
      <c r="B37" s="30"/>
      <c r="C37" s="30"/>
      <c r="D37" s="30"/>
      <c r="E37" s="30"/>
      <c r="F37" s="30"/>
      <c r="G37" s="30"/>
      <c r="H37" s="43" t="s">
        <v>66</v>
      </c>
      <c r="I37" s="31" t="s">
        <v>67</v>
      </c>
      <c r="J37" s="30"/>
      <c r="K37" s="30"/>
      <c r="L37" s="30"/>
      <c r="M37" s="30"/>
      <c r="N37" s="30"/>
      <c r="O37" s="30"/>
      <c r="P37" s="30">
        <v>1.0467893568344795E-5</v>
      </c>
      <c r="Q37" s="30">
        <v>9.2525530951212805E-8</v>
      </c>
      <c r="R37" s="30">
        <v>1.0484077946722881E-5</v>
      </c>
      <c r="S37" s="30">
        <v>1.08807818824336E-7</v>
      </c>
      <c r="T37" s="37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spans="1:38" ht="30.75" thickTop="1" x14ac:dyDescent="0.25">
      <c r="A38" s="44" t="s">
        <v>63</v>
      </c>
      <c r="B38">
        <f>1/8</f>
        <v>0.125</v>
      </c>
      <c r="I38" t="s">
        <v>68</v>
      </c>
    </row>
    <row r="39" spans="1:38" ht="30" x14ac:dyDescent="0.25">
      <c r="A39" s="44" t="s">
        <v>64</v>
      </c>
      <c r="B39">
        <v>0.5</v>
      </c>
      <c r="I39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D1" workbookViewId="0">
      <pane ySplit="1" topLeftCell="A2" activePane="bottomLeft" state="frozen"/>
      <selection pane="bottomLeft" activeCell="O19" sqref="O19"/>
    </sheetView>
  </sheetViews>
  <sheetFormatPr defaultRowHeight="15" x14ac:dyDescent="0.25"/>
  <cols>
    <col min="1" max="1" width="17" bestFit="1" customWidth="1"/>
  </cols>
  <sheetData>
    <row r="1" spans="1:26" x14ac:dyDescent="0.25">
      <c r="A1" t="str">
        <f>Nd_Calculations!B5</f>
        <v>Sample ID</v>
      </c>
      <c r="B1" t="str">
        <f>Nd_Calculations!U5</f>
        <v>Nd 143</v>
      </c>
      <c r="C1" t="str">
        <f>Nd_Calculations!V5</f>
        <v>±</v>
      </c>
      <c r="D1" t="str">
        <f>Nd_Calculations!W5</f>
        <v>%</v>
      </c>
      <c r="E1" s="13" t="str">
        <f>Nd_Calculations!X5</f>
        <v>Nd145</v>
      </c>
      <c r="F1" t="str">
        <f>Nd_Calculations!Y5</f>
        <v>±</v>
      </c>
      <c r="G1" s="12" t="str">
        <f>Nd_Calculations!Z5</f>
        <v>%</v>
      </c>
      <c r="H1" s="13" t="str">
        <f>Nd_Calculations!AA5</f>
        <v>Nd146</v>
      </c>
      <c r="I1" t="str">
        <f>Nd_Calculations!AB5</f>
        <v>±</v>
      </c>
      <c r="J1" t="str">
        <f>Nd_Calculations!AC5</f>
        <v>%</v>
      </c>
      <c r="K1" s="13" t="str">
        <f>Nd_Calculations!AD5</f>
        <v>Nd148</v>
      </c>
      <c r="L1" t="str">
        <f>Nd_Calculations!AE5</f>
        <v>±</v>
      </c>
      <c r="M1" t="str">
        <f>Nd_Calculations!AF5</f>
        <v>%</v>
      </c>
      <c r="N1" s="13" t="str">
        <f>Nd_Calculations!AG5</f>
        <v>Nd150</v>
      </c>
      <c r="O1" t="str">
        <f>Nd_Calculations!AH5</f>
        <v>±</v>
      </c>
      <c r="P1" s="56" t="str">
        <f>Nd_Calculations!AI5</f>
        <v>%</v>
      </c>
      <c r="R1" t="s">
        <v>71</v>
      </c>
      <c r="S1" t="s">
        <v>71</v>
      </c>
      <c r="T1" t="s">
        <v>71</v>
      </c>
      <c r="U1" t="s">
        <v>71</v>
      </c>
      <c r="V1" t="s">
        <v>71</v>
      </c>
      <c r="X1" t="s">
        <v>72</v>
      </c>
      <c r="Y1" t="s">
        <v>33</v>
      </c>
      <c r="Z1" t="s">
        <v>36</v>
      </c>
    </row>
    <row r="2" spans="1:26" s="68" customFormat="1" x14ac:dyDescent="0.25">
      <c r="A2" s="68" t="str">
        <f>Nd_Calculations!B6</f>
        <v>87G Trace</v>
      </c>
      <c r="B2" s="68">
        <f>IF(Nd_Calculations!U6&gt;SUM($B$30:$D$30),Nd_Calculations!U6-SUM($B$30:$D$30),"LLD")</f>
        <v>41.767941672302719</v>
      </c>
      <c r="C2" s="68">
        <f>IF(Nd_Calculations!U6&gt;SUM($B$30:$D$30),(Nd_Calculations!V6^2+$B$31^2+$C$31^2+$D$31^2)^0.5,"LLD")</f>
        <v>0.8180120599548224</v>
      </c>
      <c r="D2" s="69">
        <f>IF(Nd_Calculations!U6&gt;SUM($B$30:$D$30),C2/B2,"LLD")</f>
        <v>1.9584686896296472E-2</v>
      </c>
      <c r="E2" s="70">
        <f>IF(Nd_Calculations!X6&gt;SUM($E$30:$G$30),Nd_Calculations!X6-SUM($E$30:$G$30),"LLD")</f>
        <v>29.058252964431478</v>
      </c>
      <c r="F2" s="68">
        <f>IF(Nd_Calculations!X6&gt;SUM($E$30:$G$30),(Nd_Calculations!Y6^2+$E$31^2+$F$31^2+$G$31^2)^0.5,"LLD")</f>
        <v>0.57274229606304772</v>
      </c>
      <c r="G2" s="69">
        <f>IF(Nd_Calculations!X6&gt;SUM($E$30:$G$30),F2/E2,"LLD")</f>
        <v>1.971014213291172E-2</v>
      </c>
      <c r="H2" s="70">
        <f>IF(Nd_Calculations!AA6&gt;SUM($H$30:$J$30),Nd_Calculations!AA6-SUM($H$30:$J$30),"LLD")</f>
        <v>26.971847597941668</v>
      </c>
      <c r="I2" s="68">
        <f>IF(Nd_Calculations!AA6&gt;SUM($H$30:$J$30),(Nd_Calculations!AB6^2+$H$31^2+$I$31^2+$J$31^2)^0.5,"LLD")</f>
        <v>0.67337609697030332</v>
      </c>
      <c r="J2" s="69">
        <f>IF(Nd_Calculations!AA6&gt;SUM($H$30:$J$30),I2/H2,"LLD")</f>
        <v>2.4965886913200987E-2</v>
      </c>
      <c r="K2" s="70">
        <f>IF(Nd_Calculations!AD6&gt;SUM($K$30:$M$30),Nd_Calculations!AD6-SUM($K$30:$M$30),"LLD")</f>
        <v>18.143121833818718</v>
      </c>
      <c r="L2" s="68">
        <f>IF(Nd_Calculations!AD6&gt;SUM($K$30:$M$30),(Nd_Calculations!AE6^2+$K$31^2+$L$31^2+$M$31^2)^0.5,"LLD")</f>
        <v>0.44120412483089855</v>
      </c>
      <c r="M2" s="69">
        <f>IF(Nd_Calculations!AD6&gt;SUM($K$30:$M$30),L2/K2,"LLD")</f>
        <v>2.4317982807594642E-2</v>
      </c>
      <c r="N2" s="70">
        <f>IF(Nd_Calculations!AG6&gt;SUM($N$30:$P$30),Nd_Calculations!AG6-SUM($N$30:$P$30),"LLD")</f>
        <v>17.601487041086802</v>
      </c>
      <c r="O2" s="68">
        <f>IF(Nd_Calculations!AG6&gt;SUM($N$30:$P$30),(Nd_Calculations!AH6^2+$N$31^2+$O$31^2+$P$31^2)^0.5,"LLD")</f>
        <v>0.41560842098333312</v>
      </c>
      <c r="P2" s="71">
        <f>IF(Nd_Calculations!AG6&gt;SUM($N$30:$P$30),O2/N2,"LLD")</f>
        <v>2.3612119817671463E-2</v>
      </c>
      <c r="R2" s="68">
        <f>IF(C2="LLD","LLD",C2^2)</f>
        <v>0.66914373023153195</v>
      </c>
      <c r="S2" s="68">
        <f>IF(F2="LLD","LLD",F2^2)</f>
        <v>0.32803373769957178</v>
      </c>
      <c r="T2" s="68">
        <f>IF(I2="LLD","LLD",I2^2)</f>
        <v>0.45343536797095935</v>
      </c>
      <c r="U2" s="68">
        <f>IF(L2="LLD","LLD",L2^2)</f>
        <v>0.19466107976779912</v>
      </c>
      <c r="V2" s="68">
        <f>IF(O2="LLD","LLD",O2^2)</f>
        <v>0.17273035959225944</v>
      </c>
      <c r="X2" s="68">
        <f>IF(SUM(B2,E2,H2,K2,N2)=0,"LLD",SUM(B2,E2,H2,K2,N2))</f>
        <v>133.54265110958141</v>
      </c>
      <c r="Y2" s="68">
        <f>IF(X2="LLD","LLD",SUM(R2:V2)^0.5)</f>
        <v>1.3483338886426171</v>
      </c>
      <c r="Z2" s="69">
        <f>IF(X2="LLD","LLD",Y2/X2)</f>
        <v>1.0096653596731515E-2</v>
      </c>
    </row>
    <row r="3" spans="1:26" s="72" customFormat="1" x14ac:dyDescent="0.25">
      <c r="A3" s="72" t="str">
        <f>Nd_Calculations!B7</f>
        <v>90G Trace</v>
      </c>
      <c r="B3" s="72">
        <f>IF(Nd_Calculations!U7&gt;SUM($B$30:$D$30),Nd_Calculations!U7-SUM($B$30:$D$30),"LLD")</f>
        <v>0.49696384006272409</v>
      </c>
      <c r="C3" s="72">
        <f>IF(Nd_Calculations!U7&gt;SUM($B$30:$D$30),(Nd_Calculations!V7^2+$B$31^2+$C$31^2+$D$31^2)^0.5,"LLD")</f>
        <v>0.33813905602317285</v>
      </c>
      <c r="D3" s="73">
        <f>IF(Nd_Calculations!U7&gt;SUM($B$30:$D$30),C3/B3,"LLD")</f>
        <v>0.68040977786330437</v>
      </c>
      <c r="E3" s="74">
        <f>IF(Nd_Calculations!X7&gt;SUM($E$30:$G$30),Nd_Calculations!X7-SUM($E$30:$G$30),"LLD")</f>
        <v>0.35977593510415495</v>
      </c>
      <c r="F3" s="72">
        <f>IF(Nd_Calculations!X7&gt;SUM($E$30:$G$30),(Nd_Calculations!Y7^2+$E$31^2+$F$31^2+$G$31^2)^0.5,"LLD")</f>
        <v>0.23311704629802443</v>
      </c>
      <c r="G3" s="73">
        <f>IF(Nd_Calculations!X7&gt;SUM($E$30:$G$30),F3/E3,"LLD")</f>
        <v>0.64795063691666077</v>
      </c>
      <c r="H3" s="74">
        <f>IF(Nd_Calculations!AA7&gt;SUM($H$30:$J$30),Nd_Calculations!AA7-SUM($H$30:$J$30),"LLD")</f>
        <v>0.13943429393212187</v>
      </c>
      <c r="I3" s="72">
        <f>IF(Nd_Calculations!AA7&gt;SUM($H$30:$J$30),(Nd_Calculations!AB7^2+$H$31^2+$I$31^2+$J$31^2)^0.5,"LLD")</f>
        <v>0.48704439066537619</v>
      </c>
      <c r="J3" s="73">
        <f>IF(Nd_Calculations!AA7&gt;SUM($H$30:$J$30),I3/H3,"LLD")</f>
        <v>3.4930028827949222</v>
      </c>
      <c r="K3" s="74">
        <f>IF(Nd_Calculations!AD7&gt;SUM($K$30:$M$30),Nd_Calculations!AD7-SUM($K$30:$M$30),"LLD")</f>
        <v>0.22300395742118648</v>
      </c>
      <c r="L3" s="72">
        <f>IF(Nd_Calculations!AD7&gt;SUM($K$30:$M$30),(Nd_Calculations!AE7^2+$K$31^2+$L$31^2+$M$31^2)^0.5,"LLD")</f>
        <v>0.1646708689182361</v>
      </c>
      <c r="M3" s="73">
        <f>IF(Nd_Calculations!AD7&gt;SUM($K$30:$M$30),L3/K3,"LLD")</f>
        <v>0.73842128553451203</v>
      </c>
      <c r="N3" s="74">
        <f>IF(Nd_Calculations!AG7&gt;SUM($N$30:$P$30),Nd_Calculations!AG7-SUM($N$30:$P$30),"LLD")</f>
        <v>0.24753446673847884</v>
      </c>
      <c r="O3" s="72">
        <f>IF(Nd_Calculations!AG7&gt;SUM($N$30:$P$30),(Nd_Calculations!AH7^2+$N$31^2+$O$31^2+$P$31^2)^0.5,"LLD")</f>
        <v>0.16340515779615702</v>
      </c>
      <c r="P3" s="75">
        <f>IF(Nd_Calculations!AG7&gt;SUM($N$30:$P$30),O3/N3,"LLD")</f>
        <v>0.66013093024655523</v>
      </c>
      <c r="R3" s="72">
        <f t="shared" ref="R3:R29" si="0">IF(C3="LLD","LLD",C3^2)</f>
        <v>0.11433802120824242</v>
      </c>
      <c r="S3" s="72">
        <f t="shared" ref="S3:S29" si="1">IF(F3="LLD","LLD",F3^2)</f>
        <v>5.4343557274715265E-2</v>
      </c>
      <c r="T3" s="72">
        <f t="shared" ref="T3:T29" si="2">IF(I3="LLD","LLD",I3^2)</f>
        <v>0.23721223847860759</v>
      </c>
      <c r="U3" s="72">
        <f t="shared" ref="U3:U29" si="3">IF(L3="LLD","LLD",L3^2)</f>
        <v>2.7116495070286895E-2</v>
      </c>
      <c r="V3" s="72">
        <f t="shared" ref="V3:V29" si="4">IF(O3="LLD","LLD",O3^2)</f>
        <v>2.6701245594386976E-2</v>
      </c>
      <c r="X3" s="72">
        <f t="shared" ref="X3:X29" si="5">IF(SUM(B3,E3,H3,K3,N3)=0,"LLD",SUM(B3,E3,H3,K3,N3))</f>
        <v>1.4667124932586662</v>
      </c>
      <c r="Y3" s="72">
        <f t="shared" ref="Y3:Y29" si="6">IF(X3="LLD","LLD",SUM(R3:V3)^0.5)</f>
        <v>0.67802032242864163</v>
      </c>
      <c r="Z3" s="73">
        <f t="shared" ref="Z3:Z29" si="7">IF(X3="LLD","LLD",Y3/X3)</f>
        <v>0.46227213959448255</v>
      </c>
    </row>
    <row r="4" spans="1:26" x14ac:dyDescent="0.25">
      <c r="A4" t="str">
        <f>Nd_Calculations!B8</f>
        <v>93G Trace</v>
      </c>
      <c r="B4" t="str">
        <f>IF(Nd_Calculations!U8&gt;SUM($B$30:$D$30),Nd_Calculations!U8-SUM($B$30:$D$30),"LLD")</f>
        <v>LLD</v>
      </c>
      <c r="C4" t="str">
        <f>IF(Nd_Calculations!U8&gt;SUM($B$30:$D$30),(Nd_Calculations!V8^2+$B$31^2+$C$31^2+$D$31^2)^0.5,"LLD")</f>
        <v>LLD</v>
      </c>
      <c r="D4" s="12" t="str">
        <f>IF(Nd_Calculations!U8&gt;SUM($B$30:$D$30),C4/B4,"LLD")</f>
        <v>LLD</v>
      </c>
      <c r="E4" s="13" t="str">
        <f>IF(Nd_Calculations!X8&gt;SUM($E$30:$G$30),Nd_Calculations!X8-SUM($E$30:$G$30),"LLD")</f>
        <v>LLD</v>
      </c>
      <c r="F4" t="str">
        <f>IF(Nd_Calculations!X8&gt;SUM($E$30:$G$30),(Nd_Calculations!Y8^2+$E$31^2+$F$31^2+$G$31^2)^0.5,"LLD")</f>
        <v>LLD</v>
      </c>
      <c r="G4" s="12" t="str">
        <f>IF(Nd_Calculations!X8&gt;SUM($E$30:$G$30),F4/E4,"LLD")</f>
        <v>LLD</v>
      </c>
      <c r="H4" s="13" t="str">
        <f>IF(Nd_Calculations!AA8&gt;SUM($H$30:$J$30),Nd_Calculations!AA8-SUM($H$30:$J$30),"LLD")</f>
        <v>LLD</v>
      </c>
      <c r="I4" t="str">
        <f>IF(Nd_Calculations!AA8&gt;SUM($H$30:$J$30),(Nd_Calculations!AB8^2+$H$31^2+$I$31^2+$J$31^2)^0.5,"LLD")</f>
        <v>LLD</v>
      </c>
      <c r="J4" s="12" t="str">
        <f>IF(Nd_Calculations!AA8&gt;SUM($H$30:$J$30),I4/H4,"LLD")</f>
        <v>LLD</v>
      </c>
      <c r="K4" s="13" t="str">
        <f>IF(Nd_Calculations!AD8&gt;SUM($K$30:$M$30),Nd_Calculations!AD8-SUM($K$30:$M$30),"LLD")</f>
        <v>LLD</v>
      </c>
      <c r="L4" t="str">
        <f>IF(Nd_Calculations!AD8&gt;SUM($K$30:$M$30),(Nd_Calculations!AE8^2+$K$31^2+$L$31^2+$M$31^2)^0.5,"LLD")</f>
        <v>LLD</v>
      </c>
      <c r="M4" s="12" t="str">
        <f>IF(Nd_Calculations!AD8&gt;SUM($K$30:$M$30),L4/K4,"LLD")</f>
        <v>LLD</v>
      </c>
      <c r="N4" s="13" t="str">
        <f>IF(Nd_Calculations!AG8&gt;SUM($N$30:$P$30),Nd_Calculations!AG8-SUM($N$30:$P$30),"LLD")</f>
        <v>LLD</v>
      </c>
      <c r="O4" t="str">
        <f>IF(Nd_Calculations!AG8&gt;SUM($N$30:$P$30),(Nd_Calculations!AH8^2+$N$31^2+$O$31^2+$P$31^2)^0.5,"LLD")</f>
        <v>LLD</v>
      </c>
      <c r="P4" s="57" t="str">
        <f>IF(Nd_Calculations!AG8&gt;SUM($N$30:$P$30),O4/N4,"LLD")</f>
        <v>LLD</v>
      </c>
      <c r="R4" t="str">
        <f t="shared" si="0"/>
        <v>LLD</v>
      </c>
      <c r="S4" t="str">
        <f t="shared" si="1"/>
        <v>LLD</v>
      </c>
      <c r="T4" t="str">
        <f t="shared" si="2"/>
        <v>LLD</v>
      </c>
      <c r="U4" t="str">
        <f t="shared" si="3"/>
        <v>LLD</v>
      </c>
      <c r="V4" t="str">
        <f t="shared" si="4"/>
        <v>LLD</v>
      </c>
      <c r="X4" t="str">
        <f t="shared" si="5"/>
        <v>LLD</v>
      </c>
      <c r="Y4" t="str">
        <f t="shared" si="6"/>
        <v>LLD</v>
      </c>
      <c r="Z4" s="12" t="str">
        <f t="shared" si="7"/>
        <v>LLD</v>
      </c>
    </row>
    <row r="5" spans="1:26" x14ac:dyDescent="0.25">
      <c r="A5" t="str">
        <f>Nd_Calculations!B9</f>
        <v>96G Trace</v>
      </c>
      <c r="B5" t="str">
        <f>IF(Nd_Calculations!U9&gt;SUM($B$30:$D$30),Nd_Calculations!U9-SUM($B$30:$D$30),"LLD")</f>
        <v>LLD</v>
      </c>
      <c r="C5" t="str">
        <f>IF(Nd_Calculations!U9&gt;SUM($B$30:$D$30),(Nd_Calculations!V9^2+$B$31^2+$C$31^2+$D$31^2)^0.5,"LLD")</f>
        <v>LLD</v>
      </c>
      <c r="D5" s="12" t="str">
        <f>IF(Nd_Calculations!U9&gt;SUM($B$30:$D$30),C5/B5,"LLD")</f>
        <v>LLD</v>
      </c>
      <c r="E5" s="13" t="str">
        <f>IF(Nd_Calculations!X9&gt;SUM($E$30:$G$30),Nd_Calculations!X9-SUM($E$30:$G$30),"LLD")</f>
        <v>LLD</v>
      </c>
      <c r="F5" t="str">
        <f>IF(Nd_Calculations!X9&gt;SUM($E$30:$G$30),(Nd_Calculations!Y9^2+$E$31^2+$F$31^2+$G$31^2)^0.5,"LLD")</f>
        <v>LLD</v>
      </c>
      <c r="G5" s="12" t="str">
        <f>IF(Nd_Calculations!X9&gt;SUM($E$30:$G$30),F5/E5,"LLD")</f>
        <v>LLD</v>
      </c>
      <c r="H5" s="13" t="str">
        <f>IF(Nd_Calculations!AA9&gt;SUM($H$30:$J$30),Nd_Calculations!AA9-SUM($H$30:$J$30),"LLD")</f>
        <v>LLD</v>
      </c>
      <c r="I5" t="str">
        <f>IF(Nd_Calculations!AA9&gt;SUM($H$30:$J$30),(Nd_Calculations!AB9^2+$H$31^2+$I$31^2+$J$31^2)^0.5,"LLD")</f>
        <v>LLD</v>
      </c>
      <c r="J5" s="12" t="str">
        <f>IF(Nd_Calculations!AA9&gt;SUM($H$30:$J$30),I5/H5,"LLD")</f>
        <v>LLD</v>
      </c>
      <c r="K5" s="13" t="str">
        <f>IF(Nd_Calculations!AD9&gt;SUM($K$30:$M$30),Nd_Calculations!AD9-SUM($K$30:$M$30),"LLD")</f>
        <v>LLD</v>
      </c>
      <c r="L5" t="str">
        <f>IF(Nd_Calculations!AD9&gt;SUM($K$30:$M$30),(Nd_Calculations!AE9^2+$K$31^2+$L$31^2+$M$31^2)^0.5,"LLD")</f>
        <v>LLD</v>
      </c>
      <c r="M5" s="12" t="str">
        <f>IF(Nd_Calculations!AD9&gt;SUM($K$30:$M$30),L5/K5,"LLD")</f>
        <v>LLD</v>
      </c>
      <c r="N5" s="13" t="str">
        <f>IF(Nd_Calculations!AG9&gt;SUM($N$30:$P$30),Nd_Calculations!AG9-SUM($N$30:$P$30),"LLD")</f>
        <v>LLD</v>
      </c>
      <c r="O5" t="str">
        <f>IF(Nd_Calculations!AG9&gt;SUM($N$30:$P$30),(Nd_Calculations!AH9^2+$N$31^2+$O$31^2+$P$31^2)^0.5,"LLD")</f>
        <v>LLD</v>
      </c>
      <c r="P5" s="57" t="str">
        <f>IF(Nd_Calculations!AG9&gt;SUM($N$30:$P$30),O5/N5,"LLD")</f>
        <v>LLD</v>
      </c>
      <c r="R5" t="str">
        <f t="shared" si="0"/>
        <v>LLD</v>
      </c>
      <c r="S5" t="str">
        <f t="shared" si="1"/>
        <v>LLD</v>
      </c>
      <c r="T5" t="str">
        <f t="shared" si="2"/>
        <v>LLD</v>
      </c>
      <c r="U5" t="str">
        <f t="shared" si="3"/>
        <v>LLD</v>
      </c>
      <c r="V5" t="str">
        <f t="shared" si="4"/>
        <v>LLD</v>
      </c>
      <c r="X5" t="str">
        <f t="shared" si="5"/>
        <v>LLD</v>
      </c>
      <c r="Y5" t="str">
        <f t="shared" si="6"/>
        <v>LLD</v>
      </c>
      <c r="Z5" s="12" t="str">
        <f t="shared" si="7"/>
        <v>LLD</v>
      </c>
    </row>
    <row r="6" spans="1:26" s="64" customFormat="1" x14ac:dyDescent="0.25">
      <c r="A6" s="64" t="str">
        <f>Nd_Calculations!B10</f>
        <v>30G Trace Waste</v>
      </c>
      <c r="B6" s="64">
        <f>IF(Nd_Calculations!U10&gt;SUM($B$30:$D$30),Nd_Calculations!U10-SUM($B$30:$D$30),"LLD")</f>
        <v>47.511019999210866</v>
      </c>
      <c r="C6" s="64">
        <f>IF(Nd_Calculations!U10&gt;SUM($B$30:$D$30),(Nd_Calculations!V10^2+$B$31^2+$C$31^2+$D$31^2)^0.5,"LLD")</f>
        <v>0.65467458414717239</v>
      </c>
      <c r="D6" s="65">
        <f>IF(Nd_Calculations!U10&gt;SUM($B$30:$D$30),C6/B6,"LLD")</f>
        <v>1.3779425997548488E-2</v>
      </c>
      <c r="E6" s="66">
        <f>IF(Nd_Calculations!X10&gt;SUM($E$30:$G$30),Nd_Calculations!X10-SUM($E$30:$G$30),"LLD")</f>
        <v>32.961892048894121</v>
      </c>
      <c r="F6" s="64">
        <f>IF(Nd_Calculations!X10&gt;SUM($E$30:$G$30),(Nd_Calculations!Y10^2+$E$31^2+$F$31^2+$G$31^2)^0.5,"LLD")</f>
        <v>0.45997499034203904</v>
      </c>
      <c r="G6" s="65">
        <f>IF(Nd_Calculations!X10&gt;SUM($E$30:$G$30),F6/E6,"LLD")</f>
        <v>1.3954750827401951E-2</v>
      </c>
      <c r="H6" s="66">
        <f>IF(Nd_Calculations!AA10&gt;SUM($H$30:$J$30),Nd_Calculations!AA10-SUM($H$30:$J$30),"LLD")</f>
        <v>30.125580750999035</v>
      </c>
      <c r="I6" s="64">
        <f>IF(Nd_Calculations!AA10&gt;SUM($H$30:$J$30),(Nd_Calculations!AB10^2+$H$31^2+$I$31^2+$J$31^2)^0.5,"LLD")</f>
        <v>0.58417543774668701</v>
      </c>
      <c r="J6" s="65">
        <f>IF(Nd_Calculations!AA10&gt;SUM($H$30:$J$30),I6/H6,"LLD")</f>
        <v>1.9391341948729549E-2</v>
      </c>
      <c r="K6" s="66">
        <f>IF(Nd_Calculations!AD10&gt;SUM($K$30:$M$30),Nd_Calculations!AD10-SUM($K$30:$M$30),"LLD")</f>
        <v>20.61139887047111</v>
      </c>
      <c r="L6" s="64">
        <f>IF(Nd_Calculations!AD10&gt;SUM($K$30:$M$30),(Nd_Calculations!AE10^2+$K$31^2+$L$31^2+$M$31^2)^0.5,"LLD")</f>
        <v>0.40773663939923083</v>
      </c>
      <c r="M6" s="65">
        <f>IF(Nd_Calculations!AD10&gt;SUM($K$30:$M$30),L6/K6,"LLD")</f>
        <v>1.9782094459555297E-2</v>
      </c>
      <c r="N6" s="66">
        <f>IF(Nd_Calculations!AG10&gt;SUM($N$30:$P$30),Nd_Calculations!AG10-SUM($N$30:$P$30),"LLD")</f>
        <v>21.007780713665753</v>
      </c>
      <c r="O6" s="64">
        <f>IF(Nd_Calculations!AG10&gt;SUM($N$30:$P$30),(Nd_Calculations!AH10^2+$N$31^2+$O$31^2+$P$31^2)^0.5,"LLD")</f>
        <v>0.3930902525026394</v>
      </c>
      <c r="P6" s="67">
        <f>IF(Nd_Calculations!AG10&gt;SUM($N$30:$P$30),O6/N6,"LLD")</f>
        <v>1.871165059557817E-2</v>
      </c>
      <c r="R6" s="64">
        <f t="shared" si="0"/>
        <v>0.42859881112827308</v>
      </c>
      <c r="S6" s="64">
        <f t="shared" si="1"/>
        <v>0.2115769917401589</v>
      </c>
      <c r="T6" s="64">
        <f t="shared" si="2"/>
        <v>0.3412609420665334</v>
      </c>
      <c r="U6" s="64">
        <f t="shared" si="3"/>
        <v>0.1662491671085784</v>
      </c>
      <c r="V6" s="64">
        <f t="shared" si="4"/>
        <v>0.1545199466125888</v>
      </c>
      <c r="X6" s="64">
        <f t="shared" si="5"/>
        <v>152.21767238324088</v>
      </c>
      <c r="Y6" s="64">
        <f t="shared" si="6"/>
        <v>1.1411423481126852</v>
      </c>
      <c r="Z6" s="65">
        <f t="shared" si="7"/>
        <v>7.4967796461872889E-3</v>
      </c>
    </row>
    <row r="7" spans="1:26" s="60" customFormat="1" x14ac:dyDescent="0.25">
      <c r="A7" s="60" t="str">
        <f>Nd_Calculations!B11</f>
        <v>30G Trace Original</v>
      </c>
      <c r="B7" s="60">
        <f>IF(Nd_Calculations!U11&gt;SUM($B$30:$D$30),Nd_Calculations!U11-SUM($B$30:$D$30),"LLD")</f>
        <v>34.189197804542424</v>
      </c>
      <c r="C7" s="60">
        <f>IF(Nd_Calculations!U11&gt;SUM($B$30:$D$30),(Nd_Calculations!V11^2+$B$31^2+$C$31^2+$D$31^2)^0.5,"LLD")</f>
        <v>0.49492784162610454</v>
      </c>
      <c r="D7" s="61">
        <f>IF(Nd_Calculations!U11&gt;SUM($B$30:$D$30),C7/B7,"LLD")</f>
        <v>1.4476146660579083E-2</v>
      </c>
      <c r="E7" s="62">
        <f>IF(Nd_Calculations!X11&gt;SUM($E$30:$G$30),Nd_Calculations!X11-SUM($E$30:$G$30),"LLD")</f>
        <v>24.129705826619954</v>
      </c>
      <c r="F7" s="60">
        <f>IF(Nd_Calculations!X11&gt;SUM($E$30:$G$30),(Nd_Calculations!Y11^2+$E$31^2+$F$31^2+$G$31^2)^0.5,"LLD")</f>
        <v>0.35008176895732779</v>
      </c>
      <c r="G7" s="61">
        <f>IF(Nd_Calculations!X11&gt;SUM($E$30:$G$30),F7/E7,"LLD")</f>
        <v>1.4508331409955139E-2</v>
      </c>
      <c r="H7" s="62">
        <f>IF(Nd_Calculations!AA11&gt;SUM($H$30:$J$30),Nd_Calculations!AA11-SUM($H$30:$J$30),"LLD")</f>
        <v>21.440786444945086</v>
      </c>
      <c r="I7" s="60">
        <f>IF(Nd_Calculations!AA11&gt;SUM($H$30:$J$30),(Nd_Calculations!AB11^2+$H$31^2+$I$31^2+$J$31^2)^0.5,"LLD")</f>
        <v>0.52655142171429103</v>
      </c>
      <c r="J7" s="61">
        <f>IF(Nd_Calculations!AA11&gt;SUM($H$30:$J$30),I7/H7,"LLD")</f>
        <v>2.4558400554305769E-2</v>
      </c>
      <c r="K7" s="62">
        <f>IF(Nd_Calculations!AD11&gt;SUM($K$30:$M$30),Nd_Calculations!AD11-SUM($K$30:$M$30),"LLD")</f>
        <v>14.865799880376828</v>
      </c>
      <c r="L7" s="60">
        <f>IF(Nd_Calculations!AD11&gt;SUM($K$30:$M$30),(Nd_Calculations!AE11^2+$K$31^2+$L$31^2+$M$31^2)^0.5,"LLD")</f>
        <v>0.3059229517355645</v>
      </c>
      <c r="M7" s="61">
        <f>IF(Nd_Calculations!AD11&gt;SUM($K$30:$M$30),L7/K7,"LLD")</f>
        <v>2.0578976859455058E-2</v>
      </c>
      <c r="N7" s="62">
        <f>IF(Nd_Calculations!AG11&gt;SUM($N$30:$P$30),Nd_Calculations!AG11-SUM($N$30:$P$30),"LLD")</f>
        <v>15.508535182390482</v>
      </c>
      <c r="O7" s="60">
        <f>IF(Nd_Calculations!AG11&gt;SUM($N$30:$P$30),(Nd_Calculations!AH11^2+$N$31^2+$O$31^2+$P$31^2)^0.5,"LLD")</f>
        <v>0.29975050500736095</v>
      </c>
      <c r="P7" s="63">
        <f>IF(Nd_Calculations!AG11&gt;SUM($N$30:$P$30),O7/N7,"LLD")</f>
        <v>1.9328099106853073E-2</v>
      </c>
      <c r="R7" s="60">
        <f t="shared" si="0"/>
        <v>0.24495356841667443</v>
      </c>
      <c r="S7" s="60">
        <f t="shared" si="1"/>
        <v>0.12255724495629183</v>
      </c>
      <c r="T7" s="60">
        <f t="shared" si="2"/>
        <v>0.27725639970934118</v>
      </c>
      <c r="U7" s="60">
        <f t="shared" si="3"/>
        <v>9.3588852398600528E-2</v>
      </c>
      <c r="V7" s="60">
        <f t="shared" si="4"/>
        <v>8.9850365252167913E-2</v>
      </c>
      <c r="X7" s="60">
        <f t="shared" si="5"/>
        <v>110.13402513887476</v>
      </c>
      <c r="Y7" s="60">
        <f t="shared" si="6"/>
        <v>0.91005847654591732</v>
      </c>
      <c r="Z7" s="61">
        <f t="shared" si="7"/>
        <v>8.2631909203206601E-3</v>
      </c>
    </row>
    <row r="8" spans="1:26" x14ac:dyDescent="0.25">
      <c r="A8" t="str">
        <f>Nd_Calculations!B14</f>
        <v>42G taper</v>
      </c>
      <c r="B8">
        <f>IF(Nd_Calculations!U14&gt;SUM($B$30:$D$30),Nd_Calculations!U14-SUM($B$30:$D$30),"LLD")</f>
        <v>3.6398923770529059</v>
      </c>
      <c r="C8">
        <f>IF(Nd_Calculations!U14&gt;SUM($B$30:$D$30),(Nd_Calculations!V14^2+$B$31^2+$C$31^2+$D$31)^0.5,"LLD")</f>
        <v>0.34018964767755172</v>
      </c>
      <c r="D8" s="12">
        <f>IF(Nd_Calculations!U14&gt;SUM($B$30:$D$30),C8/B8,"LLD")</f>
        <v>9.3461457767878134E-2</v>
      </c>
      <c r="E8" s="13">
        <f>IF(Nd_Calculations!X14&gt;SUM($E$30:$G$30),Nd_Calculations!X14-SUM($E$30:$G$30),"LLD")</f>
        <v>2.5251267580903498</v>
      </c>
      <c r="F8">
        <f>IF(Nd_Calculations!X14&gt;SUM($E$30:$G$30),(Nd_Calculations!Y14^2+$E$31^2+$F$31^2+$G$31^2)^0.5,"LLD")</f>
        <v>0.23463180398715514</v>
      </c>
      <c r="G8" s="12">
        <f>IF(Nd_Calculations!X14&gt;SUM($E$30:$G$30),F8/E8,"LLD")</f>
        <v>9.2918822088993894E-2</v>
      </c>
      <c r="H8" s="13">
        <f>IF(Nd_Calculations!AA14&gt;SUM($H$30:$J$30),Nd_Calculations!AA14-SUM($H$30:$J$30),"LLD")</f>
        <v>4.7640181806818909</v>
      </c>
      <c r="I8">
        <f>IF(Nd_Calculations!AA14&gt;SUM($H$30:$J$30),(Nd_Calculations!AB14^2+$H$31^2+$I$31^2+$J$31^2)^0.5,"LLD")</f>
        <v>0.48889904181568755</v>
      </c>
      <c r="J8" s="12">
        <f>IF(Nd_Calculations!AA14&gt;SUM($H$30:$J$30),I8/H8,"LLD")</f>
        <v>0.10262325274033897</v>
      </c>
      <c r="K8" s="13" t="str">
        <f>IF(Nd_Calculations!AD12&gt;SUM($K$30:$M$30),Nd_Calculations!AD12-SUM($K$30:$M$30),"LLD")</f>
        <v>LLD</v>
      </c>
      <c r="L8">
        <f>IF(Nd_Calculations!AD14&gt;SUM($K$30:$M$30),(Nd_Calculations!AE14^2+$K$31^2+$L$31^2+$M$31^2)^0.5,"LLD")</f>
        <v>0.16772197430792854</v>
      </c>
      <c r="M8" s="12" t="e">
        <f>IF(Nd_Calculations!AD14&gt;SUM($K$30:$M$30),L8/K8,"LLD")</f>
        <v>#VALUE!</v>
      </c>
      <c r="N8" s="13">
        <f>IF(Nd_Calculations!AG14&gt;SUM($N$30:$P$30),Nd_Calculations!AG14-SUM($N$30:$P$30),"LLD")</f>
        <v>1.7612979521175278</v>
      </c>
      <c r="O8">
        <f>IF(Nd_Calculations!AG14&gt;SUM($N$30:$P$30),(Nd_Calculations!AH14^2+$N$31^2+$O$31^2+$P$31^2)^0.5,"LLD")</f>
        <v>0.16595820322446775</v>
      </c>
      <c r="P8" s="57">
        <f>IF(Nd_Calculations!AG14&gt;SUM($N$30:$P$30),O8/N8,"LLD")</f>
        <v>9.4224945316573952E-2</v>
      </c>
      <c r="R8">
        <f t="shared" si="0"/>
        <v>0.11572899638697677</v>
      </c>
      <c r="S8">
        <f t="shared" si="1"/>
        <v>5.5052083442266787E-2</v>
      </c>
      <c r="T8">
        <f t="shared" si="2"/>
        <v>0.2390222730882974</v>
      </c>
      <c r="U8">
        <f t="shared" si="3"/>
        <v>2.813066066574944E-2</v>
      </c>
      <c r="V8">
        <f t="shared" si="4"/>
        <v>2.7542125217493739E-2</v>
      </c>
      <c r="X8">
        <f t="shared" si="5"/>
        <v>12.690335267942675</v>
      </c>
      <c r="Y8">
        <f t="shared" si="6"/>
        <v>0.68225811743121401</v>
      </c>
      <c r="Z8" s="12">
        <f t="shared" si="7"/>
        <v>5.3762024645218058E-2</v>
      </c>
    </row>
    <row r="9" spans="1:26" x14ac:dyDescent="0.25">
      <c r="A9" t="str">
        <f>Nd_Calculations!B15</f>
        <v>70G</v>
      </c>
      <c r="B9">
        <f>IF(Nd_Calculations!U15&gt;SUM($B$30:$D$30),Nd_Calculations!U15-SUM($B$30:$D$30),"LLD")</f>
        <v>0.31564546749232025</v>
      </c>
      <c r="C9">
        <f>IF(Nd_Calculations!U15&gt;SUM($B$30:$D$30),(Nd_Calculations!V15^2+$B$31^2+$C$31^2+$D$31)^0.5,"LLD")</f>
        <v>0.33810987423379513</v>
      </c>
      <c r="D9" s="12">
        <f>IF(Nd_Calculations!U15&gt;SUM($B$30:$D$30),C9/B9,"LLD")</f>
        <v>1.0711697428128646</v>
      </c>
      <c r="E9" s="13">
        <f>IF(Nd_Calculations!X15&gt;SUM($E$30:$G$30),Nd_Calculations!X15-SUM($E$30:$G$30),"LLD")</f>
        <v>0.24541116788167427</v>
      </c>
      <c r="F9">
        <f>IF(Nd_Calculations!X15&gt;SUM($E$30:$G$30),(Nd_Calculations!Y15^2+$E$31^2+$F$31^2+$G$31^2)^0.5,"LLD")</f>
        <v>0.23309993333966605</v>
      </c>
      <c r="G9" s="12">
        <f>IF(Nd_Calculations!X15&gt;SUM($E$30:$G$30),F9/E9,"LLD")</f>
        <v>0.94983425306893887</v>
      </c>
      <c r="H9" s="13">
        <f>IF(Nd_Calculations!AA15&gt;SUM($H$30:$J$30),Nd_Calculations!AA15-SUM($H$30:$J$30),"LLD")</f>
        <v>0.45914065664959286</v>
      </c>
      <c r="I9">
        <f>IF(Nd_Calculations!AA15&gt;SUM($H$30:$J$30),(Nd_Calculations!AB15^2+$H$31^2+$I$31^2+$J$31^2)^0.5,"LLD")</f>
        <v>0.48712295703569919</v>
      </c>
      <c r="J9" s="12">
        <f>IF(Nd_Calculations!AA15&gt;SUM($H$30:$J$30),I9/H9,"LLD")</f>
        <v>1.0609449413395378</v>
      </c>
      <c r="K9" s="13" t="str">
        <f>IF(Nd_Calculations!AD13&gt;SUM($K$30:$M$30),Nd_Calculations!AD13-SUM($K$30:$M$30),"LLD")</f>
        <v>LLD</v>
      </c>
      <c r="L9">
        <f>IF(Nd_Calculations!AD15&gt;SUM($K$30:$M$30),(Nd_Calculations!AE15^2+$K$31^2+$L$31^2+$M$31^2)^0.5,"LLD")</f>
        <v>0.16465132818575914</v>
      </c>
      <c r="M9" s="12" t="e">
        <f>IF(Nd_Calculations!AD15&gt;SUM($K$30:$M$30),L9/K9,"LLD")</f>
        <v>#VALUE!</v>
      </c>
      <c r="N9" s="13">
        <f>IF(Nd_Calculations!AG15&gt;SUM($N$30:$P$30),Nd_Calculations!AG15-SUM($N$30:$P$30),"LLD")</f>
        <v>0.18153767046002689</v>
      </c>
      <c r="O9">
        <f>IF(Nd_Calculations!AG15&gt;SUM($N$30:$P$30),(Nd_Calculations!AH15^2+$N$31^2+$O$31^2+$P$31^2)^0.5,"LLD")</f>
        <v>0.16337963928618437</v>
      </c>
      <c r="P9" s="57">
        <f>IF(Nd_Calculations!AG15&gt;SUM($N$30:$P$30),O9/N9,"LLD")</f>
        <v>0.89997651105784815</v>
      </c>
      <c r="R9">
        <f t="shared" si="0"/>
        <v>0.11431828705439276</v>
      </c>
      <c r="S9">
        <f t="shared" si="1"/>
        <v>5.4335578922956755E-2</v>
      </c>
      <c r="T9">
        <f t="shared" si="2"/>
        <v>0.23728877527120365</v>
      </c>
      <c r="U9">
        <f t="shared" si="3"/>
        <v>2.7110059873334563E-2</v>
      </c>
      <c r="V9">
        <f t="shared" si="4"/>
        <v>2.6692906533283722E-2</v>
      </c>
      <c r="X9">
        <f t="shared" si="5"/>
        <v>1.2017349624836142</v>
      </c>
      <c r="Y9">
        <f t="shared" si="6"/>
        <v>0.67804543185185717</v>
      </c>
      <c r="Z9" s="12">
        <f t="shared" si="7"/>
        <v>0.56422210638737436</v>
      </c>
    </row>
    <row r="10" spans="1:26" x14ac:dyDescent="0.25">
      <c r="A10" t="str">
        <f>Nd_Calculations!B16</f>
        <v>71G</v>
      </c>
      <c r="B10">
        <f>IF(Nd_Calculations!U16&gt;SUM($B$30:$D$30),Nd_Calculations!U16-SUM($B$30:$D$30),"LLD")</f>
        <v>0.30892544844292846</v>
      </c>
      <c r="C10">
        <f>IF(Nd_Calculations!U16&gt;SUM($B$30:$D$30),(Nd_Calculations!V16^2+$B$31^2+$C$31^2+$D$31)^0.5,"LLD")</f>
        <v>0.3380848865750819</v>
      </c>
      <c r="D10" s="12">
        <f>IF(Nd_Calculations!U16&gt;SUM($B$30:$D$30),C10/B10,"LLD")</f>
        <v>1.0943898868776438</v>
      </c>
      <c r="E10" s="13">
        <f>IF(Nd_Calculations!X16&gt;SUM($E$30:$G$30),Nd_Calculations!X16-SUM($E$30:$G$30),"LLD")</f>
        <v>0.2308724384965265</v>
      </c>
      <c r="F10">
        <f>IF(Nd_Calculations!X16&gt;SUM($E$30:$G$30),(Nd_Calculations!Y16^2+$E$31^2+$F$31^2+$G$31^2)^0.5,"LLD")</f>
        <v>0.23307423587053511</v>
      </c>
      <c r="G10" s="12">
        <f>IF(Nd_Calculations!X16&gt;SUM($E$30:$G$30),F10/E10,"LLD")</f>
        <v>1.0095368567523564</v>
      </c>
      <c r="H10" s="13">
        <f>IF(Nd_Calculations!AA16&gt;SUM($H$30:$J$30),Nd_Calculations!AA16-SUM($H$30:$J$30),"LLD")</f>
        <v>0.47884135924440302</v>
      </c>
      <c r="I10">
        <f>IF(Nd_Calculations!AA16&gt;SUM($H$30:$J$30),(Nd_Calculations!AB16^2+$H$31^2+$I$31^2+$J$31^2)^0.5,"LLD")</f>
        <v>0.48709741647051769</v>
      </c>
      <c r="J10" s="12">
        <f>IF(Nd_Calculations!AA16&gt;SUM($H$30:$J$30),I10/H10,"LLD")</f>
        <v>1.0172417379299534</v>
      </c>
      <c r="K10" s="13">
        <f>IF(Nd_Calculations!AD14&gt;SUM($K$30:$M$30),Nd_Calculations!AD14-SUM($K$30:$M$30),"LLD")</f>
        <v>1.7949137272658204</v>
      </c>
      <c r="L10">
        <f>IF(Nd_Calculations!AD16&gt;SUM($K$30:$M$30),(Nd_Calculations!AE16^2+$K$31^2+$L$31^2+$M$31^2)^0.5,"LLD")</f>
        <v>0.16462794642611225</v>
      </c>
      <c r="M10" s="12">
        <f>IF(Nd_Calculations!AD16&gt;SUM($K$30:$M$30),L10/K10,"LLD")</f>
        <v>9.1719141664200685E-2</v>
      </c>
      <c r="N10" s="13">
        <f>IF(Nd_Calculations!AG16&gt;SUM($N$30:$P$30),Nd_Calculations!AG16-SUM($N$30:$P$30),"LLD")</f>
        <v>0.16692332617241956</v>
      </c>
      <c r="O10">
        <f>IF(Nd_Calculations!AG16&gt;SUM($N$30:$P$30),(Nd_Calculations!AH16^2+$N$31^2+$O$31^2+$P$31^2)^0.5,"LLD")</f>
        <v>0.16335140566451495</v>
      </c>
      <c r="P10" s="57">
        <f>IF(Nd_Calculations!AG16&gt;SUM($N$30:$P$30),O10/N10,"LLD")</f>
        <v>0.97860142983123233</v>
      </c>
      <c r="R10">
        <f t="shared" si="0"/>
        <v>0.11430139053048599</v>
      </c>
      <c r="S10">
        <f t="shared" si="1"/>
        <v>5.4323599426633833E-2</v>
      </c>
      <c r="T10">
        <f t="shared" si="2"/>
        <v>0.23726389313225296</v>
      </c>
      <c r="U10">
        <f t="shared" si="3"/>
        <v>2.7102360744478887E-2</v>
      </c>
      <c r="V10">
        <f t="shared" si="4"/>
        <v>2.6683681732572927E-2</v>
      </c>
      <c r="X10">
        <f t="shared" si="5"/>
        <v>2.9804762996220981</v>
      </c>
      <c r="Y10">
        <f t="shared" si="6"/>
        <v>0.67799330790681456</v>
      </c>
      <c r="Z10" s="12">
        <f t="shared" si="7"/>
        <v>0.22747817454303496</v>
      </c>
    </row>
    <row r="11" spans="1:26" x14ac:dyDescent="0.25">
      <c r="A11" t="str">
        <f>Nd_Calculations!B17</f>
        <v>72G</v>
      </c>
      <c r="B11">
        <f>IF(Nd_Calculations!U17&gt;SUM($B$30:$D$30),Nd_Calculations!U17-SUM($B$30:$D$30),"LLD")</f>
        <v>0.53410825161734776</v>
      </c>
      <c r="C11">
        <f>IF(Nd_Calculations!U17&gt;SUM($B$30:$D$30),(Nd_Calculations!V17^2+$B$31^2+$C$31^2+$D$31)^0.5,"LLD")</f>
        <v>0.33816982829395553</v>
      </c>
      <c r="D11" s="12">
        <f>IF(Nd_Calculations!U17&gt;SUM($B$30:$D$30),C11/B11,"LLD")</f>
        <v>0.63314848117387112</v>
      </c>
      <c r="E11" s="13">
        <f>IF(Nd_Calculations!X17&gt;SUM($E$30:$G$30),Nd_Calculations!X17-SUM($E$30:$G$30),"LLD")</f>
        <v>0.38890271111518004</v>
      </c>
      <c r="F11">
        <f>IF(Nd_Calculations!X17&gt;SUM($E$30:$G$30),(Nd_Calculations!Y17^2+$E$31^2+$F$31^2+$G$31^2)^0.5,"LLD")</f>
        <v>0.23314409435768188</v>
      </c>
      <c r="G11" s="12">
        <f>IF(Nd_Calculations!X17&gt;SUM($E$30:$G$30),F11/E11,"LLD")</f>
        <v>0.59949207782362912</v>
      </c>
      <c r="H11" s="13">
        <f>IF(Nd_Calculations!AA17&gt;SUM($H$30:$J$30),Nd_Calculations!AA17-SUM($H$30:$J$30),"LLD")</f>
        <v>0.67711344515785732</v>
      </c>
      <c r="I11">
        <f>IF(Nd_Calculations!AA17&gt;SUM($H$30:$J$30),(Nd_Calculations!AB17^2+$H$31^2+$I$31^2+$J$31^2)^0.5,"LLD")</f>
        <v>0.4871624038247987</v>
      </c>
      <c r="J11" s="12">
        <f>IF(Nd_Calculations!AA17&gt;SUM($H$30:$J$30),I11/H11,"LLD")</f>
        <v>0.71946939956453704</v>
      </c>
      <c r="K11" s="13">
        <f>IF(Nd_Calculations!AD15&gt;SUM($K$30:$M$30),Nd_Calculations!AD15-SUM($K$30:$M$30),"LLD")</f>
        <v>0.17056312692531758</v>
      </c>
      <c r="L11">
        <f>IF(Nd_Calculations!AD17&gt;SUM($K$30:$M$30),(Nd_Calculations!AE17^2+$K$31^2+$L$31^2+$M$31^2)^0.5,"LLD")</f>
        <v>0.16469603927361001</v>
      </c>
      <c r="M11" s="12">
        <f>IF(Nd_Calculations!AD17&gt;SUM($K$30:$M$30),L11/K11,"LLD")</f>
        <v>0.96560166457151952</v>
      </c>
      <c r="N11" s="13">
        <f>IF(Nd_Calculations!AG17&gt;SUM($N$30:$P$30),Nd_Calculations!AG17-SUM($N$30:$P$30),"LLD")</f>
        <v>0.26976502660142704</v>
      </c>
      <c r="O11">
        <f>IF(Nd_Calculations!AG17&gt;SUM($N$30:$P$30),(Nd_Calculations!AH17^2+$N$31^2+$O$31^2+$P$31^2)^0.5,"LLD")</f>
        <v>0.16343550135256452</v>
      </c>
      <c r="P11" s="57">
        <f>IF(Nd_Calculations!AG17&gt;SUM($N$30:$P$30),O11/N11,"LLD")</f>
        <v>0.60584392058366232</v>
      </c>
      <c r="R11">
        <f t="shared" si="0"/>
        <v>0.11435883276836337</v>
      </c>
      <c r="S11">
        <f t="shared" si="1"/>
        <v>5.4356168733863675E-2</v>
      </c>
      <c r="T11">
        <f t="shared" si="2"/>
        <v>0.23732720770035623</v>
      </c>
      <c r="U11">
        <f t="shared" si="3"/>
        <v>2.7124785352414492E-2</v>
      </c>
      <c r="V11">
        <f t="shared" si="4"/>
        <v>2.6711163102364117E-2</v>
      </c>
      <c r="X11">
        <f t="shared" si="5"/>
        <v>2.0404525614171298</v>
      </c>
      <c r="Y11">
        <f t="shared" si="6"/>
        <v>0.67814316899705029</v>
      </c>
      <c r="Z11" s="12">
        <f t="shared" si="7"/>
        <v>0.33234939239463035</v>
      </c>
    </row>
    <row r="12" spans="1:26" x14ac:dyDescent="0.25">
      <c r="A12" t="str">
        <f>Nd_Calculations!B18</f>
        <v>73G</v>
      </c>
      <c r="B12">
        <f>IF(Nd_Calculations!U18&gt;SUM($B$30:$D$30),Nd_Calculations!U18-SUM($B$30:$D$30),"LLD")</f>
        <v>0.23723330009980759</v>
      </c>
      <c r="C12">
        <f>IF(Nd_Calculations!U18&gt;SUM($B$30:$D$30),(Nd_Calculations!V18^2+$B$31^2+$C$31^2+$D$31)^0.5,"LLD")</f>
        <v>0.33808006616061803</v>
      </c>
      <c r="D12" s="12">
        <f>IF(Nd_Calculations!U18&gt;SUM($B$30:$D$30),C12/B12,"LLD")</f>
        <v>1.4250953218556699</v>
      </c>
      <c r="E12" s="13">
        <f>IF(Nd_Calculations!X18&gt;SUM($E$30:$G$30),Nd_Calculations!X18-SUM($E$30:$G$30),"LLD")</f>
        <v>0.15396010399434851</v>
      </c>
      <c r="F12">
        <f>IF(Nd_Calculations!X18&gt;SUM($E$30:$G$30),(Nd_Calculations!Y18^2+$E$31^2+$F$31^2+$G$31^2)^0.5,"LLD")</f>
        <v>0.23306372135905248</v>
      </c>
      <c r="G12" s="12">
        <f>IF(Nd_Calculations!X18&gt;SUM($E$30:$G$30),F12/E12,"LLD")</f>
        <v>1.5137929587759156</v>
      </c>
      <c r="H12" s="13">
        <f>IF(Nd_Calculations!AA18&gt;SUM($H$30:$J$30),Nd_Calculations!AA18-SUM($H$30:$J$30),"LLD")</f>
        <v>0.19085983259199474</v>
      </c>
      <c r="I12">
        <f>IF(Nd_Calculations!AA18&gt;SUM($H$30:$J$30),(Nd_Calculations!AB18^2+$H$31^2+$I$31^2+$J$31^2)^0.5,"LLD")</f>
        <v>0.48706032270386612</v>
      </c>
      <c r="J12" s="12">
        <f>IF(Nd_Calculations!AA18&gt;SUM($H$30:$J$30),I12/H12,"LLD")</f>
        <v>2.5519268045522479</v>
      </c>
      <c r="K12" s="13">
        <f>IF(Nd_Calculations!AD16&gt;SUM($K$30:$M$30),Nd_Calculations!AD16-SUM($K$30:$M$30),"LLD")</f>
        <v>0.16403783822344245</v>
      </c>
      <c r="L12">
        <f>IF(Nd_Calculations!AD18&gt;SUM($K$30:$M$30),(Nd_Calculations!AE18^2+$K$31^2+$L$31^2+$M$31^2)^0.5,"LLD")</f>
        <v>0.16457942448939158</v>
      </c>
      <c r="M12" s="12">
        <f>IF(Nd_Calculations!AD18&gt;SUM($K$30:$M$30),L12/K12,"LLD")</f>
        <v>1.0033015935336298</v>
      </c>
      <c r="N12" s="13">
        <f>IF(Nd_Calculations!AG18&gt;SUM($N$30:$P$30),Nd_Calculations!AG18-SUM($N$30:$P$30),"LLD")</f>
        <v>6.4156616810156358E-2</v>
      </c>
      <c r="O12">
        <f>IF(Nd_Calculations!AG18&gt;SUM($N$30:$P$30),(Nd_Calculations!AH18^2+$N$31^2+$O$31^2+$P$31^2)^0.5,"LLD")</f>
        <v>0.16330689251213132</v>
      </c>
      <c r="P12" s="57">
        <f>IF(Nd_Calculations!AG18&gt;SUM($N$30:$P$30),O12/N12,"LLD")</f>
        <v>2.5454411506044208</v>
      </c>
      <c r="R12">
        <f t="shared" si="0"/>
        <v>0.11429813113516786</v>
      </c>
      <c r="S12">
        <f t="shared" si="1"/>
        <v>5.431869821373006E-2</v>
      </c>
      <c r="T12">
        <f t="shared" si="2"/>
        <v>0.2372277579523942</v>
      </c>
      <c r="U12">
        <f t="shared" si="3"/>
        <v>2.7086386965259345E-2</v>
      </c>
      <c r="V12">
        <f t="shared" si="4"/>
        <v>2.6669141141968812E-2</v>
      </c>
      <c r="X12">
        <f t="shared" si="5"/>
        <v>0.81024769171974964</v>
      </c>
      <c r="Y12">
        <f t="shared" si="6"/>
        <v>0.67793813538443193</v>
      </c>
      <c r="Z12" s="12">
        <f t="shared" si="7"/>
        <v>0.83670480312694151</v>
      </c>
    </row>
    <row r="13" spans="1:26" x14ac:dyDescent="0.25">
      <c r="A13" t="str">
        <f>Nd_Calculations!B19</f>
        <v xml:space="preserve">74G </v>
      </c>
      <c r="B13">
        <f>IF(Nd_Calculations!U19&gt;SUM($B$30:$D$30),Nd_Calculations!U19-SUM($B$30:$D$30),"LLD")</f>
        <v>0.16842732196779686</v>
      </c>
      <c r="C13">
        <f>IF(Nd_Calculations!U19&gt;SUM($B$30:$D$30),(Nd_Calculations!V19^2+$B$31^2+$C$31^2+$D$31)^0.5,"LLD")</f>
        <v>0.33804079260234438</v>
      </c>
      <c r="D13" s="12">
        <f>IF(Nd_Calculations!U19&gt;SUM($B$30:$D$30),C13/B13,"LLD")</f>
        <v>2.0070424955576831</v>
      </c>
      <c r="E13" s="13">
        <f>IF(Nd_Calculations!X19&gt;SUM($E$30:$G$30),Nd_Calculations!X19-SUM($E$30:$G$30),"LLD")</f>
        <v>9.0125191014757577E-2</v>
      </c>
      <c r="F13">
        <f>IF(Nd_Calculations!X19&gt;SUM($E$30:$G$30),(Nd_Calculations!Y19^2+$E$31^2+$F$31^2+$G$31^2)^0.5,"LLD")</f>
        <v>0.23302874568614373</v>
      </c>
      <c r="G13" s="12">
        <f>IF(Nd_Calculations!X19&gt;SUM($E$30:$G$30),F13/E13,"LLD")</f>
        <v>2.5856116704150605</v>
      </c>
      <c r="H13" s="13">
        <f>IF(Nd_Calculations!AA19&gt;SUM($H$30:$J$30),Nd_Calculations!AA19-SUM($H$30:$J$30),"LLD")</f>
        <v>0.22144511542643824</v>
      </c>
      <c r="I13">
        <f>IF(Nd_Calculations!AA19&gt;SUM($H$30:$J$30),(Nd_Calculations!AB19^2+$H$31^2+$I$31^2+$J$31^2)^0.5,"LLD")</f>
        <v>0.48703998024261702</v>
      </c>
      <c r="J13" s="12">
        <f>IF(Nd_Calculations!AA19&gt;SUM($H$30:$J$30),I13/H13,"LLD")</f>
        <v>2.199371069010581</v>
      </c>
      <c r="K13" s="13">
        <f>IF(Nd_Calculations!AD17&gt;SUM($K$30:$M$30),Nd_Calculations!AD17-SUM($K$30:$M$30),"LLD")</f>
        <v>0.23890458132808542</v>
      </c>
      <c r="L13">
        <f>IF(Nd_Calculations!AD19&gt;SUM($K$30:$M$30),(Nd_Calculations!AE19^2+$K$31^2+$L$31^2+$M$31^2)^0.5,"LLD")</f>
        <v>0.16457162444060272</v>
      </c>
      <c r="M13" s="12">
        <f>IF(Nd_Calculations!AD19&gt;SUM($K$30:$M$30),L13/K13,"LLD")</f>
        <v>0.68885922373584807</v>
      </c>
      <c r="N13" s="13">
        <f>IF(Nd_Calculations!AG19&gt;SUM($N$30:$P$30),Nd_Calculations!AG19-SUM($N$30:$P$30),"LLD")</f>
        <v>7.6091455450363055E-2</v>
      </c>
      <c r="O13">
        <f>IF(Nd_Calculations!AG19&gt;SUM($N$30:$P$30),(Nd_Calculations!AH19^2+$N$31^2+$O$31^2+$P$31^2)^0.5,"LLD")</f>
        <v>0.16329435858303543</v>
      </c>
      <c r="P13" s="57">
        <f>IF(Nd_Calculations!AG19&gt;SUM($N$30:$P$30),O13/N13,"LLD")</f>
        <v>2.14602753510948</v>
      </c>
      <c r="R13">
        <f t="shared" si="0"/>
        <v>0.11427157746322121</v>
      </c>
      <c r="S13">
        <f t="shared" si="1"/>
        <v>5.4302396316057454E-2</v>
      </c>
      <c r="T13">
        <f t="shared" si="2"/>
        <v>0.23720794235472878</v>
      </c>
      <c r="U13">
        <f t="shared" si="3"/>
        <v>2.7083819571018786E-2</v>
      </c>
      <c r="V13">
        <f t="shared" si="4"/>
        <v>2.6665047545044954E-2</v>
      </c>
      <c r="X13">
        <f t="shared" si="5"/>
        <v>0.79499366518744119</v>
      </c>
      <c r="Y13">
        <f t="shared" si="6"/>
        <v>0.67788699887965931</v>
      </c>
      <c r="Z13" s="12">
        <f t="shared" si="7"/>
        <v>0.852694843448632</v>
      </c>
    </row>
    <row r="14" spans="1:26" x14ac:dyDescent="0.25">
      <c r="A14" t="str">
        <f>Nd_Calculations!B20</f>
        <v xml:space="preserve">75G trace waste </v>
      </c>
      <c r="B14" t="e">
        <f>IF(Nd_Calculations!U20&gt;SUM($B$30:$D$30),Nd_Calculations!U20-SUM($B$30:$D$30),"LLD")</f>
        <v>#VALUE!</v>
      </c>
      <c r="C14" t="e">
        <f>IF(Nd_Calculations!U20&gt;SUM($B$30:$D$30),(Nd_Calculations!V20^2+$B$31^2+$C$31^2+$D$31)^0.5,"LLD")</f>
        <v>#VALUE!</v>
      </c>
      <c r="D14" s="12" t="e">
        <f>IF(Nd_Calculations!U20&gt;SUM($B$30:$D$30),C14/B14,"LLD")</f>
        <v>#VALUE!</v>
      </c>
      <c r="E14" s="13" t="e">
        <f>IF(Nd_Calculations!X20&gt;SUM($E$30:$G$30),Nd_Calculations!X20-SUM($E$30:$G$30),"LLD")</f>
        <v>#VALUE!</v>
      </c>
      <c r="F14" t="e">
        <f>IF(Nd_Calculations!X20&gt;SUM($E$30:$G$30),(Nd_Calculations!Y20^2+$E$31^2+$F$31^2+$G$31^2)^0.5,"LLD")</f>
        <v>#VALUE!</v>
      </c>
      <c r="G14" s="12" t="e">
        <f>IF(Nd_Calculations!X20&gt;SUM($E$30:$G$30),F14/E14,"LLD")</f>
        <v>#VALUE!</v>
      </c>
      <c r="H14" s="13" t="e">
        <f>IF(Nd_Calculations!AA20&gt;SUM($H$30:$J$30),Nd_Calculations!AA20-SUM($H$30:$J$30),"LLD")</f>
        <v>#VALUE!</v>
      </c>
      <c r="I14" t="e">
        <f>IF(Nd_Calculations!AA20&gt;SUM($H$30:$J$30),(Nd_Calculations!AB20^2+$H$31^2+$I$31^2+$J$31^2)^0.5,"LLD")</f>
        <v>#VALUE!</v>
      </c>
      <c r="J14" s="12" t="e">
        <f>IF(Nd_Calculations!AA20&gt;SUM($H$30:$J$30),I14/H14,"LLD")</f>
        <v>#VALUE!</v>
      </c>
      <c r="K14" s="13">
        <f>IF(Nd_Calculations!AD18&gt;SUM($K$30:$M$30),Nd_Calculations!AD18-SUM($K$30:$M$30),"LLD")</f>
        <v>6.44160238727087E-2</v>
      </c>
      <c r="L14" t="e">
        <f>IF(Nd_Calculations!AD20&gt;SUM($K$30:$M$30),(Nd_Calculations!AE20^2+$K$31^2+$L$31^2+$M$31^2)^0.5,"LLD")</f>
        <v>#VALUE!</v>
      </c>
      <c r="M14" s="12" t="e">
        <f>IF(Nd_Calculations!AD20&gt;SUM($K$30:$M$30),L14/K14,"LLD")</f>
        <v>#VALUE!</v>
      </c>
      <c r="N14" s="13" t="e">
        <f>IF(Nd_Calculations!AG20&gt;SUM($N$30:$P$30),Nd_Calculations!AG20-SUM($N$30:$P$30),"LLD")</f>
        <v>#VALUE!</v>
      </c>
      <c r="O14" t="e">
        <f>IF(Nd_Calculations!AG20&gt;SUM($N$30:$P$30),(Nd_Calculations!AH20^2+$N$31^2+$O$31^2+$P$31^2)^0.5,"LLD")</f>
        <v>#VALUE!</v>
      </c>
      <c r="P14" s="57" t="e">
        <f>IF(Nd_Calculations!AG20&gt;SUM($N$30:$P$30),O14/N14,"LLD")</f>
        <v>#VALUE!</v>
      </c>
      <c r="R14" t="e">
        <f t="shared" si="0"/>
        <v>#VALUE!</v>
      </c>
      <c r="S14" t="e">
        <f t="shared" si="1"/>
        <v>#VALUE!</v>
      </c>
      <c r="T14" t="e">
        <f t="shared" si="2"/>
        <v>#VALUE!</v>
      </c>
      <c r="U14" t="e">
        <f t="shared" si="3"/>
        <v>#VALUE!</v>
      </c>
      <c r="V14" t="e">
        <f t="shared" si="4"/>
        <v>#VALUE!</v>
      </c>
      <c r="X14" t="e">
        <f t="shared" si="5"/>
        <v>#VALUE!</v>
      </c>
      <c r="Y14" t="e">
        <f t="shared" si="6"/>
        <v>#VALUE!</v>
      </c>
      <c r="Z14" s="12" t="e">
        <f t="shared" si="7"/>
        <v>#VALUE!</v>
      </c>
    </row>
    <row r="15" spans="1:26" x14ac:dyDescent="0.25">
      <c r="A15" t="str">
        <f>Nd_Calculations!B21</f>
        <v>81G trace</v>
      </c>
      <c r="B15" t="str">
        <f>IF(Nd_Calculations!U21&gt;SUM($B$30:$D$30),Nd_Calculations!U21-SUM($B$30:$D$30),"LLD")</f>
        <v>LLD</v>
      </c>
      <c r="C15" t="str">
        <f>IF(Nd_Calculations!U21&gt;SUM($B$30:$D$30),(Nd_Calculations!V21^2+$B$31^2+$C$31^2+$D$31)^0.5,"LLD")</f>
        <v>LLD</v>
      </c>
      <c r="D15" s="12" t="str">
        <f>IF(Nd_Calculations!U21&gt;SUM($B$30:$D$30),C15/B15,"LLD")</f>
        <v>LLD</v>
      </c>
      <c r="E15" s="13" t="str">
        <f>IF(Nd_Calculations!X21&gt;SUM($E$30:$G$30),Nd_Calculations!X21-SUM($E$30:$G$30),"LLD")</f>
        <v>LLD</v>
      </c>
      <c r="F15" t="str">
        <f>IF(Nd_Calculations!X21&gt;SUM($E$30:$G$30),(Nd_Calculations!Y21^2+$E$31^2+$F$31^2+$G$31^2)^0.5,"LLD")</f>
        <v>LLD</v>
      </c>
      <c r="G15" s="12" t="str">
        <f>IF(Nd_Calculations!X21&gt;SUM($E$30:$G$30),F15/E15,"LLD")</f>
        <v>LLD</v>
      </c>
      <c r="H15" s="13" t="str">
        <f>IF(Nd_Calculations!AA21&gt;SUM($H$30:$J$30),Nd_Calculations!AA21-SUM($H$30:$J$30),"LLD")</f>
        <v>LLD</v>
      </c>
      <c r="I15" t="str">
        <f>IF(Nd_Calculations!AA21&gt;SUM($H$30:$J$30),(Nd_Calculations!AB21^2+$H$31^2+$I$31^2+$J$31^2)^0.5,"LLD")</f>
        <v>LLD</v>
      </c>
      <c r="J15" s="12" t="str">
        <f>IF(Nd_Calculations!AA21&gt;SUM($H$30:$J$30),I15/H15,"LLD")</f>
        <v>LLD</v>
      </c>
      <c r="K15" s="13">
        <f>IF(Nd_Calculations!AD19&gt;SUM($K$30:$M$30),Nd_Calculations!AD19-SUM($K$30:$M$30),"LLD")</f>
        <v>8.7231109398636736E-2</v>
      </c>
      <c r="L15" t="str">
        <f>IF(Nd_Calculations!AD21&gt;SUM($K$30:$M$30),(Nd_Calculations!AE21^2+$K$31^2+$L$31^2+$M$31^2)^0.5,"LLD")</f>
        <v>LLD</v>
      </c>
      <c r="M15" s="12" t="str">
        <f>IF(Nd_Calculations!AD21&gt;SUM($K$30:$M$30),L15/K15,"LLD")</f>
        <v>LLD</v>
      </c>
      <c r="N15" s="13" t="str">
        <f>IF(Nd_Calculations!AG21&gt;SUM($N$30:$P$30),Nd_Calculations!AG21-SUM($N$30:$P$30),"LLD")</f>
        <v>LLD</v>
      </c>
      <c r="O15" t="str">
        <f>IF(Nd_Calculations!AG21&gt;SUM($N$30:$P$30),(Nd_Calculations!AH21^2+$N$31^2+$O$31^2+$P$31^2)^0.5,"LLD")</f>
        <v>LLD</v>
      </c>
      <c r="P15" s="57" t="str">
        <f>IF(Nd_Calculations!AG21&gt;SUM($N$30:$P$30),O15/N15,"LLD")</f>
        <v>LLD</v>
      </c>
      <c r="R15" t="str">
        <f t="shared" si="0"/>
        <v>LLD</v>
      </c>
      <c r="S15" t="str">
        <f t="shared" si="1"/>
        <v>LLD</v>
      </c>
      <c r="T15" t="str">
        <f t="shared" si="2"/>
        <v>LLD</v>
      </c>
      <c r="U15" t="str">
        <f t="shared" si="3"/>
        <v>LLD</v>
      </c>
      <c r="V15" t="str">
        <f t="shared" si="4"/>
        <v>LLD</v>
      </c>
      <c r="X15">
        <f t="shared" si="5"/>
        <v>8.7231109398636736E-2</v>
      </c>
      <c r="Y15">
        <f t="shared" si="6"/>
        <v>0</v>
      </c>
      <c r="Z15" s="12">
        <f t="shared" si="7"/>
        <v>0</v>
      </c>
    </row>
    <row r="16" spans="1:26" x14ac:dyDescent="0.25">
      <c r="A16" t="str">
        <f>Nd_Calculations!B22</f>
        <v>82G trace</v>
      </c>
      <c r="B16" t="str">
        <f>IF(Nd_Calculations!U22&gt;SUM($B$30:$D$30),Nd_Calculations!U22-SUM($B$30:$D$30),"LLD")</f>
        <v>LLD</v>
      </c>
      <c r="C16" t="str">
        <f>IF(Nd_Calculations!U22&gt;SUM($B$30:$D$30),(Nd_Calculations!V22^2+$B$31^2+$C$31^2+$D$31)^0.5,"LLD")</f>
        <v>LLD</v>
      </c>
      <c r="D16" s="12" t="str">
        <f>IF(Nd_Calculations!U22&gt;SUM($B$30:$D$30),C16/B16,"LLD")</f>
        <v>LLD</v>
      </c>
      <c r="E16" s="13" t="str">
        <f>IF(Nd_Calculations!X22&gt;SUM($E$30:$G$30),Nd_Calculations!X22-SUM($E$30:$G$30),"LLD")</f>
        <v>LLD</v>
      </c>
      <c r="F16" t="str">
        <f>IF(Nd_Calculations!X22&gt;SUM($E$30:$G$30),(Nd_Calculations!Y22^2+$E$31^2+$F$31^2+$G$31^2)^0.5,"LLD")</f>
        <v>LLD</v>
      </c>
      <c r="G16" s="12" t="str">
        <f>IF(Nd_Calculations!X22&gt;SUM($E$30:$G$30),F16/E16,"LLD")</f>
        <v>LLD</v>
      </c>
      <c r="H16" s="13" t="str">
        <f>IF(Nd_Calculations!AA22&gt;SUM($H$30:$J$30),Nd_Calculations!AA22-SUM($H$30:$J$30),"LLD")</f>
        <v>LLD</v>
      </c>
      <c r="I16" t="str">
        <f>IF(Nd_Calculations!AA22&gt;SUM($H$30:$J$30),(Nd_Calculations!AB22^2+$H$31^2+$I$31^2+$J$31^2)^0.5,"LLD")</f>
        <v>LLD</v>
      </c>
      <c r="J16" s="12" t="str">
        <f>IF(Nd_Calculations!AA22&gt;SUM($H$30:$J$30),I16/H16,"LLD")</f>
        <v>LLD</v>
      </c>
      <c r="K16" s="13" t="e">
        <f>IF(Nd_Calculations!AD20&gt;SUM($K$30:$M$30),Nd_Calculations!AD20-SUM($K$30:$M$30),"LLD")</f>
        <v>#VALUE!</v>
      </c>
      <c r="L16" t="str">
        <f>IF(Nd_Calculations!AD22&gt;SUM($K$30:$M$30),(Nd_Calculations!AE22^2+$K$31^2+$L$31^2+$M$31^2)^0.5,"LLD")</f>
        <v>LLD</v>
      </c>
      <c r="M16" s="12" t="str">
        <f>IF(Nd_Calculations!AD22&gt;SUM($K$30:$M$30),L16/K16,"LLD")</f>
        <v>LLD</v>
      </c>
      <c r="N16" s="13" t="str">
        <f>IF(Nd_Calculations!AG22&gt;SUM($N$30:$P$30),Nd_Calculations!AG22-SUM($N$30:$P$30),"LLD")</f>
        <v>LLD</v>
      </c>
      <c r="O16" t="str">
        <f>IF(Nd_Calculations!AG22&gt;SUM($N$30:$P$30),(Nd_Calculations!AH22^2+$N$31^2+$O$31^2+$P$31^2)^0.5,"LLD")</f>
        <v>LLD</v>
      </c>
      <c r="P16" s="57" t="str">
        <f>IF(Nd_Calculations!AG22&gt;SUM($N$30:$P$30),O16/N16,"LLD")</f>
        <v>LLD</v>
      </c>
      <c r="R16" t="str">
        <f t="shared" si="0"/>
        <v>LLD</v>
      </c>
      <c r="S16" t="str">
        <f t="shared" si="1"/>
        <v>LLD</v>
      </c>
      <c r="T16" t="str">
        <f t="shared" si="2"/>
        <v>LLD</v>
      </c>
      <c r="U16" t="str">
        <f t="shared" si="3"/>
        <v>LLD</v>
      </c>
      <c r="V16" t="str">
        <f t="shared" si="4"/>
        <v>LLD</v>
      </c>
      <c r="X16" t="e">
        <f t="shared" si="5"/>
        <v>#VALUE!</v>
      </c>
      <c r="Y16" t="e">
        <f t="shared" si="6"/>
        <v>#VALUE!</v>
      </c>
      <c r="Z16" s="12" t="e">
        <f t="shared" si="7"/>
        <v>#VALUE!</v>
      </c>
    </row>
    <row r="17" spans="1:28" x14ac:dyDescent="0.25">
      <c r="A17" t="str">
        <f>Nd_Calculations!B23</f>
        <v>83G Trace</v>
      </c>
      <c r="B17" t="e">
        <f>IF(Nd_Calculations!U23&gt;SUM($B$30:$D$30),Nd_Calculations!U23-SUM($B$30:$D$30),"LLD")</f>
        <v>#VALUE!</v>
      </c>
      <c r="C17" t="e">
        <f>IF(Nd_Calculations!U23&gt;SUM($B$30:$D$30),(Nd_Calculations!V23^2+$B$31^2+$C$31^2+$D$31)^0.5,"LLD")</f>
        <v>#VALUE!</v>
      </c>
      <c r="D17" s="12" t="e">
        <f>IF(Nd_Calculations!U23&gt;SUM($B$30:$D$30),C17/B17,"LLD")</f>
        <v>#VALUE!</v>
      </c>
      <c r="E17" s="13" t="e">
        <f>IF(Nd_Calculations!X23&gt;SUM($E$30:$G$30),Nd_Calculations!X23-SUM($E$30:$G$30),"LLD")</f>
        <v>#VALUE!</v>
      </c>
      <c r="F17" t="e">
        <f>IF(Nd_Calculations!X23&gt;SUM($E$30:$G$30),(Nd_Calculations!Y23^2+$E$31^2+$F$31^2+$G$31^2)^0.5,"LLD")</f>
        <v>#VALUE!</v>
      </c>
      <c r="G17" s="12" t="e">
        <f>IF(Nd_Calculations!X23&gt;SUM($E$30:$G$30),F17/E17,"LLD")</f>
        <v>#VALUE!</v>
      </c>
      <c r="H17" s="13" t="e">
        <f>IF(Nd_Calculations!AA23&gt;SUM($H$30:$J$30),Nd_Calculations!AA23-SUM($H$30:$J$30),"LLD")</f>
        <v>#VALUE!</v>
      </c>
      <c r="I17" t="e">
        <f>IF(Nd_Calculations!AA23&gt;SUM($H$30:$J$30),(Nd_Calculations!AB23^2+$H$31^2+$I$31^2+$J$31^2)^0.5,"LLD")</f>
        <v>#VALUE!</v>
      </c>
      <c r="J17" s="12" t="e">
        <f>IF(Nd_Calculations!AA23&gt;SUM($H$30:$J$30),I17/H17,"LLD")</f>
        <v>#VALUE!</v>
      </c>
      <c r="K17" s="13" t="str">
        <f>IF(Nd_Calculations!AD21&gt;SUM($K$30:$M$30),Nd_Calculations!AD21-SUM($K$30:$M$30),"LLD")</f>
        <v>LLD</v>
      </c>
      <c r="L17" t="e">
        <f>IF(Nd_Calculations!AD23&gt;SUM($K$30:$M$30),(Nd_Calculations!AE23^2+$K$31^2+$L$31^2+$M$31^2)^0.5,"LLD")</f>
        <v>#VALUE!</v>
      </c>
      <c r="M17" s="12" t="e">
        <f>IF(Nd_Calculations!AD23&gt;SUM($K$30:$M$30),L17/K17,"LLD")</f>
        <v>#VALUE!</v>
      </c>
      <c r="N17" s="13" t="e">
        <f>IF(Nd_Calculations!AG23&gt;SUM($N$30:$P$30),Nd_Calculations!AG23-SUM($N$30:$P$30),"LLD")</f>
        <v>#VALUE!</v>
      </c>
      <c r="O17" t="e">
        <f>IF(Nd_Calculations!AG23&gt;SUM($N$30:$P$30),(Nd_Calculations!AH23^2+$N$31^2+$O$31^2+$P$31^2)^0.5,"LLD")</f>
        <v>#VALUE!</v>
      </c>
      <c r="P17" s="57" t="e">
        <f>IF(Nd_Calculations!AG23&gt;SUM($N$30:$P$30),O17/N17,"LLD")</f>
        <v>#VALUE!</v>
      </c>
      <c r="R17" t="e">
        <f t="shared" si="0"/>
        <v>#VALUE!</v>
      </c>
      <c r="S17" t="e">
        <f t="shared" si="1"/>
        <v>#VALUE!</v>
      </c>
      <c r="T17" t="e">
        <f t="shared" si="2"/>
        <v>#VALUE!</v>
      </c>
      <c r="U17" t="e">
        <f t="shared" si="3"/>
        <v>#VALUE!</v>
      </c>
      <c r="V17" t="e">
        <f t="shared" si="4"/>
        <v>#VALUE!</v>
      </c>
      <c r="X17" t="e">
        <f t="shared" si="5"/>
        <v>#VALUE!</v>
      </c>
      <c r="Y17" t="e">
        <f t="shared" si="6"/>
        <v>#VALUE!</v>
      </c>
      <c r="Z17" s="12" t="e">
        <f t="shared" si="7"/>
        <v>#VALUE!</v>
      </c>
    </row>
    <row r="18" spans="1:28" x14ac:dyDescent="0.25">
      <c r="A18" t="str">
        <f>Nd_Calculations!B24</f>
        <v>84G trace</v>
      </c>
      <c r="B18" t="str">
        <f>IF(Nd_Calculations!U24&gt;SUM($B$30:$D$30),Nd_Calculations!U24-SUM($B$30:$D$30),"LLD")</f>
        <v>LLD</v>
      </c>
      <c r="C18" t="str">
        <f>IF(Nd_Calculations!U24&gt;SUM($B$30:$D$30),(Nd_Calculations!V24^2+$B$31^2+$C$31^2+$D$31)^0.5,"LLD")</f>
        <v>LLD</v>
      </c>
      <c r="D18" s="12" t="str">
        <f>IF(Nd_Calculations!U24&gt;SUM($B$30:$D$30),C18/B18,"LLD")</f>
        <v>LLD</v>
      </c>
      <c r="E18" s="13" t="str">
        <f>IF(Nd_Calculations!X24&gt;SUM($E$30:$G$30),Nd_Calculations!X24-SUM($E$30:$G$30),"LLD")</f>
        <v>LLD</v>
      </c>
      <c r="F18" t="str">
        <f>IF(Nd_Calculations!X24&gt;SUM($E$30:$G$30),(Nd_Calculations!Y24^2+$E$31^2+$F$31^2+$G$31^2)^0.5,"LLD")</f>
        <v>LLD</v>
      </c>
      <c r="G18" s="12" t="str">
        <f>IF(Nd_Calculations!X24&gt;SUM($E$30:$G$30),F18/E18,"LLD")</f>
        <v>LLD</v>
      </c>
      <c r="H18" s="13" t="str">
        <f>IF(Nd_Calculations!AA24&gt;SUM($H$30:$J$30),Nd_Calculations!AA24-SUM($H$30:$J$30),"LLD")</f>
        <v>LLD</v>
      </c>
      <c r="I18" t="str">
        <f>IF(Nd_Calculations!AA24&gt;SUM($H$30:$J$30),(Nd_Calculations!AB24^2+$H$31^2+$I$31^2+$J$31^2)^0.5,"LLD")</f>
        <v>LLD</v>
      </c>
      <c r="J18" s="12" t="str">
        <f>IF(Nd_Calculations!AA24&gt;SUM($H$30:$J$30),I18/H18,"LLD")</f>
        <v>LLD</v>
      </c>
      <c r="K18" s="13" t="str">
        <f>IF(Nd_Calculations!AD22&gt;SUM($K$30:$M$30),Nd_Calculations!AD22-SUM($K$30:$M$30),"LLD")</f>
        <v>LLD</v>
      </c>
      <c r="L18" t="str">
        <f>IF(Nd_Calculations!AD24&gt;SUM($K$30:$M$30),(Nd_Calculations!AE24^2+$K$31^2+$L$31^2+$M$31^2)^0.5,"LLD")</f>
        <v>LLD</v>
      </c>
      <c r="M18" s="12" t="str">
        <f>IF(Nd_Calculations!AD24&gt;SUM($K$30:$M$30),L18/K18,"LLD")</f>
        <v>LLD</v>
      </c>
      <c r="N18" s="13" t="str">
        <f>IF(Nd_Calculations!AG24&gt;SUM($N$30:$P$30),Nd_Calculations!AG24-SUM($N$30:$P$30),"LLD")</f>
        <v>LLD</v>
      </c>
      <c r="O18" t="str">
        <f>IF(Nd_Calculations!AG24&gt;SUM($N$30:$P$30),(Nd_Calculations!AH24^2+$N$31^2+$O$31^2+$P$31^2)^0.5,"LLD")</f>
        <v>LLD</v>
      </c>
      <c r="P18" s="57" t="str">
        <f>IF(Nd_Calculations!AG24&gt;SUM($N$30:$P$30),O18/N18,"LLD")</f>
        <v>LLD</v>
      </c>
      <c r="R18" t="str">
        <f t="shared" si="0"/>
        <v>LLD</v>
      </c>
      <c r="S18" t="str">
        <f t="shared" si="1"/>
        <v>LLD</v>
      </c>
      <c r="T18" t="str">
        <f t="shared" si="2"/>
        <v>LLD</v>
      </c>
      <c r="U18" t="str">
        <f t="shared" si="3"/>
        <v>LLD</v>
      </c>
      <c r="V18" t="str">
        <f t="shared" si="4"/>
        <v>LLD</v>
      </c>
      <c r="X18" t="str">
        <f t="shared" si="5"/>
        <v>LLD</v>
      </c>
      <c r="Y18" t="str">
        <f t="shared" si="6"/>
        <v>LLD</v>
      </c>
      <c r="Z18" s="12" t="str">
        <f t="shared" si="7"/>
        <v>LLD</v>
      </c>
    </row>
    <row r="19" spans="1:28" s="76" customFormat="1" x14ac:dyDescent="0.25">
      <c r="A19" s="76" t="str">
        <f>Nd_Calculations!B25</f>
        <v>86G Trace</v>
      </c>
      <c r="B19" s="76">
        <f>IF(Nd_Calculations!U25&gt;SUM($B$30:$D$30),Nd_Calculations!U25-SUM($B$30:$D$30),"LLD")</f>
        <v>3.565306388031368</v>
      </c>
      <c r="C19" s="76">
        <f>IF(Nd_Calculations!U25&gt;SUM($B$30:$D$30),(Nd_Calculations!V25^2+$B$31^2+$C$31^2+$D$31)^0.5,"LLD")</f>
        <v>0.34640275909018931</v>
      </c>
      <c r="D19" s="77">
        <f>IF(Nd_Calculations!U25&gt;SUM($B$30:$D$30),C19/B19,"LLD")</f>
        <v>9.7159324161607399E-2</v>
      </c>
      <c r="E19" s="59">
        <f>IF(Nd_Calculations!X25&gt;SUM($E$30:$G$30),Nd_Calculations!X25-SUM($E$30:$G$30),"LLD")</f>
        <v>2.5745146430585844</v>
      </c>
      <c r="F19" s="76">
        <f>IF(Nd_Calculations!X25&gt;SUM($E$30:$G$30),(Nd_Calculations!Y25^2+$E$31^2+$F$31^2+$G$31^2)^0.5,"LLD")</f>
        <v>0.23956843340666209</v>
      </c>
      <c r="G19" s="77">
        <f>IF(Nd_Calculations!X25&gt;SUM($E$30:$G$30),F19/E19,"LLD")</f>
        <v>9.3053824359704995E-2</v>
      </c>
      <c r="H19" s="59">
        <f>IF(Nd_Calculations!AA25&gt;SUM($H$30:$J$30),Nd_Calculations!AA25-SUM($H$30:$J$30),"LLD")</f>
        <v>2.3212610449092845</v>
      </c>
      <c r="I19" s="76">
        <f>IF(Nd_Calculations!AA25&gt;SUM($H$30:$J$30),(Nd_Calculations!AB25^2+$H$31^2+$I$31^2+$J$31^2)^0.5,"LLD")</f>
        <v>0.4898376529984399</v>
      </c>
      <c r="J19" s="77">
        <f>IF(Nd_Calculations!AA25&gt;SUM($H$30:$J$30),I19/H19,"LLD")</f>
        <v>0.21102221745920993</v>
      </c>
      <c r="K19" s="59">
        <f>IF(Nd_Calculations!AD25&gt;SUM($K$30:$M$30),Nd_Calculations!AD25-SUM($K$30:$M$30),"LLD")</f>
        <v>1.600517937081037</v>
      </c>
      <c r="L19" s="76">
        <f>IF(Nd_Calculations!AD25&gt;SUM($K$30:$M$30),(Nd_Calculations!AE25^2+$K$31^2+$L$31^2+$M$31^2)^0.5,"LLD")</f>
        <v>0.17003238213843683</v>
      </c>
      <c r="M19" s="77">
        <f>IF(Nd_Calculations!AD25&gt;SUM($K$30:$M$30),L19/K19,"LLD")</f>
        <v>0.10623584915801403</v>
      </c>
      <c r="N19" s="59">
        <f>IF(Nd_Calculations!AG25&gt;SUM($N$30:$P$30),Nd_Calculations!AG25-SUM($N$30:$P$30),"LLD")</f>
        <v>2.1843864652883092</v>
      </c>
      <c r="O19" s="76">
        <f>IF(Nd_Calculations!AG25&gt;SUM($N$30:$P$30),(Nd_Calculations!AH25^2+$N$31^2+$O$31^2+$P$31^2)^0.5,"LLD")</f>
        <v>0.17216671929072766</v>
      </c>
      <c r="P19" s="78">
        <f>IF(Nd_Calculations!AG25&gt;SUM($N$30:$P$30),O19/N19,"LLD")</f>
        <v>7.8816968529423659E-2</v>
      </c>
      <c r="R19" s="76">
        <f t="shared" si="0"/>
        <v>0.11999487150529572</v>
      </c>
      <c r="S19" s="76">
        <f t="shared" si="1"/>
        <v>5.739303428492229E-2</v>
      </c>
      <c r="T19" s="76">
        <f t="shared" si="2"/>
        <v>0.23994092629502001</v>
      </c>
      <c r="U19" s="76">
        <f t="shared" si="3"/>
        <v>2.8911010975671413E-2</v>
      </c>
      <c r="V19" s="76">
        <f t="shared" si="4"/>
        <v>2.9641379231332216E-2</v>
      </c>
      <c r="X19" s="76">
        <f t="shared" si="5"/>
        <v>12.245986478368582</v>
      </c>
      <c r="Y19" s="76">
        <f t="shared" si="6"/>
        <v>0.68984144721250373</v>
      </c>
      <c r="Z19" s="77">
        <f t="shared" si="7"/>
        <v>5.633204384400111E-2</v>
      </c>
    </row>
    <row r="20" spans="1:28" x14ac:dyDescent="0.25">
      <c r="A20" t="str">
        <f>Nd_Calculations!B26</f>
        <v>24G Taper Waste</v>
      </c>
      <c r="B20">
        <f>IF(Nd_Calculations!U26&gt;SUM($B$30:$D$30),Nd_Calculations!U26-SUM($B$30:$D$30),"LLD")</f>
        <v>138.6650086391378</v>
      </c>
      <c r="C20">
        <f>IF(Nd_Calculations!U26&gt;SUM($B$30:$D$30),(Nd_Calculations!V26^2+$B$31^2+$C$31^2+$D$31)^0.5,"LLD")</f>
        <v>1.4646405368473558</v>
      </c>
      <c r="D20" s="12">
        <f>IF(Nd_Calculations!U26&gt;SUM($B$30:$D$30),C20/B20,"LLD")</f>
        <v>1.0562437858125696E-2</v>
      </c>
      <c r="E20" s="13">
        <f>IF(Nd_Calculations!X26&gt;SUM($E$30:$G$30),Nd_Calculations!X26-SUM($E$30:$G$30),"LLD")</f>
        <v>97.877123993316843</v>
      </c>
      <c r="F20">
        <f>IF(Nd_Calculations!X26&gt;SUM($E$30:$G$30),(Nd_Calculations!Y26^2+$E$31^2+$F$31^2+$G$31^2)^0.5,"LLD")</f>
        <v>1.055996990496441</v>
      </c>
      <c r="G20" s="12">
        <f>IF(Nd_Calculations!X26&gt;SUM($E$30:$G$30),F20/E20,"LLD")</f>
        <v>1.0789007149091812E-2</v>
      </c>
      <c r="H20" s="13">
        <f>IF(Nd_Calculations!AA26&gt;SUM($H$30:$J$30),Nd_Calculations!AA26-SUM($H$30:$J$30),"LLD")</f>
        <v>169.70607106606116</v>
      </c>
      <c r="I20">
        <f>IF(Nd_Calculations!AA26&gt;SUM($H$30:$J$30),(Nd_Calculations!AB26^2+$H$31^2+$I$31^2+$J$31^2)^0.5,"LLD")</f>
        <v>1.5856329530622042</v>
      </c>
      <c r="J20" s="12">
        <f>IF(Nd_Calculations!AA26&gt;SUM($H$30:$J$30),I20/H20,"LLD")</f>
        <v>9.3434073578014063E-3</v>
      </c>
      <c r="K20" s="13" t="str">
        <f>IF(Nd_Calculations!AD24&gt;SUM($K$30:$M$30),Nd_Calculations!AD24-SUM($K$30:$M$30),"LLD")</f>
        <v>LLD</v>
      </c>
      <c r="L20">
        <f>IF(Nd_Calculations!AD26&gt;SUM($K$30:$M$30),(Nd_Calculations!AE26^2+$K$31^2+$L$31^2+$M$31^2)^0.5,"LLD")</f>
        <v>1.135593854249914</v>
      </c>
      <c r="M20" s="12" t="e">
        <f>IF(Nd_Calculations!AD26&gt;SUM($K$30:$M$30),L20/K20,"LLD")</f>
        <v>#VALUE!</v>
      </c>
      <c r="N20" s="13">
        <f>IF(Nd_Calculations!AG26&gt;SUM($N$30:$P$30),Nd_Calculations!AG26-SUM($N$30:$P$30),"LLD")</f>
        <v>64.203830436719457</v>
      </c>
      <c r="O20">
        <f>IF(Nd_Calculations!AG26&gt;SUM($N$30:$P$30),(Nd_Calculations!AH26^2+$N$31^2+$O$31^2+$P$31^2)^0.5,"LLD")</f>
        <v>1.0355065175518803</v>
      </c>
      <c r="P20" s="57">
        <f>IF(Nd_Calculations!AG26&gt;SUM($N$30:$P$30),O20/N20,"LLD")</f>
        <v>1.612842272039354E-2</v>
      </c>
      <c r="R20">
        <f t="shared" si="0"/>
        <v>2.1451719021765108</v>
      </c>
      <c r="S20">
        <f t="shared" si="1"/>
        <v>1.1151296439375407</v>
      </c>
      <c r="T20">
        <f t="shared" si="2"/>
        <v>2.5142318618367661</v>
      </c>
      <c r="U20">
        <f t="shared" si="3"/>
        <v>1.289573401810175</v>
      </c>
      <c r="V20">
        <f t="shared" si="4"/>
        <v>1.0722737478924225</v>
      </c>
      <c r="X20">
        <f t="shared" si="5"/>
        <v>470.45203413523524</v>
      </c>
      <c r="Y20">
        <f t="shared" si="6"/>
        <v>2.8524341460677785</v>
      </c>
      <c r="Z20" s="12">
        <f t="shared" si="7"/>
        <v>6.0631774104473813E-3</v>
      </c>
    </row>
    <row r="21" spans="1:28" x14ac:dyDescent="0.25">
      <c r="A21" t="str">
        <f>Nd_Calculations!B27</f>
        <v>24G Trace Original</v>
      </c>
      <c r="B21">
        <f>IF(Nd_Calculations!U27&gt;SUM($B$30:$D$30),Nd_Calculations!U27-SUM($B$30:$D$30),"LLD")</f>
        <v>45.15577484944405</v>
      </c>
      <c r="C21">
        <f>IF(Nd_Calculations!U27&gt;SUM($B$30:$D$30),(Nd_Calculations!V27^2+$B$31^2+$C$31^2+$D$31)^0.5,"LLD")</f>
        <v>0.63818360605175395</v>
      </c>
      <c r="D21" s="12">
        <f>IF(Nd_Calculations!U27&gt;SUM($B$30:$D$30),C21/B21,"LLD")</f>
        <v>1.4132934451452805E-2</v>
      </c>
      <c r="E21" s="13">
        <f>IF(Nd_Calculations!X27&gt;SUM($E$30:$G$30),Nd_Calculations!X27-SUM($E$30:$G$30),"LLD")</f>
        <v>31.510432688598176</v>
      </c>
      <c r="F21">
        <f>IF(Nd_Calculations!X27&gt;SUM($E$30:$G$30),(Nd_Calculations!Y27^2+$E$31^2+$F$31^2+$G$31^2)^0.5,"LLD")</f>
        <v>0.44996209975013735</v>
      </c>
      <c r="G21" s="12">
        <f>IF(Nd_Calculations!X27&gt;SUM($E$30:$G$30),F21/E21,"LLD")</f>
        <v>1.4279781689984629E-2</v>
      </c>
      <c r="H21" s="13">
        <f>IF(Nd_Calculations!AA27&gt;SUM($H$30:$J$30),Nd_Calculations!AA27-SUM($H$30:$J$30),"LLD")</f>
        <v>32.922139213314018</v>
      </c>
      <c r="I21">
        <f>IF(Nd_Calculations!AA27&gt;SUM($H$30:$J$30),(Nd_Calculations!AB27^2+$H$31^2+$I$31^2+$J$31^2)^0.5,"LLD")</f>
        <v>0.6048268146673339</v>
      </c>
      <c r="J21" s="12">
        <f>IF(Nd_Calculations!AA27&gt;SUM($H$30:$J$30),I21/H21,"LLD")</f>
        <v>1.8371431174276073E-2</v>
      </c>
      <c r="K21" s="59">
        <f>IF(Nd_Calculations!AD25&gt;SUM($K$30:$M$30),Nd_Calculations!AD25-SUM($K$30:$M$30),"LLD")</f>
        <v>1.600517937081037</v>
      </c>
      <c r="L21">
        <f>IF(Nd_Calculations!AD27&gt;SUM($K$30:$M$30),(Nd_Calculations!AE27^2+$K$31^2+$L$31^2+$M$31^2)^0.5,"LLD")</f>
        <v>0.40118384923779404</v>
      </c>
      <c r="M21" s="12">
        <f>IF(Nd_Calculations!AD27&gt;SUM($K$30:$M$30),L21/K21,"LLD")</f>
        <v>0.25065876485549277</v>
      </c>
      <c r="N21" s="13">
        <f>IF(Nd_Calculations!AG27&gt;SUM($N$30:$P$30),Nd_Calculations!AG27-SUM($N$30:$P$30),"LLD")</f>
        <v>20.597738597614818</v>
      </c>
      <c r="O21">
        <f>IF(Nd_Calculations!AG27&gt;SUM($N$30:$P$30),(Nd_Calculations!AH27^2+$N$31^2+$O$31^2+$P$31^2)^0.5,"LLD")</f>
        <v>0.38919551268807867</v>
      </c>
      <c r="P21" s="57">
        <f>IF(Nd_Calculations!AG27&gt;SUM($N$30:$P$30),O21/N21,"LLD")</f>
        <v>1.889506029235398E-2</v>
      </c>
      <c r="R21">
        <f t="shared" si="0"/>
        <v>0.40727831503322026</v>
      </c>
      <c r="S21">
        <f t="shared" si="1"/>
        <v>0.20246589121155256</v>
      </c>
      <c r="T21">
        <f t="shared" si="2"/>
        <v>0.36581547574063344</v>
      </c>
      <c r="U21">
        <f t="shared" si="3"/>
        <v>0.16094848088925306</v>
      </c>
      <c r="V21">
        <f t="shared" si="4"/>
        <v>0.15147314709653639</v>
      </c>
      <c r="X21">
        <f t="shared" si="5"/>
        <v>131.7866032860521</v>
      </c>
      <c r="Y21">
        <f t="shared" si="6"/>
        <v>1.1348926424870309</v>
      </c>
      <c r="Z21" s="12">
        <f t="shared" si="7"/>
        <v>8.6115933956023329E-3</v>
      </c>
    </row>
    <row r="22" spans="1:28" x14ac:dyDescent="0.25">
      <c r="A22" t="str">
        <f>Nd_Calculations!B28</f>
        <v>53G</v>
      </c>
      <c r="B22">
        <f>IF(Nd_Calculations!U28&gt;SUM($B$30:$D$30),Nd_Calculations!U28-SUM($B$30:$D$30),"LLD")</f>
        <v>13.377860279939384</v>
      </c>
      <c r="C22">
        <f>IF(Nd_Calculations!U28&gt;SUM($B$30:$D$30),(Nd_Calculations!V28^2+$B$31^2+$C$31^2+$D$31)^0.5,"LLD")</f>
        <v>0.45348485075609818</v>
      </c>
      <c r="D22" s="12">
        <f>IF(Nd_Calculations!U28&gt;SUM($B$30:$D$30),C22/B22,"LLD")</f>
        <v>3.389816018904878E-2</v>
      </c>
      <c r="E22" s="13">
        <f>IF(Nd_Calculations!X28&gt;SUM($E$30:$G$30),Nd_Calculations!X28-SUM($E$30:$G$30),"LLD")</f>
        <v>9.468591324736817</v>
      </c>
      <c r="F22">
        <f>IF(Nd_Calculations!X28&gt;SUM($E$30:$G$30),(Nd_Calculations!Y28^2+$E$31^2+$F$31^2+$G$31^2)^0.5,"LLD")</f>
        <v>0.31761162469762472</v>
      </c>
      <c r="G22" s="12">
        <f>IF(Nd_Calculations!X28&gt;SUM($E$30:$G$30),F22/E22,"LLD")</f>
        <v>3.3543704000389189E-2</v>
      </c>
      <c r="H22" s="13">
        <f>IF(Nd_Calculations!AA28&gt;SUM($H$30:$J$30),Nd_Calculations!AA28-SUM($H$30:$J$30),"LLD")</f>
        <v>18.296577790239947</v>
      </c>
      <c r="I22">
        <f>IF(Nd_Calculations!AA28&gt;SUM($H$30:$J$30),(Nd_Calculations!AB28^2+$H$31^2+$I$31^2+$J$31^2)^0.5,"LLD")</f>
        <v>0.6311852527461701</v>
      </c>
      <c r="J22" s="12">
        <f>IF(Nd_Calculations!AA28&gt;SUM($H$30:$J$30),I22/H22,"LLD")</f>
        <v>3.4497448647629998E-2</v>
      </c>
      <c r="K22" s="13">
        <f>IF(Nd_Calculations!AD26&gt;SUM($K$30:$M$30),Nd_Calculations!AD26-SUM($K$30:$M$30),"LLD")</f>
        <v>65.874777594722019</v>
      </c>
      <c r="L22">
        <f>IF(Nd_Calculations!AD28&gt;SUM($K$30:$M$30),(Nd_Calculations!AE28^2+$K$31^2+$L$31^2+$M$31^2)^0.5,"LLD")</f>
        <v>0.24524959558589049</v>
      </c>
      <c r="M22" s="12">
        <f>IF(Nd_Calculations!AD28&gt;SUM($K$30:$M$30),L22/K22,"LLD")</f>
        <v>3.7229665820616028E-3</v>
      </c>
      <c r="N22" s="13">
        <f>IF(Nd_Calculations!AG28&gt;SUM($N$30:$P$30),Nd_Calculations!AG28-SUM($N$30:$P$30),"LLD")</f>
        <v>6.5329644733944203</v>
      </c>
      <c r="O22">
        <f>IF(Nd_Calculations!AG28&gt;SUM($N$30:$P$30),(Nd_Calculations!AH28^2+$N$31^2+$O$31^2+$P$31^2)^0.5,"LLD")</f>
        <v>0.23547288238391378</v>
      </c>
      <c r="P22" s="57">
        <f>IF(Nd_Calculations!AG28&gt;SUM($N$30:$P$30),O22/N22,"LLD")</f>
        <v>3.6043802678382843E-2</v>
      </c>
      <c r="R22">
        <f t="shared" si="0"/>
        <v>0.20564850986528063</v>
      </c>
      <c r="S22">
        <f t="shared" si="1"/>
        <v>0.10087714414306481</v>
      </c>
      <c r="T22">
        <f t="shared" si="2"/>
        <v>0.39839482328424664</v>
      </c>
      <c r="U22">
        <f t="shared" si="3"/>
        <v>6.0147364135042833E-2</v>
      </c>
      <c r="V22">
        <f t="shared" si="4"/>
        <v>5.5447478338188493E-2</v>
      </c>
      <c r="X22">
        <f t="shared" si="5"/>
        <v>113.55077146303258</v>
      </c>
      <c r="Y22">
        <f t="shared" si="6"/>
        <v>0.90582300686493022</v>
      </c>
      <c r="Z22" s="12">
        <f t="shared" si="7"/>
        <v>7.9772510146250194E-3</v>
      </c>
    </row>
    <row r="23" spans="1:28" x14ac:dyDescent="0.25">
      <c r="A23" t="str">
        <f>Nd_Calculations!B29</f>
        <v>94G</v>
      </c>
      <c r="B23">
        <f>IF(Nd_Calculations!U29&gt;SUM($B$30:$D$30),Nd_Calculations!U29-SUM($B$30:$D$30),"LLD")</f>
        <v>4.5470510991757491</v>
      </c>
      <c r="C23">
        <f>IF(Nd_Calculations!U29&gt;SUM($B$30:$D$30),(Nd_Calculations!V29^2+$B$31^2+$C$31^2+$D$31)^0.5,"LLD")</f>
        <v>0.38209744647933669</v>
      </c>
      <c r="D23" s="12">
        <f>IF(Nd_Calculations!U29&gt;SUM($B$30:$D$30),C23/B23,"LLD")</f>
        <v>8.4031922700098988E-2</v>
      </c>
      <c r="E23" s="13">
        <f>IF(Nd_Calculations!X29&gt;SUM($E$30:$G$30),Nd_Calculations!X29-SUM($E$30:$G$30),"LLD")</f>
        <v>3.0916431519825598</v>
      </c>
      <c r="F23">
        <f>IF(Nd_Calculations!X29&gt;SUM($E$30:$G$30),(Nd_Calculations!Y29^2+$E$31^2+$F$31^2+$G$31^2)^0.5,"LLD")</f>
        <v>0.26322663706403032</v>
      </c>
      <c r="G23" s="12">
        <f>IF(Nd_Calculations!X29&gt;SUM($E$30:$G$30),F23/E23,"LLD")</f>
        <v>8.5141338804005415E-2</v>
      </c>
      <c r="H23" s="13">
        <f>IF(Nd_Calculations!AA29&gt;SUM($H$30:$J$30),Nd_Calculations!AA29-SUM($H$30:$J$30),"LLD")</f>
        <v>6.6590109921353919</v>
      </c>
      <c r="I23">
        <f>IF(Nd_Calculations!AA29&gt;SUM($H$30:$J$30),(Nd_Calculations!AB29^2+$H$31^2+$I$31^2+$J$31^2)^0.5,"LLD")</f>
        <v>0.55055767985182247</v>
      </c>
      <c r="J23" s="12">
        <f>IF(Nd_Calculations!AA29&gt;SUM($H$30:$J$30),I23/H23,"LLD")</f>
        <v>8.2678596041072347E-2</v>
      </c>
      <c r="K23" s="13">
        <f>IF(Nd_Calculations!AD27&gt;SUM($K$30:$M$30),Nd_Calculations!AD27-SUM($K$30:$M$30),"LLD")</f>
        <v>20.076624202472662</v>
      </c>
      <c r="L23">
        <f>IF(Nd_Calculations!AD29&gt;SUM($K$30:$M$30),(Nd_Calculations!AE29^2+$K$31^2+$L$31^2+$M$31^2)^0.5,"LLD")</f>
        <v>0.18633698179300998</v>
      </c>
      <c r="M23" s="12">
        <f>IF(Nd_Calculations!AD29&gt;SUM($K$30:$M$30),L23/K23,"LLD")</f>
        <v>9.2812905154672602E-3</v>
      </c>
      <c r="N23" s="13">
        <f>IF(Nd_Calculations!AG29&gt;SUM($N$30:$P$30),Nd_Calculations!AG29-SUM($N$30:$P$30),"LLD")</f>
        <v>2.1435634183482279</v>
      </c>
      <c r="O23">
        <f>IF(Nd_Calculations!AG29&gt;SUM($N$30:$P$30),(Nd_Calculations!AH29^2+$N$31^2+$O$31^2+$P$31^2)^0.5,"LLD")</f>
        <v>0.18649851943119122</v>
      </c>
      <c r="P23" s="57">
        <f>IF(Nd_Calculations!AG29&gt;SUM($N$30:$P$30),O23/N23,"LLD")</f>
        <v>8.7003966309007988E-2</v>
      </c>
      <c r="R23">
        <f t="shared" si="0"/>
        <v>0.14599845860602956</v>
      </c>
      <c r="S23">
        <f t="shared" si="1"/>
        <v>6.9288262460038746E-2</v>
      </c>
      <c r="T23">
        <f t="shared" si="2"/>
        <v>0.30311375884382186</v>
      </c>
      <c r="U23">
        <f t="shared" si="3"/>
        <v>3.4721470783728531E-2</v>
      </c>
      <c r="V23">
        <f t="shared" si="4"/>
        <v>3.4781697750026409E-2</v>
      </c>
      <c r="X23">
        <f t="shared" si="5"/>
        <v>36.517892864114593</v>
      </c>
      <c r="Y23">
        <f t="shared" si="6"/>
        <v>0.76674875183703106</v>
      </c>
      <c r="Z23" s="12">
        <f t="shared" si="7"/>
        <v>2.0996522299086426E-2</v>
      </c>
    </row>
    <row r="24" spans="1:28" x14ac:dyDescent="0.25">
      <c r="A24" t="str">
        <f>Nd_Calculations!B30</f>
        <v>47G</v>
      </c>
      <c r="B24">
        <f>IF(Nd_Calculations!U30&gt;SUM($B$30:$D$30),Nd_Calculations!U30-SUM($B$30:$D$30),"LLD")</f>
        <v>0.59654762197072431</v>
      </c>
      <c r="C24">
        <f>IF(Nd_Calculations!U30&gt;SUM($B$30:$D$30),(Nd_Calculations!V30^2+$B$31^2+$C$31^2+$D$31)^0.5,"LLD")</f>
        <v>0.33810009181151546</v>
      </c>
      <c r="D24" s="12">
        <f>IF(Nd_Calculations!U30&gt;SUM($B$30:$D$30),C24/B24,"LLD")</f>
        <v>0.56676127665145193</v>
      </c>
      <c r="E24" s="13">
        <f>IF(Nd_Calculations!X30&gt;SUM($E$30:$G$30),Nd_Calculations!X30-SUM($E$30:$G$30),"LLD")</f>
        <v>0.42080032514627275</v>
      </c>
      <c r="F24">
        <f>IF(Nd_Calculations!X30&gt;SUM($E$30:$G$30),(Nd_Calculations!Y30^2+$E$31^2+$F$31^2+$G$31^2)^0.5,"LLD")</f>
        <v>0.23307547625866765</v>
      </c>
      <c r="G24" s="12">
        <f>IF(Nd_Calculations!X30&gt;SUM($E$30:$G$30),F24/E24,"LLD")</f>
        <v>0.55388616008708924</v>
      </c>
      <c r="H24" s="13">
        <f>IF(Nd_Calculations!AA30&gt;SUM($H$30:$J$30),Nd_Calculations!AA30-SUM($H$30:$J$30),"LLD")</f>
        <v>0.80325465471536561</v>
      </c>
      <c r="I24">
        <f>IF(Nd_Calculations!AA30&gt;SUM($H$30:$J$30),(Nd_Calculations!AB30^2+$H$31^2+$I$31^2+$J$31^2)^0.5,"LLD")</f>
        <v>0.48709232412487907</v>
      </c>
      <c r="J24" s="12">
        <f>IF(Nd_Calculations!AA30&gt;SUM($H$30:$J$30),I24/H24,"LLD")</f>
        <v>0.60639838345845742</v>
      </c>
      <c r="K24" s="13">
        <f>IF(Nd_Calculations!AD28&gt;SUM($K$30:$M$30),Nd_Calculations!AD28-SUM($K$30:$M$30),"LLD")</f>
        <v>6.8135639038956626</v>
      </c>
      <c r="L24">
        <f>IF(Nd_Calculations!AD30&gt;SUM($K$30:$M$30),(Nd_Calculations!AE30^2+$K$31^2+$L$31^2+$M$31^2)^0.5,"LLD")</f>
        <v>0.16467100542687912</v>
      </c>
      <c r="M24" s="12">
        <f>IF(Nd_Calculations!AD30&gt;SUM($K$30:$M$30),L24/K24,"LLD")</f>
        <v>2.416811638513118E-2</v>
      </c>
      <c r="N24" s="13">
        <f>IF(Nd_Calculations!AG30&gt;SUM($N$30:$P$30),Nd_Calculations!AG30-SUM($N$30:$P$30),"LLD")</f>
        <v>0.28887386113061814</v>
      </c>
      <c r="O24">
        <f>IF(Nd_Calculations!AG30&gt;SUM($N$30:$P$30),(Nd_Calculations!AH30^2+$N$31^2+$O$31^2+$P$31^2)^0.5,"LLD")</f>
        <v>0.16337914463649847</v>
      </c>
      <c r="P24" s="57">
        <f>IF(Nd_Calculations!AG30&gt;SUM($N$30:$P$30),O24/N24,"LLD")</f>
        <v>0.56557261358660771</v>
      </c>
      <c r="R24">
        <f t="shared" si="0"/>
        <v>0.11431167208295519</v>
      </c>
      <c r="S24">
        <f t="shared" si="1"/>
        <v>5.4324177633204747E-2</v>
      </c>
      <c r="T24">
        <f t="shared" si="2"/>
        <v>0.23725893222137626</v>
      </c>
      <c r="U24">
        <f t="shared" si="3"/>
        <v>2.7116540028299253E-2</v>
      </c>
      <c r="V24">
        <f t="shared" si="4"/>
        <v>2.6692744902153887E-2</v>
      </c>
      <c r="X24">
        <f t="shared" si="5"/>
        <v>8.9230403668586433</v>
      </c>
      <c r="Y24">
        <f t="shared" si="6"/>
        <v>0.67801479841371415</v>
      </c>
      <c r="Z24" s="12">
        <f t="shared" si="7"/>
        <v>7.5984728359175774E-2</v>
      </c>
    </row>
    <row r="25" spans="1:28" x14ac:dyDescent="0.25">
      <c r="A25" t="str">
        <f>Nd_Calculations!B31</f>
        <v>48G</v>
      </c>
      <c r="B25" t="str">
        <f>IF(Nd_Calculations!U31&gt;SUM($B$30:$D$30),Nd_Calculations!U31-SUM($B$30:$D$30),"LLD")</f>
        <v>LLD</v>
      </c>
      <c r="C25" t="str">
        <f>IF(Nd_Calculations!U31&gt;SUM($B$30:$D$30),(Nd_Calculations!V31^2+$B$31^2+$C$31^2+$D$31)^0.5,"LLD")</f>
        <v>LLD</v>
      </c>
      <c r="D25" s="12" t="str">
        <f>IF(Nd_Calculations!U31&gt;SUM($B$30:$D$30),C25/B25,"LLD")</f>
        <v>LLD</v>
      </c>
      <c r="E25" s="13" t="str">
        <f>IF(Nd_Calculations!X31&gt;SUM($E$30:$G$30),Nd_Calculations!X31-SUM($E$30:$G$30),"LLD")</f>
        <v>LLD</v>
      </c>
      <c r="F25" t="str">
        <f>IF(Nd_Calculations!X31&gt;SUM($E$30:$G$30),(Nd_Calculations!Y31^2+$E$31^2+$F$31^2+$G$31^2)^0.5,"LLD")</f>
        <v>LLD</v>
      </c>
      <c r="G25" s="12" t="str">
        <f>IF(Nd_Calculations!X31&gt;SUM($E$30:$G$30),F25/E25,"LLD")</f>
        <v>LLD</v>
      </c>
      <c r="H25" s="13" t="str">
        <f>IF(Nd_Calculations!AA31&gt;SUM($H$30:$J$30),Nd_Calculations!AA31-SUM($H$30:$J$30),"LLD")</f>
        <v>LLD</v>
      </c>
      <c r="I25" t="str">
        <f>IF(Nd_Calculations!AA31&gt;SUM($H$30:$J$30),(Nd_Calculations!AB31^2+$H$31^2+$I$31^2+$J$31^2)^0.5,"LLD")</f>
        <v>LLD</v>
      </c>
      <c r="J25" s="12" t="str">
        <f>IF(Nd_Calculations!AA31&gt;SUM($H$30:$J$30),I25/H25,"LLD")</f>
        <v>LLD</v>
      </c>
      <c r="K25" s="13">
        <f>IF(Nd_Calculations!AD29&gt;SUM($K$30:$M$30),Nd_Calculations!AD29-SUM($K$30:$M$30),"LLD")</f>
        <v>2.0421469676876711</v>
      </c>
      <c r="L25" t="str">
        <f>IF(Nd_Calculations!AD31&gt;SUM($K$30:$M$30),(Nd_Calculations!AE31^2+$K$31^2+$L$31^2+$M$31^2)^0.5,"LLD")</f>
        <v>LLD</v>
      </c>
      <c r="M25" s="12" t="str">
        <f>IF(Nd_Calculations!AD31&gt;SUM($K$30:$M$30),L25/K25,"LLD")</f>
        <v>LLD</v>
      </c>
      <c r="N25" s="13" t="str">
        <f>IF(Nd_Calculations!AG31&gt;SUM($N$30:$P$30),Nd_Calculations!AG31-SUM($N$30:$P$30),"LLD")</f>
        <v>LLD</v>
      </c>
      <c r="O25" t="str">
        <f>IF(Nd_Calculations!AG31&gt;SUM($N$30:$P$30),(Nd_Calculations!AH31^2+$N$31^2+$O$31^2+$P$31^2)^0.5,"LLD")</f>
        <v>LLD</v>
      </c>
      <c r="P25" s="57" t="str">
        <f>IF(Nd_Calculations!AG31&gt;SUM($N$30:$P$30),O25/N25,"LLD")</f>
        <v>LLD</v>
      </c>
      <c r="R25" t="str">
        <f t="shared" si="0"/>
        <v>LLD</v>
      </c>
      <c r="S25" t="str">
        <f t="shared" si="1"/>
        <v>LLD</v>
      </c>
      <c r="T25" t="str">
        <f t="shared" si="2"/>
        <v>LLD</v>
      </c>
      <c r="U25" t="str">
        <f t="shared" si="3"/>
        <v>LLD</v>
      </c>
      <c r="V25" t="str">
        <f t="shared" si="4"/>
        <v>LLD</v>
      </c>
      <c r="X25">
        <f t="shared" si="5"/>
        <v>2.0421469676876711</v>
      </c>
      <c r="Y25">
        <f t="shared" si="6"/>
        <v>0</v>
      </c>
      <c r="Z25" s="12">
        <f t="shared" si="7"/>
        <v>0</v>
      </c>
    </row>
    <row r="26" spans="1:28" x14ac:dyDescent="0.25">
      <c r="A26" t="str">
        <f>Nd_Calculations!B32</f>
        <v>49G</v>
      </c>
      <c r="B26" t="str">
        <f>IF(Nd_Calculations!U32&gt;SUM($B$30:$D$30),Nd_Calculations!U32-SUM($B$30:$D$30),"LLD")</f>
        <v>LLD</v>
      </c>
      <c r="C26" t="str">
        <f>IF(Nd_Calculations!U32&gt;SUM($B$30:$D$30),(Nd_Calculations!V32^2+$B$31^2+$C$31^2+$D$31)^0.5,"LLD")</f>
        <v>LLD</v>
      </c>
      <c r="D26" s="12" t="str">
        <f>IF(Nd_Calculations!U32&gt;SUM($B$30:$D$30),C26/B26,"LLD")</f>
        <v>LLD</v>
      </c>
      <c r="E26" s="13" t="str">
        <f>IF(Nd_Calculations!X32&gt;SUM($E$30:$G$30),Nd_Calculations!X32-SUM($E$30:$G$30),"LLD")</f>
        <v>LLD</v>
      </c>
      <c r="F26" t="str">
        <f>IF(Nd_Calculations!X32&gt;SUM($E$30:$G$30),(Nd_Calculations!Y32^2+$E$31^2+$F$31^2+$G$31^2)^0.5,"LLD")</f>
        <v>LLD</v>
      </c>
      <c r="G26" s="12" t="str">
        <f>IF(Nd_Calculations!X32&gt;SUM($E$30:$G$30),F26/E26,"LLD")</f>
        <v>LLD</v>
      </c>
      <c r="H26" s="13" t="str">
        <f>IF(Nd_Calculations!AA32&gt;SUM($H$30:$J$30),Nd_Calculations!AA32-SUM($H$30:$J$30),"LLD")</f>
        <v>LLD</v>
      </c>
      <c r="I26" t="str">
        <f>IF(Nd_Calculations!AA32&gt;SUM($H$30:$J$30),(Nd_Calculations!AB32^2+$H$31^2+$I$31^2+$J$31^2)^0.5,"LLD")</f>
        <v>LLD</v>
      </c>
      <c r="J26" s="12" t="str">
        <f>IF(Nd_Calculations!AA32&gt;SUM($H$30:$J$30),I26/H26,"LLD")</f>
        <v>LLD</v>
      </c>
      <c r="K26" s="13">
        <f>IF(Nd_Calculations!AD30&gt;SUM($K$30:$M$30),Nd_Calculations!AD30-SUM($K$30:$M$30),"LLD")</f>
        <v>0.29521082860497661</v>
      </c>
      <c r="L26" t="str">
        <f>IF(Nd_Calculations!AD32&gt;SUM($K$30:$M$30),(Nd_Calculations!AE32^2+$K$31^2+$L$31^2+$M$31^2)^0.5,"LLD")</f>
        <v>LLD</v>
      </c>
      <c r="M26" s="12" t="str">
        <f>IF(Nd_Calculations!AD32&gt;SUM($K$30:$M$30),L26/K26,"LLD")</f>
        <v>LLD</v>
      </c>
      <c r="N26" s="13" t="str">
        <f>IF(Nd_Calculations!AG32&gt;SUM($N$30:$P$30),Nd_Calculations!AG32-SUM($N$30:$P$30),"LLD")</f>
        <v>LLD</v>
      </c>
      <c r="O26" t="str">
        <f>IF(Nd_Calculations!AG32&gt;SUM($N$30:$P$30),(Nd_Calculations!AH32^2+$N$31^2+$O$31^2+$P$31^2)^0.5,"LLD")</f>
        <v>LLD</v>
      </c>
      <c r="P26" s="57" t="str">
        <f>IF(Nd_Calculations!AG32&gt;SUM($N$30:$P$30),O26/N26,"LLD")</f>
        <v>LLD</v>
      </c>
      <c r="R26" t="str">
        <f t="shared" si="0"/>
        <v>LLD</v>
      </c>
      <c r="S26" t="str">
        <f t="shared" si="1"/>
        <v>LLD</v>
      </c>
      <c r="T26" t="str">
        <f t="shared" si="2"/>
        <v>LLD</v>
      </c>
      <c r="U26" t="str">
        <f t="shared" si="3"/>
        <v>LLD</v>
      </c>
      <c r="V26" t="str">
        <f t="shared" si="4"/>
        <v>LLD</v>
      </c>
      <c r="X26">
        <f t="shared" si="5"/>
        <v>0.29521082860497661</v>
      </c>
      <c r="Y26">
        <f t="shared" si="6"/>
        <v>0</v>
      </c>
      <c r="Z26" s="12">
        <f t="shared" si="7"/>
        <v>0</v>
      </c>
    </row>
    <row r="27" spans="1:28" x14ac:dyDescent="0.25">
      <c r="A27" t="str">
        <f>Nd_Calculations!B33</f>
        <v>50G</v>
      </c>
      <c r="B27" t="str">
        <f>IF(Nd_Calculations!U33&gt;SUM($B$30:$D$30),Nd_Calculations!U33-SUM($B$30:$D$30),"LLD")</f>
        <v>LLD</v>
      </c>
      <c r="C27" t="str">
        <f>IF(Nd_Calculations!U33&gt;SUM($B$30:$D$30),(Nd_Calculations!V33^2+$B$31^2+$C$31^2+$D$31)^0.5,"LLD")</f>
        <v>LLD</v>
      </c>
      <c r="D27" s="12" t="str">
        <f>IF(Nd_Calculations!U33&gt;SUM($B$30:$D$30),C27/B27,"LLD")</f>
        <v>LLD</v>
      </c>
      <c r="E27" s="13" t="str">
        <f>IF(Nd_Calculations!X33&gt;SUM($E$30:$G$30),Nd_Calculations!X33-SUM($E$30:$G$30),"LLD")</f>
        <v>LLD</v>
      </c>
      <c r="F27" t="str">
        <f>IF(Nd_Calculations!X33&gt;SUM($E$30:$G$30),(Nd_Calculations!Y33^2+$E$31^2+$F$31^2+$G$31^2)^0.5,"LLD")</f>
        <v>LLD</v>
      </c>
      <c r="G27" s="12" t="str">
        <f>IF(Nd_Calculations!X33&gt;SUM($E$30:$G$30),F27/E27,"LLD")</f>
        <v>LLD</v>
      </c>
      <c r="H27" s="13" t="str">
        <f>IF(Nd_Calculations!AA33&gt;SUM($H$30:$J$30),Nd_Calculations!AA33-SUM($H$30:$J$30),"LLD")</f>
        <v>LLD</v>
      </c>
      <c r="I27" t="str">
        <f>IF(Nd_Calculations!AA33&gt;SUM($H$30:$J$30),(Nd_Calculations!AB33^2+$H$31^2+$I$31^2+$J$31^2)^0.5,"LLD")</f>
        <v>LLD</v>
      </c>
      <c r="J27" s="12" t="str">
        <f>IF(Nd_Calculations!AA33&gt;SUM($H$30:$J$30),I27/H27,"LLD")</f>
        <v>LLD</v>
      </c>
      <c r="K27" s="13" t="str">
        <f>IF(Nd_Calculations!AD31&gt;SUM($K$30:$M$30),Nd_Calculations!AD31-SUM($K$30:$M$30),"LLD")</f>
        <v>LLD</v>
      </c>
      <c r="L27" t="str">
        <f>IF(Nd_Calculations!AD33&gt;SUM($K$30:$M$30),(Nd_Calculations!AE33^2+$K$31^2+$L$31^2+$M$31^2)^0.5,"LLD")</f>
        <v>LLD</v>
      </c>
      <c r="M27" s="12" t="str">
        <f>IF(Nd_Calculations!AD33&gt;SUM($K$30:$M$30),L27/K27,"LLD")</f>
        <v>LLD</v>
      </c>
      <c r="N27" s="13" t="str">
        <f>IF(Nd_Calculations!AG33&gt;SUM($N$30:$P$30),Nd_Calculations!AG33-SUM($N$30:$P$30),"LLD")</f>
        <v>LLD</v>
      </c>
      <c r="O27" t="str">
        <f>IF(Nd_Calculations!AG33&gt;SUM($N$30:$P$30),(Nd_Calculations!AH33^2+$N$31^2+$O$31^2+$P$31^2)^0.5,"LLD")</f>
        <v>LLD</v>
      </c>
      <c r="P27" s="57" t="str">
        <f>IF(Nd_Calculations!AG33&gt;SUM($N$30:$P$30),O27/N27,"LLD")</f>
        <v>LLD</v>
      </c>
      <c r="R27" t="str">
        <f t="shared" si="0"/>
        <v>LLD</v>
      </c>
      <c r="S27" t="str">
        <f t="shared" si="1"/>
        <v>LLD</v>
      </c>
      <c r="T27" t="str">
        <f t="shared" si="2"/>
        <v>LLD</v>
      </c>
      <c r="U27" t="str">
        <f t="shared" si="3"/>
        <v>LLD</v>
      </c>
      <c r="V27" t="str">
        <f t="shared" si="4"/>
        <v>LLD</v>
      </c>
      <c r="X27" t="str">
        <f t="shared" si="5"/>
        <v>LLD</v>
      </c>
      <c r="Y27" t="str">
        <f t="shared" si="6"/>
        <v>LLD</v>
      </c>
      <c r="Z27" s="12" t="str">
        <f t="shared" si="7"/>
        <v>LLD</v>
      </c>
      <c r="AB27" t="s">
        <v>49</v>
      </c>
    </row>
    <row r="28" spans="1:28" x14ac:dyDescent="0.25">
      <c r="A28" t="str">
        <f>Nd_Calculations!B34</f>
        <v>51G</v>
      </c>
      <c r="B28" t="str">
        <f>IF(Nd_Calculations!U34&gt;SUM($B$30:$D$30),Nd_Calculations!U34-SUM($B$30:$D$30),"LLD")</f>
        <v>LLD</v>
      </c>
      <c r="C28" t="str">
        <f>IF(Nd_Calculations!U34&gt;SUM($B$30:$D$30),(Nd_Calculations!V34^2+$B$31^2+$C$31^2+$D$31)^0.5,"LLD")</f>
        <v>LLD</v>
      </c>
      <c r="D28" s="12" t="str">
        <f>IF(Nd_Calculations!U34&gt;SUM($B$30:$D$30),C28/B28,"LLD")</f>
        <v>LLD</v>
      </c>
      <c r="E28" s="13" t="str">
        <f>IF(Nd_Calculations!X34&gt;SUM($E$30:$G$30),Nd_Calculations!X34-SUM($E$30:$G$30),"LLD")</f>
        <v>LLD</v>
      </c>
      <c r="F28" t="str">
        <f>IF(Nd_Calculations!X34&gt;SUM($E$30:$G$30),(Nd_Calculations!Y34^2+$E$31^2+$F$31^2+$G$31^2)^0.5,"LLD")</f>
        <v>LLD</v>
      </c>
      <c r="G28" s="12" t="str">
        <f>IF(Nd_Calculations!X34&gt;SUM($E$30:$G$30),F28/E28,"LLD")</f>
        <v>LLD</v>
      </c>
      <c r="H28" s="13" t="str">
        <f>IF(Nd_Calculations!AA34&gt;SUM($H$30:$J$30),Nd_Calculations!AA34-SUM($H$30:$J$30),"LLD")</f>
        <v>LLD</v>
      </c>
      <c r="I28" t="str">
        <f>IF(Nd_Calculations!AA34&gt;SUM($H$30:$J$30),(Nd_Calculations!AB34^2+$H$31^2+$I$31^2+$J$31^2)^0.5,"LLD")</f>
        <v>LLD</v>
      </c>
      <c r="J28" s="12" t="str">
        <f>IF(Nd_Calculations!AA34&gt;SUM($H$30:$J$30),I28/H28,"LLD")</f>
        <v>LLD</v>
      </c>
      <c r="K28" s="13" t="str">
        <f>IF(Nd_Calculations!AD32&gt;SUM($K$30:$M$30),Nd_Calculations!AD32-SUM($K$30:$M$30),"LLD")</f>
        <v>LLD</v>
      </c>
      <c r="L28" t="str">
        <f>IF(Nd_Calculations!AD34&gt;SUM($K$30:$M$30),(Nd_Calculations!AE34^2+$K$31^2+$L$31^2+$M$31^2)^0.5,"LLD")</f>
        <v>LLD</v>
      </c>
      <c r="M28" s="12" t="str">
        <f>IF(Nd_Calculations!AD34&gt;SUM($K$30:$M$30),L28/K28,"LLD")</f>
        <v>LLD</v>
      </c>
      <c r="N28" s="13" t="str">
        <f>IF(Nd_Calculations!AG34&gt;SUM($N$30:$P$30),Nd_Calculations!AG34-SUM($N$30:$P$30),"LLD")</f>
        <v>LLD</v>
      </c>
      <c r="O28" t="str">
        <f>IF(Nd_Calculations!AG34&gt;SUM($N$30:$P$30),(Nd_Calculations!AH34^2+$N$31^2+$O$31^2+$P$31^2)^0.5,"LLD")</f>
        <v>LLD</v>
      </c>
      <c r="P28" s="57" t="str">
        <f>IF(Nd_Calculations!AG34&gt;SUM($N$30:$P$30),O28/N28,"LLD")</f>
        <v>LLD</v>
      </c>
      <c r="R28" t="str">
        <f t="shared" si="0"/>
        <v>LLD</v>
      </c>
      <c r="S28" t="str">
        <f t="shared" si="1"/>
        <v>LLD</v>
      </c>
      <c r="T28" t="str">
        <f t="shared" si="2"/>
        <v>LLD</v>
      </c>
      <c r="U28" t="str">
        <f t="shared" si="3"/>
        <v>LLD</v>
      </c>
      <c r="V28" t="str">
        <f t="shared" si="4"/>
        <v>LLD</v>
      </c>
      <c r="X28" t="str">
        <f t="shared" si="5"/>
        <v>LLD</v>
      </c>
      <c r="Y28" t="str">
        <f t="shared" si="6"/>
        <v>LLD</v>
      </c>
      <c r="Z28" s="12" t="str">
        <f t="shared" si="7"/>
        <v>LLD</v>
      </c>
      <c r="AB28" t="s">
        <v>50</v>
      </c>
    </row>
    <row r="29" spans="1:28" ht="15.75" thickBot="1" x14ac:dyDescent="0.3">
      <c r="A29" s="52" t="str">
        <f>Nd_Calculations!B35</f>
        <v>52G</v>
      </c>
      <c r="B29" s="52">
        <f>IF(Nd_Calculations!U35&gt;SUM($B$30:$D$30),Nd_Calculations!U35-SUM($B$30:$D$30),"LLD")</f>
        <v>0.56385957159585343</v>
      </c>
      <c r="C29" s="52">
        <f>IF(Nd_Calculations!U35&gt;SUM($B$30:$D$30),(Nd_Calculations!V35^2+$B$31^2+$C$31^2+$D$31)^0.5,"LLD")</f>
        <v>0.3380927505885028</v>
      </c>
      <c r="D29" s="53">
        <f>IF(Nd_Calculations!U35&gt;SUM($B$30:$D$30),C29/B29,"LLD")</f>
        <v>0.5996045249912525</v>
      </c>
      <c r="E29" s="54">
        <f>IF(Nd_Calculations!X35&gt;SUM($E$30:$G$30),Nd_Calculations!X35-SUM($E$30:$G$30),"LLD")</f>
        <v>0.39775731794422575</v>
      </c>
      <c r="F29" s="52">
        <f>IF(Nd_Calculations!X35&gt;SUM($E$30:$G$30),(Nd_Calculations!Y35^2+$E$31^2+$F$31^2+$G$31^2)^0.5,"LLD")</f>
        <v>0.23306991717626771</v>
      </c>
      <c r="G29" s="53">
        <f>IF(Nd_Calculations!X35&gt;SUM($E$30:$G$30),F29/E29,"LLD")</f>
        <v>0.58596009843607499</v>
      </c>
      <c r="H29" s="54">
        <f>IF(Nd_Calculations!AA35&gt;SUM($H$30:$J$30),Nd_Calculations!AA35-SUM($H$30:$J$30),"LLD")</f>
        <v>0.7419612543986267</v>
      </c>
      <c r="I29" s="52">
        <f>IF(Nd_Calculations!AA35&gt;SUM($H$30:$J$30),(Nd_Calculations!AB35^2+$H$31^2+$I$31^2+$J$31^2)^0.5,"LLD")</f>
        <v>0.4870831553206994</v>
      </c>
      <c r="J29" s="53">
        <f>IF(Nd_Calculations!AA35&gt;SUM($H$30:$J$30),I29/H29,"LLD")</f>
        <v>0.6564805809374632</v>
      </c>
      <c r="K29" s="54" t="str">
        <f>IF(Nd_Calculations!AD33&gt;SUM($K$30:$M$30),Nd_Calculations!AD33-SUM($K$30:$M$30),"LLD")</f>
        <v>LLD</v>
      </c>
      <c r="L29" s="52">
        <f>IF(Nd_Calculations!AD35&gt;SUM($K$30:$M$30),(Nd_Calculations!AE35^2+$K$31^2+$L$31^2+$M$31^2)^0.5,"LLD")</f>
        <v>0.16465261175618645</v>
      </c>
      <c r="M29" s="53" t="e">
        <f>IF(Nd_Calculations!AD35&gt;SUM($K$30:$M$30),L29/K29,"LLD")</f>
        <v>#VALUE!</v>
      </c>
      <c r="N29" s="54">
        <f>IF(Nd_Calculations!AG35&gt;SUM($N$30:$P$30),Nd_Calculations!AG35-SUM($N$30:$P$30),"LLD")</f>
        <v>0.2615483995530497</v>
      </c>
      <c r="O29" s="52">
        <f>IF(Nd_Calculations!AG35&gt;SUM($N$30:$P$30),(Nd_Calculations!AH35^2+$N$31^2+$O$31^2+$P$31^2)^0.5,"LLD")</f>
        <v>0.16336289866053191</v>
      </c>
      <c r="P29" s="58">
        <f>IF(Nd_Calculations!AG35&gt;SUM($N$30:$P$30),O29/N29,"LLD")</f>
        <v>0.62459911412073887</v>
      </c>
      <c r="R29">
        <f t="shared" si="0"/>
        <v>0.11430670800049957</v>
      </c>
      <c r="S29">
        <f t="shared" si="1"/>
        <v>5.4321586292552293E-2</v>
      </c>
      <c r="T29">
        <f t="shared" si="2"/>
        <v>0.23725000019716858</v>
      </c>
      <c r="U29">
        <f t="shared" si="3"/>
        <v>2.7110482558133468E-2</v>
      </c>
      <c r="V29">
        <f t="shared" si="4"/>
        <v>2.668743665877122E-2</v>
      </c>
      <c r="X29">
        <f t="shared" si="5"/>
        <v>1.9651265434917555</v>
      </c>
      <c r="Y29">
        <f t="shared" si="6"/>
        <v>0.67799425787179435</v>
      </c>
      <c r="Z29" s="12">
        <f t="shared" si="7"/>
        <v>0.34501302733771699</v>
      </c>
      <c r="AB29" t="s">
        <v>53</v>
      </c>
    </row>
    <row r="30" spans="1:28" ht="30" x14ac:dyDescent="0.25">
      <c r="A30" s="44" t="s">
        <v>73</v>
      </c>
      <c r="B30" s="13">
        <v>0.27329999999999999</v>
      </c>
      <c r="D30" s="12"/>
      <c r="E30" s="13">
        <v>0.18859999999999999</v>
      </c>
      <c r="G30" s="12"/>
      <c r="H30" s="13">
        <v>0.39340000000000003</v>
      </c>
      <c r="J30" s="12"/>
      <c r="K30" s="13">
        <v>0.13220000000000001</v>
      </c>
      <c r="L30">
        <v>6.0000000000000001E-3</v>
      </c>
      <c r="M30" s="12"/>
      <c r="N30" s="13">
        <v>0.13159999999999999</v>
      </c>
      <c r="O30" s="55">
        <v>4.0000000000000001E-3</v>
      </c>
      <c r="P30" s="57"/>
      <c r="Z30" s="12"/>
    </row>
    <row r="31" spans="1:28" ht="15.75" thickBot="1" x14ac:dyDescent="0.3">
      <c r="A31" s="52" t="s">
        <v>74</v>
      </c>
      <c r="B31" s="54">
        <v>0.33800000000000002</v>
      </c>
      <c r="C31" s="52"/>
      <c r="D31" s="53"/>
      <c r="E31" s="54">
        <v>0.23300000000000001</v>
      </c>
      <c r="F31" s="52"/>
      <c r="G31" s="53"/>
      <c r="H31" s="54">
        <v>0.48699999999999999</v>
      </c>
      <c r="I31" s="52"/>
      <c r="J31" s="53"/>
      <c r="K31" s="54">
        <v>0.16400000000000001</v>
      </c>
      <c r="L31" s="52">
        <v>1.2999999999999999E-2</v>
      </c>
      <c r="M31" s="53"/>
      <c r="N31" s="54">
        <v>0.16300000000000001</v>
      </c>
      <c r="O31" s="52">
        <v>8.9999999999999993E-3</v>
      </c>
      <c r="P31" s="58"/>
      <c r="Z31" s="12"/>
    </row>
    <row r="32" spans="1:28" x14ac:dyDescent="0.25">
      <c r="B32" t="s">
        <v>52</v>
      </c>
      <c r="N32" s="28"/>
      <c r="R32">
        <f>14.8658+0.1322+0.006</f>
        <v>15.004</v>
      </c>
    </row>
    <row r="33" spans="2:15" x14ac:dyDescent="0.25">
      <c r="B33" t="s">
        <v>60</v>
      </c>
      <c r="N33" s="28"/>
    </row>
    <row r="35" spans="2:15" x14ac:dyDescent="0.25">
      <c r="F35" t="s">
        <v>46</v>
      </c>
      <c r="J35" t="s">
        <v>47</v>
      </c>
      <c r="O35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D9" sqref="D9"/>
    </sheetView>
  </sheetViews>
  <sheetFormatPr defaultRowHeight="15" x14ac:dyDescent="0.25"/>
  <cols>
    <col min="1" max="1" width="17" bestFit="1" customWidth="1"/>
  </cols>
  <sheetData>
    <row r="1" spans="1:18" x14ac:dyDescent="0.25">
      <c r="A1" t="str">
        <f>PPB_Nd_Aliquot_Sent!A1</f>
        <v>Sample ID</v>
      </c>
      <c r="B1" s="29" t="str">
        <f>PPB_Nd_Aliquot_Sent!B1</f>
        <v>Nd 143</v>
      </c>
      <c r="C1" t="str">
        <f>PPB_Nd_Aliquot_Sent!C1</f>
        <v>±</v>
      </c>
      <c r="D1" t="str">
        <f>PPB_Nd_Aliquot_Sent!D1</f>
        <v>%</v>
      </c>
      <c r="E1" s="29" t="str">
        <f>PPB_Nd_Aliquot_Sent!E1</f>
        <v>Nd145</v>
      </c>
      <c r="F1" t="str">
        <f>PPB_Nd_Aliquot_Sent!F1</f>
        <v>±</v>
      </c>
      <c r="G1" t="str">
        <f>PPB_Nd_Aliquot_Sent!G1</f>
        <v>%</v>
      </c>
      <c r="H1" s="29" t="str">
        <f>PPB_Nd_Aliquot_Sent!H1</f>
        <v>Nd146</v>
      </c>
      <c r="I1" t="str">
        <f>PPB_Nd_Aliquot_Sent!I1</f>
        <v>±</v>
      </c>
      <c r="J1" t="str">
        <f>PPB_Nd_Aliquot_Sent!J1</f>
        <v>%</v>
      </c>
      <c r="K1" s="29" t="str">
        <f>PPB_Nd_Aliquot_Sent!K1</f>
        <v>Nd148</v>
      </c>
      <c r="L1" t="str">
        <f>PPB_Nd_Aliquot_Sent!L1</f>
        <v>±</v>
      </c>
      <c r="M1" t="str">
        <f>PPB_Nd_Aliquot_Sent!M1</f>
        <v>%</v>
      </c>
      <c r="N1" s="13" t="str">
        <f>PPB_Nd_Aliquot_Sent!N1</f>
        <v>Nd150</v>
      </c>
      <c r="O1" t="str">
        <f>PPB_Nd_Aliquot_Sent!O1</f>
        <v>±</v>
      </c>
      <c r="P1" t="str">
        <f>PPB_Nd_Aliquot_Sent!P1</f>
        <v>%</v>
      </c>
    </row>
    <row r="2" spans="1:18" x14ac:dyDescent="0.25">
      <c r="A2" t="str">
        <f>PPB_Nd_Aliquot_Sent!A2</f>
        <v>87G Trace</v>
      </c>
      <c r="B2" s="29">
        <f>PPB_Nd_Aliquot_Sent!B2</f>
        <v>41.767941672302719</v>
      </c>
      <c r="C2">
        <f>PPB_Nd_Aliquot_Sent!C2</f>
        <v>0.8180120599548224</v>
      </c>
      <c r="D2" s="12">
        <f>PPB_Nd_Aliquot_Sent!D2</f>
        <v>1.9584686896296472E-2</v>
      </c>
      <c r="E2" s="29">
        <f>PPB_Nd_Aliquot_Sent!E2</f>
        <v>29.058252964431478</v>
      </c>
      <c r="F2">
        <f>PPB_Nd_Aliquot_Sent!F2</f>
        <v>0.57274229606304772</v>
      </c>
      <c r="G2" s="12">
        <f>PPB_Nd_Aliquot_Sent!G2</f>
        <v>1.971014213291172E-2</v>
      </c>
      <c r="H2" s="29">
        <f>PPB_Nd_Aliquot_Sent!H2</f>
        <v>26.971847597941668</v>
      </c>
      <c r="I2">
        <f>PPB_Nd_Aliquot_Sent!I2</f>
        <v>0.67337609697030332</v>
      </c>
      <c r="J2" s="12">
        <f>PPB_Nd_Aliquot_Sent!J2</f>
        <v>2.4965886913200987E-2</v>
      </c>
      <c r="K2" s="29">
        <f>PPB_Nd_Aliquot_Sent!K2</f>
        <v>18.143121833818718</v>
      </c>
      <c r="L2">
        <f>PPB_Nd_Aliquot_Sent!L2</f>
        <v>0.44120412483089855</v>
      </c>
      <c r="M2" s="12">
        <f>PPB_Nd_Aliquot_Sent!M2</f>
        <v>2.4317982807594642E-2</v>
      </c>
      <c r="N2" s="13">
        <f>PPB_Nd_Aliquot_Sent!N2</f>
        <v>17.601487041086802</v>
      </c>
      <c r="O2">
        <f>PPB_Nd_Aliquot_Sent!O2</f>
        <v>0.41560842098333312</v>
      </c>
      <c r="P2" s="12">
        <f>PPB_Nd_Aliquot_Sent!P2</f>
        <v>2.3612119817671463E-2</v>
      </c>
    </row>
    <row r="3" spans="1:18" x14ac:dyDescent="0.25">
      <c r="A3" t="str">
        <f>PPB_Nd_Aliquot_Sent!A3</f>
        <v>90G Trace</v>
      </c>
      <c r="B3" s="29">
        <f>PPB_Nd_Aliquot_Sent!B3</f>
        <v>0.49696384006272409</v>
      </c>
      <c r="C3">
        <f>PPB_Nd_Aliquot_Sent!C3</f>
        <v>0.33813905602317285</v>
      </c>
      <c r="D3" s="12">
        <f>PPB_Nd_Aliquot_Sent!D3</f>
        <v>0.68040977786330437</v>
      </c>
      <c r="E3" s="29">
        <f>PPB_Nd_Aliquot_Sent!E3</f>
        <v>0.35977593510415495</v>
      </c>
      <c r="F3">
        <f>PPB_Nd_Aliquot_Sent!F3</f>
        <v>0.23311704629802443</v>
      </c>
      <c r="G3" s="12">
        <f>PPB_Nd_Aliquot_Sent!G3</f>
        <v>0.64795063691666077</v>
      </c>
      <c r="H3" s="29">
        <f>PPB_Nd_Aliquot_Sent!H3</f>
        <v>0.13943429393212187</v>
      </c>
      <c r="I3">
        <f>PPB_Nd_Aliquot_Sent!I3</f>
        <v>0.48704439066537619</v>
      </c>
      <c r="J3" s="12">
        <f>PPB_Nd_Aliquot_Sent!J3</f>
        <v>3.4930028827949222</v>
      </c>
      <c r="K3" s="29">
        <f>PPB_Nd_Aliquot_Sent!K3</f>
        <v>0.22300395742118648</v>
      </c>
      <c r="L3">
        <f>PPB_Nd_Aliquot_Sent!L3</f>
        <v>0.1646708689182361</v>
      </c>
      <c r="M3" s="12">
        <f>PPB_Nd_Aliquot_Sent!M3</f>
        <v>0.73842128553451203</v>
      </c>
      <c r="N3" s="13">
        <f>PPB_Nd_Aliquot_Sent!N3</f>
        <v>0.24753446673847884</v>
      </c>
      <c r="O3">
        <f>PPB_Nd_Aliquot_Sent!O3</f>
        <v>0.16340515779615702</v>
      </c>
      <c r="P3" s="12">
        <f>PPB_Nd_Aliquot_Sent!P3</f>
        <v>0.66013093024655523</v>
      </c>
    </row>
    <row r="4" spans="1:18" x14ac:dyDescent="0.25">
      <c r="A4" t="str">
        <f>PPB_Nd_Aliquot_Sent!A4</f>
        <v>93G Trace</v>
      </c>
      <c r="B4" s="29" t="str">
        <f>IF(PPB_Nd_Aliquot_Sent!B4="LLD","LLD",PPB_Nd_Aliquot_Sent!B4*12)</f>
        <v>LLD</v>
      </c>
      <c r="C4" t="str">
        <f>IF(PPB_Nd_Aliquot_Sent!C4="LLD","LLD",PPB_Nd_Aliquot_Sent!C4*12)</f>
        <v>LLD</v>
      </c>
      <c r="D4" s="12" t="str">
        <f>IF(PPB_Nd_Aliquot_Sent!D4="LLD","LLD",PPB_Nd_Aliquot_Sent!D4*12)</f>
        <v>LLD</v>
      </c>
      <c r="E4" s="29" t="str">
        <f>IF(PPB_Nd_Aliquot_Sent!E4="LLD","LLD",PPB_Nd_Aliquot_Sent!E4*12)</f>
        <v>LLD</v>
      </c>
      <c r="F4" t="str">
        <f>IF(PPB_Nd_Aliquot_Sent!F4="LLD","LLD",PPB_Nd_Aliquot_Sent!F4*12)</f>
        <v>LLD</v>
      </c>
      <c r="G4" s="12" t="str">
        <f>IF(PPB_Nd_Aliquot_Sent!G4="LLD","LLD",PPB_Nd_Aliquot_Sent!G4*12)</f>
        <v>LLD</v>
      </c>
      <c r="H4" s="29" t="str">
        <f>IF(PPB_Nd_Aliquot_Sent!H4="LLD","LLD",PPB_Nd_Aliquot_Sent!H4*12)</f>
        <v>LLD</v>
      </c>
      <c r="I4" t="str">
        <f>IF(PPB_Nd_Aliquot_Sent!I4="LLD","LLD",PPB_Nd_Aliquot_Sent!I4*12)</f>
        <v>LLD</v>
      </c>
      <c r="J4" s="12" t="str">
        <f>IF(PPB_Nd_Aliquot_Sent!J4="LLD","LLD",PPB_Nd_Aliquot_Sent!J4*12)</f>
        <v>LLD</v>
      </c>
      <c r="K4" s="29" t="str">
        <f>IF(PPB_Nd_Aliquot_Sent!K4="LLD","LLD",PPB_Nd_Aliquot_Sent!K4*12)</f>
        <v>LLD</v>
      </c>
      <c r="L4" t="str">
        <f>IF(PPB_Nd_Aliquot_Sent!L4="LLD","LLD",PPB_Nd_Aliquot_Sent!L4*12)</f>
        <v>LLD</v>
      </c>
      <c r="M4" s="12" t="str">
        <f>IF(PPB_Nd_Aliquot_Sent!M4="LLD","LLD",PPB_Nd_Aliquot_Sent!M4*12)</f>
        <v>LLD</v>
      </c>
      <c r="N4" s="29" t="str">
        <f>IF(PPB_Nd_Aliquot_Sent!N4="LLD","LLD",PPB_Nd_Aliquot_Sent!N4*12)</f>
        <v>LLD</v>
      </c>
      <c r="O4" t="str">
        <f>IF(PPB_Nd_Aliquot_Sent!O4="LLD","LLD",PPB_Nd_Aliquot_Sent!O4*12)</f>
        <v>LLD</v>
      </c>
      <c r="P4" s="12" t="str">
        <f>IF(PPB_Nd_Aliquot_Sent!P4="LLD","LLD",PPB_Nd_Aliquot_Sent!P4*12)</f>
        <v>LLD</v>
      </c>
    </row>
    <row r="5" spans="1:18" x14ac:dyDescent="0.25">
      <c r="A5" t="str">
        <f>PPB_Nd_Aliquot_Sent!A5</f>
        <v>96G Trace</v>
      </c>
      <c r="B5" s="29" t="str">
        <f>IF(PPB_Nd_Aliquot_Sent!B5="LLD","LLD",PPB_Nd_Aliquot_Sent!B5*144)</f>
        <v>LLD</v>
      </c>
      <c r="C5" t="str">
        <f>IF(PPB_Nd_Aliquot_Sent!C5="LLD","LLD",PPB_Nd_Aliquot_Sent!C5*144)</f>
        <v>LLD</v>
      </c>
      <c r="D5" s="12" t="str">
        <f>IF(PPB_Nd_Aliquot_Sent!D5="LLD","LLD",PPB_Nd_Aliquot_Sent!D5*144)</f>
        <v>LLD</v>
      </c>
      <c r="E5" s="29" t="str">
        <f>IF(PPB_Nd_Aliquot_Sent!E5="LLD","LLD",PPB_Nd_Aliquot_Sent!E5*144)</f>
        <v>LLD</v>
      </c>
      <c r="F5" t="str">
        <f>IF(PPB_Nd_Aliquot_Sent!F5="LLD","LLD",PPB_Nd_Aliquot_Sent!F5*144)</f>
        <v>LLD</v>
      </c>
      <c r="G5" s="12" t="str">
        <f>IF(PPB_Nd_Aliquot_Sent!G5="LLD","LLD",PPB_Nd_Aliquot_Sent!G5*144)</f>
        <v>LLD</v>
      </c>
      <c r="H5" s="29" t="str">
        <f>IF(PPB_Nd_Aliquot_Sent!H5="LLD","LLD",PPB_Nd_Aliquot_Sent!H5*144)</f>
        <v>LLD</v>
      </c>
      <c r="I5" t="str">
        <f>IF(PPB_Nd_Aliquot_Sent!I5="LLD","LLD",PPB_Nd_Aliquot_Sent!I5*144)</f>
        <v>LLD</v>
      </c>
      <c r="J5" s="12" t="str">
        <f>IF(PPB_Nd_Aliquot_Sent!J5="LLD","LLD",PPB_Nd_Aliquot_Sent!J5*144)</f>
        <v>LLD</v>
      </c>
      <c r="K5" s="29" t="str">
        <f>IF(PPB_Nd_Aliquot_Sent!K5="LLD","LLD",PPB_Nd_Aliquot_Sent!K5*144)</f>
        <v>LLD</v>
      </c>
      <c r="L5" t="str">
        <f>IF(PPB_Nd_Aliquot_Sent!L5="LLD","LLD",PPB_Nd_Aliquot_Sent!L5*144)</f>
        <v>LLD</v>
      </c>
      <c r="M5" s="12" t="str">
        <f>IF(PPB_Nd_Aliquot_Sent!M5="LLD","LLD",PPB_Nd_Aliquot_Sent!M5*144)</f>
        <v>LLD</v>
      </c>
      <c r="N5" s="29" t="str">
        <f>IF(PPB_Nd_Aliquot_Sent!N5="LLD","LLD",PPB_Nd_Aliquot_Sent!N5*144)</f>
        <v>LLD</v>
      </c>
      <c r="O5" t="str">
        <f>IF(PPB_Nd_Aliquot_Sent!O5="LLD","LLD",PPB_Nd_Aliquot_Sent!O5*144)</f>
        <v>LLD</v>
      </c>
      <c r="P5" s="12" t="str">
        <f>IF(PPB_Nd_Aliquot_Sent!P5="LLD","LLD",PPB_Nd_Aliquot_Sent!P5*144)</f>
        <v>LLD</v>
      </c>
    </row>
    <row r="6" spans="1:18" x14ac:dyDescent="0.25">
      <c r="A6" t="str">
        <f>PPB_Nd_Aliquot_Sent!A6</f>
        <v>30G Trace Waste</v>
      </c>
      <c r="B6" s="29">
        <f>PPB_Nd_Aliquot_Sent!B6</f>
        <v>47.511019999210866</v>
      </c>
      <c r="C6">
        <f>PPB_Nd_Aliquot_Sent!C6</f>
        <v>0.65467458414717239</v>
      </c>
      <c r="D6" s="12">
        <f>PPB_Nd_Aliquot_Sent!D6</f>
        <v>1.3779425997548488E-2</v>
      </c>
      <c r="E6" s="29">
        <f>PPB_Nd_Aliquot_Sent!E6</f>
        <v>32.961892048894121</v>
      </c>
      <c r="F6">
        <f>PPB_Nd_Aliquot_Sent!F6</f>
        <v>0.45997499034203904</v>
      </c>
      <c r="G6" s="12">
        <f>PPB_Nd_Aliquot_Sent!G6</f>
        <v>1.3954750827401951E-2</v>
      </c>
      <c r="H6" s="29">
        <f>PPB_Nd_Aliquot_Sent!H6</f>
        <v>30.125580750999035</v>
      </c>
      <c r="I6">
        <f>PPB_Nd_Aliquot_Sent!I6</f>
        <v>0.58417543774668701</v>
      </c>
      <c r="J6" s="12">
        <f>PPB_Nd_Aliquot_Sent!J6</f>
        <v>1.9391341948729549E-2</v>
      </c>
      <c r="K6" s="29">
        <f>PPB_Nd_Aliquot_Sent!K6</f>
        <v>20.61139887047111</v>
      </c>
      <c r="L6">
        <f>PPB_Nd_Aliquot_Sent!L6</f>
        <v>0.40773663939923083</v>
      </c>
      <c r="M6" s="12">
        <f>PPB_Nd_Aliquot_Sent!M6</f>
        <v>1.9782094459555297E-2</v>
      </c>
      <c r="N6" s="13">
        <f>PPB_Nd_Aliquot_Sent!N6</f>
        <v>21.007780713665753</v>
      </c>
      <c r="O6">
        <f>PPB_Nd_Aliquot_Sent!O6</f>
        <v>0.3930902525026394</v>
      </c>
      <c r="P6" s="12">
        <f>PPB_Nd_Aliquot_Sent!P6</f>
        <v>1.871165059557817E-2</v>
      </c>
    </row>
    <row r="7" spans="1:18" x14ac:dyDescent="0.25">
      <c r="A7" t="str">
        <f>PPB_Nd_Aliquot_Sent!A7</f>
        <v>30G Trace Original</v>
      </c>
      <c r="B7" s="29">
        <f>PPB_Nd_Aliquot_Sent!B7</f>
        <v>34.189197804542424</v>
      </c>
      <c r="C7">
        <f>PPB_Nd_Aliquot_Sent!C7</f>
        <v>0.49492784162610454</v>
      </c>
      <c r="D7" s="12">
        <f>PPB_Nd_Aliquot_Sent!D7</f>
        <v>1.4476146660579083E-2</v>
      </c>
      <c r="E7" s="29">
        <f>PPB_Nd_Aliquot_Sent!E7</f>
        <v>24.129705826619954</v>
      </c>
      <c r="F7">
        <f>PPB_Nd_Aliquot_Sent!F7</f>
        <v>0.35008176895732779</v>
      </c>
      <c r="G7" s="12">
        <f>PPB_Nd_Aliquot_Sent!G7</f>
        <v>1.4508331409955139E-2</v>
      </c>
      <c r="H7" s="29">
        <f>PPB_Nd_Aliquot_Sent!H7</f>
        <v>21.440786444945086</v>
      </c>
      <c r="I7">
        <f>PPB_Nd_Aliquot_Sent!I7</f>
        <v>0.52655142171429103</v>
      </c>
      <c r="J7" s="12">
        <f>PPB_Nd_Aliquot_Sent!J7</f>
        <v>2.4558400554305769E-2</v>
      </c>
      <c r="K7" s="29">
        <f>PPB_Nd_Aliquot_Sent!K7</f>
        <v>14.865799880376828</v>
      </c>
      <c r="L7">
        <f>PPB_Nd_Aliquot_Sent!L7</f>
        <v>0.3059229517355645</v>
      </c>
      <c r="M7" s="12">
        <f>PPB_Nd_Aliquot_Sent!M7</f>
        <v>2.0578976859455058E-2</v>
      </c>
      <c r="N7" s="13">
        <f>PPB_Nd_Aliquot_Sent!N7</f>
        <v>15.508535182390482</v>
      </c>
      <c r="O7">
        <f>PPB_Nd_Aliquot_Sent!O7</f>
        <v>0.29975050500736095</v>
      </c>
      <c r="P7" s="12">
        <f>PPB_Nd_Aliquot_Sent!P7</f>
        <v>1.9328099106853073E-2</v>
      </c>
    </row>
    <row r="9" spans="1:18" x14ac:dyDescent="0.25">
      <c r="B9">
        <f>B7/B3</f>
        <v>68.796147824814071</v>
      </c>
      <c r="D9" s="12"/>
      <c r="E9">
        <f t="shared" ref="E9:N9" si="0">E7/E3</f>
        <v>67.068704357989972</v>
      </c>
      <c r="H9">
        <f t="shared" si="0"/>
        <v>153.76982118461254</v>
      </c>
      <c r="K9">
        <f t="shared" si="0"/>
        <v>66.661596737047432</v>
      </c>
      <c r="N9">
        <f t="shared" si="0"/>
        <v>62.652023319141698</v>
      </c>
      <c r="P9" t="s">
        <v>61</v>
      </c>
      <c r="R9" t="s">
        <v>62</v>
      </c>
    </row>
    <row r="12" spans="1:18" x14ac:dyDescent="0.25">
      <c r="B12" t="s">
        <v>54</v>
      </c>
    </row>
    <row r="17" spans="2:2" x14ac:dyDescent="0.25">
      <c r="B17" t="s">
        <v>55</v>
      </c>
    </row>
    <row r="18" spans="2:2" x14ac:dyDescent="0.25">
      <c r="B18" t="s">
        <v>56</v>
      </c>
    </row>
    <row r="20" spans="2:2" x14ac:dyDescent="0.25">
      <c r="B20" t="s">
        <v>57</v>
      </c>
    </row>
    <row r="21" spans="2:2" x14ac:dyDescent="0.25">
      <c r="B21" t="s">
        <v>58</v>
      </c>
    </row>
    <row r="23" spans="2:2" x14ac:dyDescent="0.25">
      <c r="B2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Nd_Calculations</vt:lpstr>
      <vt:lpstr>PPB_Nd_Aliquot_Sent</vt:lpstr>
      <vt:lpstr>PPB_Nd_to_Stock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Mendoza, Paul Michael</cp:lastModifiedBy>
  <dcterms:created xsi:type="dcterms:W3CDTF">2015-10-01T14:52:56Z</dcterms:created>
  <dcterms:modified xsi:type="dcterms:W3CDTF">2015-12-16T16:52:36Z</dcterms:modified>
</cp:coreProperties>
</file>