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lements\"/>
    </mc:Choice>
  </mc:AlternateContent>
  <bookViews>
    <workbookView xWindow="0" yWindow="0" windowWidth="19200" windowHeight="9030" activeTab="1"/>
  </bookViews>
  <sheets>
    <sheet name="Pd_Calculations" sheetId="1" r:id="rId1"/>
    <sheet name="PPB_Pd_Aliquot_Sent" sheetId="2" r:id="rId2"/>
    <sheet name="Pd_Aliquot_Data_Mine" sheetId="5" r:id="rId3"/>
    <sheet name="PPB_Pd_to_Stock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2" i="5"/>
  <c r="AB18" i="1"/>
  <c r="AB7" i="1"/>
  <c r="L29" i="5" l="1"/>
  <c r="R29" i="5" s="1"/>
  <c r="I29" i="5"/>
  <c r="Q29" i="5" s="1"/>
  <c r="H29" i="5"/>
  <c r="J29" i="5" s="1"/>
  <c r="F29" i="5"/>
  <c r="P29" i="5" s="1"/>
  <c r="E29" i="5"/>
  <c r="C29" i="5"/>
  <c r="D29" i="5" s="1"/>
  <c r="B29" i="5"/>
  <c r="T29" i="5" s="1"/>
  <c r="A29" i="5"/>
  <c r="L28" i="5"/>
  <c r="R28" i="5" s="1"/>
  <c r="M28" i="5"/>
  <c r="I28" i="5"/>
  <c r="Q28" i="5" s="1"/>
  <c r="H28" i="5"/>
  <c r="F28" i="5"/>
  <c r="P28" i="5" s="1"/>
  <c r="E28" i="5"/>
  <c r="G28" i="5" s="1"/>
  <c r="C28" i="5"/>
  <c r="O28" i="5" s="1"/>
  <c r="B28" i="5"/>
  <c r="T28" i="5" s="1"/>
  <c r="A28" i="5"/>
  <c r="L27" i="5"/>
  <c r="R27" i="5" s="1"/>
  <c r="M27" i="5"/>
  <c r="I27" i="5"/>
  <c r="Q27" i="5" s="1"/>
  <c r="H27" i="5"/>
  <c r="F27" i="5"/>
  <c r="P27" i="5" s="1"/>
  <c r="E27" i="5"/>
  <c r="C27" i="5"/>
  <c r="O27" i="5" s="1"/>
  <c r="B27" i="5"/>
  <c r="T27" i="5" s="1"/>
  <c r="A27" i="5"/>
  <c r="L26" i="5"/>
  <c r="R26" i="5" s="1"/>
  <c r="M26" i="5"/>
  <c r="I26" i="5"/>
  <c r="Q26" i="5" s="1"/>
  <c r="H26" i="5"/>
  <c r="F26" i="5"/>
  <c r="P26" i="5" s="1"/>
  <c r="E26" i="5"/>
  <c r="G26" i="5" s="1"/>
  <c r="C26" i="5"/>
  <c r="O26" i="5" s="1"/>
  <c r="B26" i="5"/>
  <c r="T26" i="5" s="1"/>
  <c r="A26" i="5"/>
  <c r="L25" i="5"/>
  <c r="R25" i="5" s="1"/>
  <c r="M25" i="5"/>
  <c r="I25" i="5"/>
  <c r="Q25" i="5" s="1"/>
  <c r="H25" i="5"/>
  <c r="J25" i="5" s="1"/>
  <c r="F25" i="5"/>
  <c r="P25" i="5" s="1"/>
  <c r="E25" i="5"/>
  <c r="C25" i="5"/>
  <c r="O25" i="5" s="1"/>
  <c r="B25" i="5"/>
  <c r="T25" i="5" s="1"/>
  <c r="A25" i="5"/>
  <c r="L24" i="5"/>
  <c r="R24" i="5" s="1"/>
  <c r="M24" i="5"/>
  <c r="I24" i="5"/>
  <c r="Q24" i="5" s="1"/>
  <c r="H24" i="5"/>
  <c r="F24" i="5"/>
  <c r="P24" i="5" s="1"/>
  <c r="E24" i="5"/>
  <c r="G24" i="5" s="1"/>
  <c r="C24" i="5"/>
  <c r="O24" i="5" s="1"/>
  <c r="B24" i="5"/>
  <c r="T24" i="5" s="1"/>
  <c r="A24" i="5"/>
  <c r="L23" i="5"/>
  <c r="R23" i="5" s="1"/>
  <c r="I23" i="5"/>
  <c r="Q23" i="5" s="1"/>
  <c r="H23" i="5"/>
  <c r="F23" i="5"/>
  <c r="P23" i="5" s="1"/>
  <c r="E23" i="5"/>
  <c r="C23" i="5"/>
  <c r="O23" i="5" s="1"/>
  <c r="B23" i="5"/>
  <c r="T23" i="5" s="1"/>
  <c r="A23" i="5"/>
  <c r="O22" i="5"/>
  <c r="L22" i="5"/>
  <c r="R22" i="5" s="1"/>
  <c r="I22" i="5"/>
  <c r="Q22" i="5" s="1"/>
  <c r="H22" i="5"/>
  <c r="F22" i="5"/>
  <c r="P22" i="5" s="1"/>
  <c r="E22" i="5"/>
  <c r="C22" i="5"/>
  <c r="B22" i="5"/>
  <c r="T22" i="5" s="1"/>
  <c r="A22" i="5"/>
  <c r="L21" i="5"/>
  <c r="R21" i="5" s="1"/>
  <c r="I21" i="5"/>
  <c r="Q21" i="5" s="1"/>
  <c r="H21" i="5"/>
  <c r="F21" i="5"/>
  <c r="P21" i="5" s="1"/>
  <c r="E21" i="5"/>
  <c r="C21" i="5"/>
  <c r="O21" i="5" s="1"/>
  <c r="B21" i="5"/>
  <c r="T21" i="5" s="1"/>
  <c r="A21" i="5"/>
  <c r="L20" i="5"/>
  <c r="R20" i="5" s="1"/>
  <c r="I20" i="5"/>
  <c r="Q20" i="5" s="1"/>
  <c r="H20" i="5"/>
  <c r="F20" i="5"/>
  <c r="P20" i="5" s="1"/>
  <c r="E20" i="5"/>
  <c r="C20" i="5"/>
  <c r="O20" i="5" s="1"/>
  <c r="B20" i="5"/>
  <c r="T20" i="5" s="1"/>
  <c r="A20" i="5"/>
  <c r="L19" i="5"/>
  <c r="I19" i="5"/>
  <c r="Q19" i="5" s="1"/>
  <c r="H19" i="5"/>
  <c r="G19" i="5"/>
  <c r="F19" i="5"/>
  <c r="P19" i="5" s="1"/>
  <c r="E19" i="5"/>
  <c r="C19" i="5"/>
  <c r="O19" i="5" s="1"/>
  <c r="B19" i="5"/>
  <c r="A19" i="5"/>
  <c r="L18" i="5"/>
  <c r="R18" i="5" s="1"/>
  <c r="I18" i="5"/>
  <c r="Q18" i="5" s="1"/>
  <c r="H18" i="5"/>
  <c r="F18" i="5"/>
  <c r="E18" i="5"/>
  <c r="D18" i="5"/>
  <c r="C18" i="5"/>
  <c r="O18" i="5" s="1"/>
  <c r="B18" i="5"/>
  <c r="A18" i="5"/>
  <c r="M17" i="5"/>
  <c r="L17" i="5"/>
  <c r="R17" i="5" s="1"/>
  <c r="J17" i="5"/>
  <c r="I17" i="5"/>
  <c r="Q17" i="5" s="1"/>
  <c r="H17" i="5"/>
  <c r="G17" i="5"/>
  <c r="F17" i="5"/>
  <c r="P17" i="5" s="1"/>
  <c r="E17" i="5"/>
  <c r="D17" i="5"/>
  <c r="C17" i="5"/>
  <c r="O17" i="5" s="1"/>
  <c r="B17" i="5"/>
  <c r="T17" i="5" s="1"/>
  <c r="A17" i="5"/>
  <c r="L16" i="5"/>
  <c r="R16" i="5" s="1"/>
  <c r="J16" i="5"/>
  <c r="I16" i="5"/>
  <c r="Q16" i="5" s="1"/>
  <c r="H16" i="5"/>
  <c r="F16" i="5"/>
  <c r="P16" i="5" s="1"/>
  <c r="E16" i="5"/>
  <c r="C16" i="5"/>
  <c r="O16" i="5" s="1"/>
  <c r="B16" i="5"/>
  <c r="A16" i="5"/>
  <c r="L15" i="5"/>
  <c r="R15" i="5" s="1"/>
  <c r="J15" i="5"/>
  <c r="I15" i="5"/>
  <c r="Q15" i="5" s="1"/>
  <c r="H15" i="5"/>
  <c r="F15" i="5"/>
  <c r="E15" i="5"/>
  <c r="C15" i="5"/>
  <c r="O15" i="5" s="1"/>
  <c r="B15" i="5"/>
  <c r="T15" i="5" s="1"/>
  <c r="A15" i="5"/>
  <c r="M14" i="5"/>
  <c r="L14" i="5"/>
  <c r="R14" i="5" s="1"/>
  <c r="J14" i="5"/>
  <c r="I14" i="5"/>
  <c r="Q14" i="5" s="1"/>
  <c r="H14" i="5"/>
  <c r="G14" i="5"/>
  <c r="F14" i="5"/>
  <c r="P14" i="5" s="1"/>
  <c r="E14" i="5"/>
  <c r="D14" i="5"/>
  <c r="C14" i="5"/>
  <c r="O14" i="5" s="1"/>
  <c r="B14" i="5"/>
  <c r="T14" i="5" s="1"/>
  <c r="A14" i="5"/>
  <c r="O13" i="5"/>
  <c r="L13" i="5"/>
  <c r="R13" i="5" s="1"/>
  <c r="I13" i="5"/>
  <c r="Q13" i="5" s="1"/>
  <c r="H13" i="5"/>
  <c r="F13" i="5"/>
  <c r="E13" i="5"/>
  <c r="C13" i="5"/>
  <c r="B13" i="5"/>
  <c r="D13" i="5" s="1"/>
  <c r="A13" i="5"/>
  <c r="L12" i="5"/>
  <c r="R12" i="5" s="1"/>
  <c r="I12" i="5"/>
  <c r="Q12" i="5" s="1"/>
  <c r="H12" i="5"/>
  <c r="G12" i="5"/>
  <c r="F12" i="5"/>
  <c r="P12" i="5" s="1"/>
  <c r="E12" i="5"/>
  <c r="C12" i="5"/>
  <c r="O12" i="5" s="1"/>
  <c r="B12" i="5"/>
  <c r="A12" i="5"/>
  <c r="L11" i="5"/>
  <c r="R11" i="5" s="1"/>
  <c r="I11" i="5"/>
  <c r="Q11" i="5" s="1"/>
  <c r="H11" i="5"/>
  <c r="J11" i="5" s="1"/>
  <c r="G11" i="5"/>
  <c r="F11" i="5"/>
  <c r="P11" i="5" s="1"/>
  <c r="E11" i="5"/>
  <c r="C11" i="5"/>
  <c r="O11" i="5" s="1"/>
  <c r="B11" i="5"/>
  <c r="A11" i="5"/>
  <c r="L10" i="5"/>
  <c r="R10" i="5" s="1"/>
  <c r="I10" i="5"/>
  <c r="Q10" i="5" s="1"/>
  <c r="H10" i="5"/>
  <c r="G10" i="5"/>
  <c r="F10" i="5"/>
  <c r="P10" i="5" s="1"/>
  <c r="E10" i="5"/>
  <c r="C10" i="5"/>
  <c r="O10" i="5" s="1"/>
  <c r="B10" i="5"/>
  <c r="A10" i="5"/>
  <c r="L9" i="5"/>
  <c r="R9" i="5" s="1"/>
  <c r="I9" i="5"/>
  <c r="Q9" i="5" s="1"/>
  <c r="H9" i="5"/>
  <c r="F9" i="5"/>
  <c r="E9" i="5"/>
  <c r="C9" i="5"/>
  <c r="O9" i="5" s="1"/>
  <c r="B9" i="5"/>
  <c r="T9" i="5" s="1"/>
  <c r="A9" i="5"/>
  <c r="O8" i="5"/>
  <c r="L8" i="5"/>
  <c r="I8" i="5"/>
  <c r="Q8" i="5" s="1"/>
  <c r="H8" i="5"/>
  <c r="J8" i="5" s="1"/>
  <c r="F8" i="5"/>
  <c r="E8" i="5"/>
  <c r="C8" i="5"/>
  <c r="B8" i="5"/>
  <c r="T8" i="5" s="1"/>
  <c r="A8" i="5"/>
  <c r="O7" i="5"/>
  <c r="L7" i="5"/>
  <c r="R7" i="5" s="1"/>
  <c r="I7" i="5"/>
  <c r="Q7" i="5" s="1"/>
  <c r="H7" i="5"/>
  <c r="J7" i="5" s="1"/>
  <c r="F7" i="5"/>
  <c r="P7" i="5" s="1"/>
  <c r="E7" i="5"/>
  <c r="C7" i="5"/>
  <c r="B7" i="5"/>
  <c r="T7" i="5" s="1"/>
  <c r="A7" i="5"/>
  <c r="Q6" i="5"/>
  <c r="L6" i="5"/>
  <c r="R6" i="5" s="1"/>
  <c r="I6" i="5"/>
  <c r="H6" i="5"/>
  <c r="J6" i="5" s="1"/>
  <c r="F6" i="5"/>
  <c r="P6" i="5" s="1"/>
  <c r="E6" i="5"/>
  <c r="C6" i="5"/>
  <c r="O6" i="5" s="1"/>
  <c r="B6" i="5"/>
  <c r="T6" i="5" s="1"/>
  <c r="A6" i="5"/>
  <c r="L5" i="5"/>
  <c r="R5" i="5" s="1"/>
  <c r="M5" i="5"/>
  <c r="I5" i="5"/>
  <c r="Q5" i="5" s="1"/>
  <c r="H5" i="5"/>
  <c r="F5" i="5"/>
  <c r="P5" i="5" s="1"/>
  <c r="E5" i="5"/>
  <c r="D5" i="5"/>
  <c r="C5" i="5"/>
  <c r="O5" i="5" s="1"/>
  <c r="B5" i="5"/>
  <c r="A5" i="5"/>
  <c r="L4" i="5"/>
  <c r="R4" i="5" s="1"/>
  <c r="I4" i="5"/>
  <c r="Q4" i="5" s="1"/>
  <c r="H4" i="5"/>
  <c r="F4" i="5"/>
  <c r="P4" i="5" s="1"/>
  <c r="E4" i="5"/>
  <c r="D4" i="5"/>
  <c r="C4" i="5"/>
  <c r="O4" i="5" s="1"/>
  <c r="B4" i="5"/>
  <c r="A4" i="5"/>
  <c r="L3" i="5"/>
  <c r="R3" i="5" s="1"/>
  <c r="I3" i="5"/>
  <c r="Q3" i="5" s="1"/>
  <c r="H3" i="5"/>
  <c r="G3" i="5"/>
  <c r="F3" i="5"/>
  <c r="P3" i="5" s="1"/>
  <c r="E3" i="5"/>
  <c r="D3" i="5"/>
  <c r="C3" i="5"/>
  <c r="O3" i="5" s="1"/>
  <c r="B3" i="5"/>
  <c r="A3" i="5"/>
  <c r="L2" i="5"/>
  <c r="R2" i="5" s="1"/>
  <c r="I2" i="5"/>
  <c r="Q2" i="5" s="1"/>
  <c r="H2" i="5"/>
  <c r="F2" i="5"/>
  <c r="P2" i="5" s="1"/>
  <c r="E2" i="5"/>
  <c r="C2" i="5"/>
  <c r="O2" i="5" s="1"/>
  <c r="B2" i="5"/>
  <c r="T2" i="5" s="1"/>
  <c r="A2" i="5"/>
  <c r="M1" i="5"/>
  <c r="L1" i="5"/>
  <c r="K1" i="5"/>
  <c r="J1" i="5"/>
  <c r="I1" i="5"/>
  <c r="H1" i="5"/>
  <c r="G1" i="5"/>
  <c r="F1" i="5"/>
  <c r="E1" i="5"/>
  <c r="D1" i="5"/>
  <c r="C1" i="5"/>
  <c r="B1" i="5"/>
  <c r="A1" i="5"/>
  <c r="M4" i="5" l="1"/>
  <c r="M10" i="5"/>
  <c r="M12" i="5"/>
  <c r="M13" i="5"/>
  <c r="M16" i="5"/>
  <c r="M18" i="5"/>
  <c r="M3" i="5"/>
  <c r="M9" i="5"/>
  <c r="M11" i="5"/>
  <c r="M15" i="5"/>
  <c r="M29" i="5"/>
  <c r="T4" i="5"/>
  <c r="T10" i="5"/>
  <c r="U10" i="5" s="1"/>
  <c r="V10" i="5" s="1"/>
  <c r="T16" i="5"/>
  <c r="T5" i="5"/>
  <c r="U5" i="5" s="1"/>
  <c r="V5" i="5" s="1"/>
  <c r="J26" i="5"/>
  <c r="J13" i="5"/>
  <c r="J18" i="5"/>
  <c r="J12" i="5"/>
  <c r="J19" i="5"/>
  <c r="J20" i="5"/>
  <c r="J21" i="5"/>
  <c r="J22" i="5"/>
  <c r="J3" i="5"/>
  <c r="J4" i="5"/>
  <c r="J5" i="5"/>
  <c r="J9" i="5"/>
  <c r="J10" i="5"/>
  <c r="T11" i="5"/>
  <c r="U11" i="5" s="1"/>
  <c r="V11" i="5" s="1"/>
  <c r="T12" i="5"/>
  <c r="U12" i="5" s="1"/>
  <c r="V12" i="5" s="1"/>
  <c r="T18" i="5"/>
  <c r="T19" i="5"/>
  <c r="J23" i="5"/>
  <c r="J24" i="5"/>
  <c r="J27" i="5"/>
  <c r="J28" i="5"/>
  <c r="T3" i="5"/>
  <c r="G16" i="5"/>
  <c r="G25" i="5"/>
  <c r="G27" i="5"/>
  <c r="D24" i="5"/>
  <c r="D26" i="5"/>
  <c r="D28" i="5"/>
  <c r="O29" i="5"/>
  <c r="U29" i="5" s="1"/>
  <c r="V29" i="5" s="1"/>
  <c r="D16" i="5"/>
  <c r="D25" i="5"/>
  <c r="D27" i="5"/>
  <c r="U2" i="5"/>
  <c r="V2" i="5" s="1"/>
  <c r="U3" i="5"/>
  <c r="U7" i="5"/>
  <c r="V7" i="5" s="1"/>
  <c r="U17" i="5"/>
  <c r="V17" i="5"/>
  <c r="U4" i="5"/>
  <c r="V4" i="5" s="1"/>
  <c r="U6" i="5"/>
  <c r="V6" i="5" s="1"/>
  <c r="U14" i="5"/>
  <c r="V14" i="5"/>
  <c r="U16" i="5"/>
  <c r="V16" i="5" s="1"/>
  <c r="D2" i="5"/>
  <c r="J2" i="5"/>
  <c r="D6" i="5"/>
  <c r="D7" i="5"/>
  <c r="R8" i="5"/>
  <c r="M8" i="5"/>
  <c r="D9" i="5"/>
  <c r="P9" i="5"/>
  <c r="U9" i="5" s="1"/>
  <c r="V9" i="5" s="1"/>
  <c r="G9" i="5"/>
  <c r="D10" i="5"/>
  <c r="D12" i="5"/>
  <c r="T13" i="5"/>
  <c r="D15" i="5"/>
  <c r="P15" i="5"/>
  <c r="U15" i="5" s="1"/>
  <c r="V15" i="5" s="1"/>
  <c r="G15" i="5"/>
  <c r="P18" i="5"/>
  <c r="U18" i="5" s="1"/>
  <c r="V18" i="5" s="1"/>
  <c r="G18" i="5"/>
  <c r="D19" i="5"/>
  <c r="R19" i="5"/>
  <c r="M19" i="5"/>
  <c r="U20" i="5"/>
  <c r="V20" i="5" s="1"/>
  <c r="U22" i="5"/>
  <c r="V22" i="5" s="1"/>
  <c r="U24" i="5"/>
  <c r="V24" i="5" s="1"/>
  <c r="U26" i="5"/>
  <c r="V26" i="5" s="1"/>
  <c r="U28" i="5"/>
  <c r="V28" i="5" s="1"/>
  <c r="G2" i="5"/>
  <c r="M2" i="5"/>
  <c r="G4" i="5"/>
  <c r="G5" i="5"/>
  <c r="G6" i="5"/>
  <c r="M6" i="5"/>
  <c r="G7" i="5"/>
  <c r="M7" i="5"/>
  <c r="D8" i="5"/>
  <c r="P8" i="5"/>
  <c r="U8" i="5" s="1"/>
  <c r="V8" i="5" s="1"/>
  <c r="G8" i="5"/>
  <c r="D11" i="5"/>
  <c r="P13" i="5"/>
  <c r="G13" i="5"/>
  <c r="U21" i="5"/>
  <c r="V21" i="5" s="1"/>
  <c r="U23" i="5"/>
  <c r="V23" i="5" s="1"/>
  <c r="U25" i="5"/>
  <c r="V25" i="5" s="1"/>
  <c r="U27" i="5"/>
  <c r="V27" i="5" s="1"/>
  <c r="G20" i="5"/>
  <c r="M20" i="5"/>
  <c r="G21" i="5"/>
  <c r="M21" i="5"/>
  <c r="G22" i="5"/>
  <c r="M22" i="5"/>
  <c r="G23" i="5"/>
  <c r="M23" i="5"/>
  <c r="G29" i="5"/>
  <c r="D20" i="5"/>
  <c r="D21" i="5"/>
  <c r="D22" i="5"/>
  <c r="D23" i="5"/>
  <c r="E19" i="2"/>
  <c r="U19" i="5" l="1"/>
  <c r="V19" i="5" s="1"/>
  <c r="V3" i="5"/>
  <c r="U13" i="5"/>
  <c r="V13" i="5" s="1"/>
  <c r="Y15" i="1"/>
  <c r="B7" i="2"/>
  <c r="H9" i="4" l="1"/>
  <c r="E9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I2" i="2"/>
  <c r="J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G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7" i="2"/>
  <c r="E28" i="2"/>
  <c r="E2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D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B2" i="2"/>
  <c r="B3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P4" i="1" l="1"/>
  <c r="L3" i="1" l="1"/>
  <c r="N3" i="1"/>
  <c r="P3" i="1"/>
  <c r="L2" i="1"/>
  <c r="N2" i="1"/>
  <c r="P2" i="1"/>
  <c r="J3" i="1"/>
  <c r="J2" i="1"/>
  <c r="B37" i="1" l="1"/>
  <c r="P5" i="1" s="1"/>
  <c r="A22" i="2" l="1"/>
  <c r="A23" i="2"/>
  <c r="A24" i="2"/>
  <c r="A25" i="2"/>
  <c r="A26" i="2"/>
  <c r="A27" i="2"/>
  <c r="A28" i="2"/>
  <c r="A29" i="2"/>
  <c r="S34" i="1" l="1"/>
  <c r="S7" i="1"/>
  <c r="S14" i="1"/>
  <c r="S16" i="1"/>
  <c r="S18" i="1"/>
  <c r="S20" i="1"/>
  <c r="S22" i="1"/>
  <c r="S24" i="1"/>
  <c r="S26" i="1"/>
  <c r="S28" i="1"/>
  <c r="S30" i="1"/>
  <c r="S32" i="1"/>
  <c r="S8" i="1"/>
  <c r="S10" i="1"/>
  <c r="S12" i="1"/>
  <c r="S11" i="1"/>
  <c r="S33" i="1"/>
  <c r="S29" i="1"/>
  <c r="S25" i="1"/>
  <c r="S21" i="1"/>
  <c r="S17" i="1"/>
  <c r="S13" i="1"/>
  <c r="S9" i="1"/>
  <c r="S31" i="1"/>
  <c r="S27" i="1"/>
  <c r="S23" i="1"/>
  <c r="S19" i="1"/>
  <c r="S15" i="1"/>
  <c r="V34" i="1" l="1"/>
  <c r="B3" i="4"/>
  <c r="Y8" i="1"/>
  <c r="H3" i="4" s="1"/>
  <c r="Y34" i="1"/>
  <c r="Y7" i="1"/>
  <c r="H2" i="4" s="1"/>
  <c r="O18" i="2"/>
  <c r="O26" i="2"/>
  <c r="O16" i="2"/>
  <c r="B6" i="4"/>
  <c r="D5" i="4"/>
  <c r="B2" i="4"/>
  <c r="AB34" i="1"/>
  <c r="O14" i="2"/>
  <c r="T14" i="2"/>
  <c r="D4" i="4"/>
  <c r="B7" i="4"/>
  <c r="B9" i="4" s="1"/>
  <c r="O17" i="2"/>
  <c r="T17" i="2"/>
  <c r="Y9" i="1"/>
  <c r="Y11" i="1"/>
  <c r="H6" i="4" s="1"/>
  <c r="Y13" i="1"/>
  <c r="Y17" i="1"/>
  <c r="Y19" i="1"/>
  <c r="Y21" i="1"/>
  <c r="Y23" i="1"/>
  <c r="Y25" i="1"/>
  <c r="Y27" i="1"/>
  <c r="Y29" i="1"/>
  <c r="Y31" i="1"/>
  <c r="Y33" i="1"/>
  <c r="Y12" i="1"/>
  <c r="H7" i="4" s="1"/>
  <c r="Y16" i="1"/>
  <c r="Y20" i="1"/>
  <c r="Y24" i="1"/>
  <c r="Y28" i="1"/>
  <c r="Y32" i="1"/>
  <c r="Y10" i="1"/>
  <c r="Y14" i="1"/>
  <c r="Y18" i="1"/>
  <c r="Y22" i="1"/>
  <c r="Y26" i="1"/>
  <c r="Y30" i="1"/>
  <c r="AB8" i="1"/>
  <c r="AB10" i="1"/>
  <c r="AB12" i="1"/>
  <c r="K7" i="4" s="1"/>
  <c r="AB14" i="1"/>
  <c r="AB16" i="1"/>
  <c r="AB20" i="1"/>
  <c r="AB22" i="1"/>
  <c r="AB24" i="1"/>
  <c r="AB26" i="1"/>
  <c r="AB28" i="1"/>
  <c r="AB30" i="1"/>
  <c r="AB32" i="1"/>
  <c r="AB11" i="1"/>
  <c r="AB15" i="1"/>
  <c r="AB19" i="1"/>
  <c r="AB23" i="1"/>
  <c r="AB27" i="1"/>
  <c r="AB31" i="1"/>
  <c r="AB13" i="1"/>
  <c r="AB21" i="1"/>
  <c r="AB29" i="1"/>
  <c r="AB9" i="1"/>
  <c r="AB17" i="1"/>
  <c r="AB25" i="1"/>
  <c r="AB33" i="1"/>
  <c r="V8" i="1"/>
  <c r="E3" i="4" s="1"/>
  <c r="V10" i="1"/>
  <c r="V12" i="1"/>
  <c r="E7" i="4" s="1"/>
  <c r="V14" i="1"/>
  <c r="T9" i="2" s="1"/>
  <c r="V16" i="1"/>
  <c r="V18" i="1"/>
  <c r="V20" i="1"/>
  <c r="V22" i="1"/>
  <c r="V24" i="1"/>
  <c r="V26" i="1"/>
  <c r="V28" i="1"/>
  <c r="T23" i="2" s="1"/>
  <c r="V30" i="1"/>
  <c r="V32" i="1"/>
  <c r="V7" i="1"/>
  <c r="E2" i="4" s="1"/>
  <c r="V9" i="1"/>
  <c r="V13" i="1"/>
  <c r="T8" i="2" s="1"/>
  <c r="V17" i="1"/>
  <c r="V21" i="1"/>
  <c r="V25" i="1"/>
  <c r="V29" i="1"/>
  <c r="T24" i="2" s="1"/>
  <c r="V33" i="1"/>
  <c r="V11" i="1"/>
  <c r="E6" i="4" s="1"/>
  <c r="V15" i="1"/>
  <c r="T10" i="2" s="1"/>
  <c r="V19" i="1"/>
  <c r="V23" i="1"/>
  <c r="V27" i="1"/>
  <c r="V31" i="1"/>
  <c r="Q16" i="1"/>
  <c r="Q19" i="1"/>
  <c r="AC19" i="1" s="1"/>
  <c r="Q14" i="1"/>
  <c r="Q15" i="1"/>
  <c r="Q17" i="1"/>
  <c r="Q18" i="1"/>
  <c r="Q20" i="1"/>
  <c r="Q21" i="1"/>
  <c r="Q22" i="1"/>
  <c r="AC22" i="1" s="1"/>
  <c r="AD22" i="1" s="1"/>
  <c r="Q23" i="1"/>
  <c r="Q24" i="1"/>
  <c r="Q25" i="1"/>
  <c r="Q26" i="1"/>
  <c r="Q27" i="1"/>
  <c r="Q28" i="1"/>
  <c r="Q29" i="1"/>
  <c r="Q30" i="1"/>
  <c r="Q31" i="1"/>
  <c r="Q32" i="1"/>
  <c r="Q33" i="1"/>
  <c r="Q34" i="1"/>
  <c r="Q13" i="1"/>
  <c r="Q7" i="1"/>
  <c r="Q8" i="1"/>
  <c r="Q9" i="1"/>
  <c r="Q10" i="1"/>
  <c r="Q11" i="1"/>
  <c r="Q12" i="1"/>
  <c r="O14" i="1"/>
  <c r="O15" i="1"/>
  <c r="O16" i="1"/>
  <c r="O17" i="1"/>
  <c r="O18" i="1"/>
  <c r="O19" i="1"/>
  <c r="Z19" i="1" s="1"/>
  <c r="AA19" i="1" s="1"/>
  <c r="O20" i="1"/>
  <c r="O21" i="1"/>
  <c r="O22" i="1"/>
  <c r="Z22" i="1" s="1"/>
  <c r="O23" i="1"/>
  <c r="O24" i="1"/>
  <c r="O25" i="1"/>
  <c r="O26" i="1"/>
  <c r="O27" i="1"/>
  <c r="O28" i="1"/>
  <c r="O29" i="1"/>
  <c r="O30" i="1"/>
  <c r="O31" i="1"/>
  <c r="O32" i="1"/>
  <c r="O33" i="1"/>
  <c r="O34" i="1"/>
  <c r="O13" i="1"/>
  <c r="O8" i="1"/>
  <c r="O9" i="1"/>
  <c r="O10" i="1"/>
  <c r="O11" i="1"/>
  <c r="O12" i="1"/>
  <c r="O7" i="1"/>
  <c r="M14" i="1"/>
  <c r="M15" i="1"/>
  <c r="M16" i="1"/>
  <c r="M17" i="1"/>
  <c r="M18" i="1"/>
  <c r="M19" i="1"/>
  <c r="W19" i="1" s="1"/>
  <c r="M20" i="1"/>
  <c r="M21" i="1"/>
  <c r="M22" i="1"/>
  <c r="W22" i="1" s="1"/>
  <c r="X22" i="1" s="1"/>
  <c r="M23" i="1"/>
  <c r="M24" i="1"/>
  <c r="M25" i="1"/>
  <c r="M26" i="1"/>
  <c r="M27" i="1"/>
  <c r="M28" i="1"/>
  <c r="M29" i="1"/>
  <c r="M30" i="1"/>
  <c r="M31" i="1"/>
  <c r="M32" i="1"/>
  <c r="M33" i="1"/>
  <c r="M34" i="1"/>
  <c r="M13" i="1"/>
  <c r="M8" i="1"/>
  <c r="M9" i="1"/>
  <c r="M10" i="1"/>
  <c r="M11" i="1"/>
  <c r="M12" i="1"/>
  <c r="M7" i="1"/>
  <c r="K14" i="1"/>
  <c r="K15" i="1"/>
  <c r="K16" i="1"/>
  <c r="K17" i="1"/>
  <c r="K18" i="1"/>
  <c r="K19" i="1"/>
  <c r="T19" i="1" s="1"/>
  <c r="U19" i="1" s="1"/>
  <c r="K20" i="1"/>
  <c r="K21" i="1"/>
  <c r="K22" i="1"/>
  <c r="T22" i="1" s="1"/>
  <c r="U22" i="1" s="1"/>
  <c r="K23" i="1"/>
  <c r="K24" i="1"/>
  <c r="K25" i="1"/>
  <c r="K26" i="1"/>
  <c r="K27" i="1"/>
  <c r="K28" i="1"/>
  <c r="K29" i="1"/>
  <c r="K30" i="1"/>
  <c r="K31" i="1"/>
  <c r="K32" i="1"/>
  <c r="K33" i="1"/>
  <c r="K34" i="1"/>
  <c r="K13" i="1"/>
  <c r="K8" i="1"/>
  <c r="K9" i="1"/>
  <c r="K10" i="1"/>
  <c r="K11" i="1"/>
  <c r="K12" i="1"/>
  <c r="K7" i="1"/>
  <c r="K6" i="4" l="1"/>
  <c r="T22" i="2"/>
  <c r="T21" i="2"/>
  <c r="T13" i="2"/>
  <c r="X19" i="1"/>
  <c r="AD19" i="1"/>
  <c r="T12" i="2"/>
  <c r="T20" i="2"/>
  <c r="T19" i="2"/>
  <c r="T11" i="2"/>
  <c r="K3" i="4"/>
  <c r="P14" i="2"/>
  <c r="P16" i="2"/>
  <c r="P17" i="2"/>
  <c r="G5" i="4"/>
  <c r="E5" i="4"/>
  <c r="R28" i="2"/>
  <c r="R14" i="2"/>
  <c r="R17" i="2"/>
  <c r="M5" i="4"/>
  <c r="K5" i="4"/>
  <c r="Q17" i="2"/>
  <c r="Q27" i="2"/>
  <c r="Q28" i="2"/>
  <c r="Q16" i="2"/>
  <c r="H4" i="4"/>
  <c r="J4" i="4"/>
  <c r="U17" i="2"/>
  <c r="V17" i="2"/>
  <c r="T7" i="2"/>
  <c r="B4" i="4"/>
  <c r="O5" i="2"/>
  <c r="C5" i="4"/>
  <c r="P26" i="2"/>
  <c r="P18" i="2"/>
  <c r="E4" i="4"/>
  <c r="G4" i="4"/>
  <c r="K4" i="4"/>
  <c r="M4" i="4"/>
  <c r="R16" i="2"/>
  <c r="R26" i="2"/>
  <c r="R18" i="2"/>
  <c r="R27" i="2"/>
  <c r="J5" i="4"/>
  <c r="H5" i="4"/>
  <c r="Q26" i="2"/>
  <c r="Q18" i="2"/>
  <c r="Q14" i="2"/>
  <c r="C4" i="4"/>
  <c r="O4" i="2"/>
  <c r="U14" i="2"/>
  <c r="V14" i="2"/>
  <c r="B5" i="4"/>
  <c r="AA22" i="1"/>
  <c r="T25" i="2" l="1"/>
  <c r="T27" i="2"/>
  <c r="T6" i="2"/>
  <c r="T28" i="2"/>
  <c r="T3" i="2"/>
  <c r="T26" i="2"/>
  <c r="T16" i="2"/>
  <c r="U16" i="2" s="1"/>
  <c r="T29" i="2"/>
  <c r="T5" i="2"/>
  <c r="T15" i="2"/>
  <c r="T18" i="2"/>
  <c r="Q5" i="2"/>
  <c r="I5" i="4"/>
  <c r="P4" i="2"/>
  <c r="F4" i="4"/>
  <c r="R5" i="2"/>
  <c r="L5" i="4"/>
  <c r="P5" i="2"/>
  <c r="F5" i="4"/>
  <c r="L4" i="4"/>
  <c r="R4" i="2"/>
  <c r="T4" i="2"/>
  <c r="I4" i="4"/>
  <c r="Q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1" i="2"/>
  <c r="C1" i="4" s="1"/>
  <c r="D1" i="2"/>
  <c r="D1" i="4" s="1"/>
  <c r="E1" i="2"/>
  <c r="E1" i="4" s="1"/>
  <c r="F1" i="2"/>
  <c r="F1" i="4" s="1"/>
  <c r="G1" i="2"/>
  <c r="G1" i="4" s="1"/>
  <c r="H1" i="2"/>
  <c r="H1" i="4" s="1"/>
  <c r="I1" i="2"/>
  <c r="I1" i="4" s="1"/>
  <c r="J1" i="2"/>
  <c r="J1" i="4" s="1"/>
  <c r="K1" i="2"/>
  <c r="K1" i="4" s="1"/>
  <c r="L1" i="2"/>
  <c r="L1" i="4" s="1"/>
  <c r="M1" i="2"/>
  <c r="M1" i="4" s="1"/>
  <c r="B1" i="2"/>
  <c r="B1" i="4" s="1"/>
  <c r="V16" i="2" l="1"/>
  <c r="U18" i="2"/>
  <c r="V18" i="2" s="1"/>
  <c r="U26" i="2"/>
  <c r="V26" i="2" s="1"/>
  <c r="U5" i="2"/>
  <c r="V5" i="2" s="1"/>
  <c r="U4" i="2"/>
  <c r="V4" i="2" s="1"/>
  <c r="A7" i="4"/>
  <c r="A5" i="4"/>
  <c r="A3" i="4"/>
  <c r="A1" i="4"/>
  <c r="A6" i="4"/>
  <c r="A4" i="4"/>
  <c r="A2" i="4"/>
  <c r="K2" i="4" l="1"/>
  <c r="K9" i="4" s="1"/>
  <c r="T2" i="2"/>
  <c r="F27" i="1"/>
  <c r="F28" i="1"/>
  <c r="F29" i="1"/>
  <c r="F30" i="1"/>
  <c r="F31" i="1"/>
  <c r="F32" i="1"/>
  <c r="F33" i="1"/>
  <c r="F34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3" i="1"/>
  <c r="F24" i="1"/>
  <c r="F25" i="1"/>
  <c r="F26" i="1"/>
  <c r="F7" i="1"/>
  <c r="W34" i="1" l="1"/>
  <c r="AC34" i="1"/>
  <c r="Z34" i="1"/>
  <c r="T34" i="1"/>
  <c r="AC26" i="1"/>
  <c r="T26" i="1"/>
  <c r="W26" i="1"/>
  <c r="Z26" i="1"/>
  <c r="T24" i="1"/>
  <c r="W24" i="1"/>
  <c r="Z24" i="1"/>
  <c r="AC24" i="1"/>
  <c r="W21" i="1"/>
  <c r="X21" i="1" s="1"/>
  <c r="AC21" i="1"/>
  <c r="AD21" i="1" s="1"/>
  <c r="T21" i="1"/>
  <c r="U21" i="1" s="1"/>
  <c r="Z21" i="1"/>
  <c r="AA21" i="1" s="1"/>
  <c r="AC18" i="1"/>
  <c r="T18" i="1"/>
  <c r="W18" i="1"/>
  <c r="Z18" i="1"/>
  <c r="T16" i="1"/>
  <c r="W16" i="1"/>
  <c r="Z16" i="1"/>
  <c r="AC16" i="1"/>
  <c r="T14" i="1"/>
  <c r="W14" i="1"/>
  <c r="Z14" i="1"/>
  <c r="AC14" i="1"/>
  <c r="AC12" i="1"/>
  <c r="T12" i="1"/>
  <c r="W12" i="1"/>
  <c r="Z12" i="1"/>
  <c r="AC10" i="1"/>
  <c r="AD10" i="1" s="1"/>
  <c r="T10" i="1"/>
  <c r="U10" i="1" s="1"/>
  <c r="W10" i="1"/>
  <c r="X10" i="1" s="1"/>
  <c r="Z10" i="1"/>
  <c r="AA10" i="1" s="1"/>
  <c r="AC8" i="1"/>
  <c r="T8" i="1"/>
  <c r="W8" i="1"/>
  <c r="Z8" i="1"/>
  <c r="T33" i="1"/>
  <c r="AC33" i="1"/>
  <c r="AD33" i="1" s="1"/>
  <c r="Z33" i="1"/>
  <c r="AA33" i="1" s="1"/>
  <c r="W33" i="1"/>
  <c r="Z31" i="1"/>
  <c r="AA31" i="1" s="1"/>
  <c r="T31" i="1"/>
  <c r="U31" i="1" s="1"/>
  <c r="W31" i="1"/>
  <c r="X31" i="1" s="1"/>
  <c r="AC31" i="1"/>
  <c r="AD31" i="1" s="1"/>
  <c r="W29" i="1"/>
  <c r="T29" i="1"/>
  <c r="Z29" i="1"/>
  <c r="AC29" i="1"/>
  <c r="Z27" i="1"/>
  <c r="AC27" i="1"/>
  <c r="W27" i="1"/>
  <c r="T27" i="1"/>
  <c r="T7" i="1"/>
  <c r="Z7" i="1"/>
  <c r="Q2" i="2" s="1"/>
  <c r="W7" i="1"/>
  <c r="T25" i="1"/>
  <c r="AC25" i="1"/>
  <c r="Z25" i="1"/>
  <c r="W25" i="1"/>
  <c r="Z23" i="1"/>
  <c r="AA23" i="1" s="1"/>
  <c r="T23" i="1"/>
  <c r="U23" i="1" s="1"/>
  <c r="AC23" i="1"/>
  <c r="AD23" i="1" s="1"/>
  <c r="W23" i="1"/>
  <c r="X23" i="1" s="1"/>
  <c r="AC20" i="1"/>
  <c r="T20" i="1"/>
  <c r="W20" i="1"/>
  <c r="Z20" i="1"/>
  <c r="T17" i="1"/>
  <c r="Z17" i="1"/>
  <c r="W17" i="1"/>
  <c r="AC17" i="1"/>
  <c r="Z15" i="1"/>
  <c r="T15" i="1"/>
  <c r="W15" i="1"/>
  <c r="AC15" i="1"/>
  <c r="T13" i="1"/>
  <c r="W13" i="1"/>
  <c r="Z13" i="1"/>
  <c r="AC13" i="1"/>
  <c r="Z11" i="1"/>
  <c r="W11" i="1"/>
  <c r="T11" i="1"/>
  <c r="AC11" i="1"/>
  <c r="Z9" i="1"/>
  <c r="AA9" i="1" s="1"/>
  <c r="AC9" i="1"/>
  <c r="AD9" i="1" s="1"/>
  <c r="T9" i="1"/>
  <c r="U9" i="1" s="1"/>
  <c r="W9" i="1"/>
  <c r="X9" i="1" s="1"/>
  <c r="T32" i="1"/>
  <c r="W32" i="1"/>
  <c r="Z32" i="1"/>
  <c r="AA32" i="1" s="1"/>
  <c r="AC32" i="1"/>
  <c r="AD32" i="1" s="1"/>
  <c r="AC30" i="1"/>
  <c r="T30" i="1"/>
  <c r="W30" i="1"/>
  <c r="Z30" i="1"/>
  <c r="T28" i="1"/>
  <c r="W28" i="1"/>
  <c r="Z28" i="1"/>
  <c r="AC28" i="1"/>
  <c r="G26" i="1"/>
  <c r="G7" i="1"/>
  <c r="AC7" i="1"/>
  <c r="R2" i="2" s="1"/>
  <c r="G25" i="1"/>
  <c r="G23" i="1"/>
  <c r="G20" i="1"/>
  <c r="G17" i="1"/>
  <c r="G15" i="1"/>
  <c r="G13" i="1"/>
  <c r="G11" i="1"/>
  <c r="G9" i="1"/>
  <c r="G34" i="1"/>
  <c r="G32" i="1"/>
  <c r="G30" i="1"/>
  <c r="G28" i="1"/>
  <c r="G24" i="1"/>
  <c r="G21" i="1"/>
  <c r="G18" i="1"/>
  <c r="G16" i="1"/>
  <c r="G14" i="1"/>
  <c r="G12" i="1"/>
  <c r="G10" i="1"/>
  <c r="G8" i="1"/>
  <c r="G33" i="1"/>
  <c r="G31" i="1"/>
  <c r="G29" i="1"/>
  <c r="G27" i="1"/>
  <c r="X30" i="1" l="1"/>
  <c r="AD30" i="1"/>
  <c r="X20" i="1"/>
  <c r="R15" i="2"/>
  <c r="X33" i="1"/>
  <c r="AA30" i="1"/>
  <c r="X32" i="1"/>
  <c r="Q15" i="2"/>
  <c r="U30" i="1"/>
  <c r="U20" i="1"/>
  <c r="U33" i="1"/>
  <c r="U32" i="1"/>
  <c r="U34" i="1"/>
  <c r="AD34" i="1"/>
  <c r="AA34" i="1"/>
  <c r="X34" i="1"/>
  <c r="R12" i="2"/>
  <c r="Q12" i="2"/>
  <c r="AD28" i="1"/>
  <c r="AD11" i="1"/>
  <c r="R6" i="2"/>
  <c r="AD29" i="1"/>
  <c r="AD8" i="1"/>
  <c r="R3" i="2"/>
  <c r="AD16" i="1"/>
  <c r="AD18" i="1"/>
  <c r="L2" i="4"/>
  <c r="M2" i="4"/>
  <c r="AD13" i="1"/>
  <c r="AD15" i="1"/>
  <c r="AD25" i="1"/>
  <c r="AD27" i="1"/>
  <c r="AD12" i="1"/>
  <c r="R7" i="2"/>
  <c r="AD14" i="1"/>
  <c r="AD24" i="1"/>
  <c r="AD26" i="1"/>
  <c r="AA28" i="1"/>
  <c r="AA11" i="1"/>
  <c r="Q6" i="2"/>
  <c r="AA13" i="1"/>
  <c r="AA15" i="1"/>
  <c r="AA25" i="1"/>
  <c r="I2" i="4"/>
  <c r="J2" i="4"/>
  <c r="AA27" i="1"/>
  <c r="AA8" i="1"/>
  <c r="Q3" i="2"/>
  <c r="AA12" i="1"/>
  <c r="Q7" i="2"/>
  <c r="AA14" i="1"/>
  <c r="AA24" i="1"/>
  <c r="AA26" i="1"/>
  <c r="AA29" i="1"/>
  <c r="AA16" i="1"/>
  <c r="AA18" i="1"/>
  <c r="X13" i="1"/>
  <c r="X15" i="1"/>
  <c r="X17" i="1"/>
  <c r="X27" i="1"/>
  <c r="X16" i="1"/>
  <c r="X18" i="1"/>
  <c r="X28" i="1"/>
  <c r="X11" i="1"/>
  <c r="P6" i="2"/>
  <c r="X25" i="1"/>
  <c r="X7" i="1"/>
  <c r="P2" i="2"/>
  <c r="X29" i="1"/>
  <c r="X8" i="1"/>
  <c r="P3" i="2"/>
  <c r="X12" i="1"/>
  <c r="P7" i="2"/>
  <c r="X14" i="1"/>
  <c r="X24" i="1"/>
  <c r="X26" i="1"/>
  <c r="U28" i="1"/>
  <c r="O23" i="2"/>
  <c r="U11" i="1"/>
  <c r="O6" i="2"/>
  <c r="U25" i="1"/>
  <c r="O20" i="2"/>
  <c r="U29" i="1"/>
  <c r="O24" i="2"/>
  <c r="U8" i="1"/>
  <c r="O3" i="2"/>
  <c r="U12" i="1"/>
  <c r="O7" i="2"/>
  <c r="U14" i="1"/>
  <c r="O9" i="2"/>
  <c r="U24" i="1"/>
  <c r="O19" i="2"/>
  <c r="U26" i="1"/>
  <c r="O21" i="2"/>
  <c r="U13" i="1"/>
  <c r="O8" i="2"/>
  <c r="U15" i="1"/>
  <c r="O10" i="2"/>
  <c r="U17" i="1"/>
  <c r="O12" i="2"/>
  <c r="U7" i="1"/>
  <c r="O2" i="2"/>
  <c r="U27" i="1"/>
  <c r="O22" i="2"/>
  <c r="U16" i="1"/>
  <c r="O11" i="2"/>
  <c r="U18" i="1"/>
  <c r="O13" i="2"/>
  <c r="AD17" i="1"/>
  <c r="AA17" i="1"/>
  <c r="AA20" i="1"/>
  <c r="AD20" i="1"/>
  <c r="AA7" i="1"/>
  <c r="AD7" i="1"/>
  <c r="P27" i="2" l="1"/>
  <c r="Q25" i="2"/>
  <c r="P28" i="2"/>
  <c r="P15" i="2"/>
  <c r="R25" i="2"/>
  <c r="P25" i="2"/>
  <c r="O27" i="2"/>
  <c r="U27" i="2" s="1"/>
  <c r="V27" i="2" s="1"/>
  <c r="O28" i="2"/>
  <c r="U28" i="2" s="1"/>
  <c r="V28" i="2" s="1"/>
  <c r="O15" i="2"/>
  <c r="U15" i="2" s="1"/>
  <c r="V15" i="2" s="1"/>
  <c r="O25" i="2"/>
  <c r="U25" i="2" s="1"/>
  <c r="V25" i="2" s="1"/>
  <c r="P29" i="2"/>
  <c r="Q29" i="2"/>
  <c r="R29" i="2"/>
  <c r="O29" i="2"/>
  <c r="U2" i="2"/>
  <c r="V2" i="2" s="1"/>
  <c r="U7" i="2"/>
  <c r="V7" i="2" s="1"/>
  <c r="U3" i="2"/>
  <c r="V3" i="2" s="1"/>
  <c r="U6" i="2"/>
  <c r="V6" i="2" s="1"/>
  <c r="P21" i="2"/>
  <c r="P19" i="2"/>
  <c r="P9" i="2"/>
  <c r="P24" i="2"/>
  <c r="P20" i="2"/>
  <c r="P23" i="2"/>
  <c r="P13" i="2"/>
  <c r="P11" i="2"/>
  <c r="P22" i="2"/>
  <c r="P12" i="2"/>
  <c r="P10" i="2"/>
  <c r="P8" i="2"/>
  <c r="Q13" i="2"/>
  <c r="Q11" i="2"/>
  <c r="Q24" i="2"/>
  <c r="Q21" i="2"/>
  <c r="Q19" i="2"/>
  <c r="Q9" i="2"/>
  <c r="Q22" i="2"/>
  <c r="Q20" i="2"/>
  <c r="Q10" i="2"/>
  <c r="Q8" i="2"/>
  <c r="Q23" i="2"/>
  <c r="R21" i="2"/>
  <c r="R19" i="2"/>
  <c r="R9" i="2"/>
  <c r="R22" i="2"/>
  <c r="R20" i="2"/>
  <c r="R10" i="2"/>
  <c r="R8" i="2"/>
  <c r="R13" i="2"/>
  <c r="R11" i="2"/>
  <c r="R24" i="2"/>
  <c r="R23" i="2"/>
  <c r="L7" i="4"/>
  <c r="M7" i="4"/>
  <c r="L3" i="4"/>
  <c r="M3" i="4"/>
  <c r="L6" i="4"/>
  <c r="M6" i="4"/>
  <c r="I7" i="4"/>
  <c r="J7" i="4"/>
  <c r="I3" i="4"/>
  <c r="J3" i="4"/>
  <c r="I6" i="4"/>
  <c r="J6" i="4"/>
  <c r="F7" i="4"/>
  <c r="G7" i="4"/>
  <c r="F3" i="4"/>
  <c r="G3" i="4"/>
  <c r="F2" i="4"/>
  <c r="G2" i="4"/>
  <c r="F6" i="4"/>
  <c r="G6" i="4"/>
  <c r="C2" i="4"/>
  <c r="D2" i="4"/>
  <c r="C7" i="4"/>
  <c r="D7" i="4"/>
  <c r="C3" i="4"/>
  <c r="D3" i="4"/>
  <c r="C6" i="4"/>
  <c r="D6" i="4"/>
  <c r="U29" i="2" l="1"/>
  <c r="V29" i="2" s="1"/>
  <c r="U20" i="2"/>
  <c r="V20" i="2" s="1"/>
  <c r="U8" i="2"/>
  <c r="V8" i="2" s="1"/>
  <c r="U22" i="2"/>
  <c r="V22" i="2" s="1"/>
  <c r="U23" i="2"/>
  <c r="V23" i="2" s="1"/>
  <c r="U19" i="2"/>
  <c r="V19" i="2" s="1"/>
  <c r="U10" i="2"/>
  <c r="V10" i="2" s="1"/>
  <c r="U9" i="2"/>
  <c r="V9" i="2" s="1"/>
  <c r="U12" i="2"/>
  <c r="V12" i="2" s="1"/>
  <c r="U13" i="2"/>
  <c r="V13" i="2" s="1"/>
  <c r="U24" i="2"/>
  <c r="V24" i="2" s="1"/>
  <c r="U21" i="2"/>
  <c r="V21" i="2" s="1"/>
  <c r="U11" i="2"/>
  <c r="V11" i="2" s="1"/>
  <c r="C9" i="4"/>
  <c r="D9" i="4" s="1"/>
</calcChain>
</file>

<file path=xl/sharedStrings.xml><?xml version="1.0" encoding="utf-8"?>
<sst xmlns="http://schemas.openxmlformats.org/spreadsheetml/2006/main" count="154" uniqueCount="71">
  <si>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</si>
  <si>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</si>
  <si>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</si>
  <si>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</si>
  <si>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</si>
  <si>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</si>
  <si>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</si>
  <si>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</si>
  <si>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</si>
  <si>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</si>
  <si>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</si>
  <si>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</si>
  <si>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</si>
  <si>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</si>
  <si>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</si>
  <si>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</si>
  <si>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</si>
  <si>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</si>
  <si>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</si>
  <si>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</si>
  <si>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</si>
  <si>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</si>
  <si>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</si>
  <si>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</si>
  <si>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</si>
  <si>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</si>
  <si>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</si>
  <si>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</si>
  <si>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</si>
  <si>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</si>
  <si>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</si>
  <si>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</si>
  <si>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</si>
  <si>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</si>
  <si>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</si>
  <si>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</si>
  <si>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</si>
  <si>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</si>
  <si>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</si>
  <si>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</si>
  <si>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ppb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</si>
  <si>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</si>
  <si>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</si>
  <si>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</si>
  <si>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</si>
  <si>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</si>
  <si>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</si>
  <si>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Vial 87G basically vial 30G after 4 TBP contacts…as you can see we gain Nd in all cases</t>
  </si>
  <si>
    <t>Based on dry run and blanks sent I would estimate the Nd concentration in TBP to be about 0.145 ppb</t>
  </si>
  <si>
    <t>Based on dry run and blanks sent I would estimate the Nd concentration in the vials themselves to be 0</t>
  </si>
  <si>
    <t xml:space="preserve">I have created something from nothing…go me. Why am I getting so much more Nd in my waste stream after first contacts? </t>
  </si>
  <si>
    <t>% of STD</t>
  </si>
  <si>
    <t>% of Prop</t>
  </si>
  <si>
    <t>CPS</t>
  </si>
  <si>
    <t>±^2</t>
  </si>
  <si>
    <t>Sum Pd</t>
  </si>
  <si>
    <t>Background subtracted Pd values reported above. Isotopes 110 had Cd subtracted out as well</t>
  </si>
  <si>
    <t>Lower limits of detection were determined based on the background (Pd/Cd) levels within each sample (see Mass_Contamination.xlsx File)</t>
  </si>
  <si>
    <t>Pd110</t>
  </si>
  <si>
    <t>Pd108</t>
  </si>
  <si>
    <t>Pd105</t>
  </si>
  <si>
    <t>Cd Response</t>
  </si>
  <si>
    <t>MSCS-M (ppb/cps)</t>
  </si>
  <si>
    <t>MS-C (ppb/csp)</t>
  </si>
  <si>
    <t>Pd Response</t>
  </si>
  <si>
    <t>Cd Background on mass 110 (Pd Background as well)</t>
  </si>
  <si>
    <t>Assumed response with no Cd (Cd subtracted (Pd as well) in PPB_Pd_Aliquot_Sent)</t>
  </si>
  <si>
    <t>Background (Pd/Cd/Ag) (ppb)</t>
  </si>
  <si>
    <t>± (ppb)</t>
  </si>
  <si>
    <t>The book says nothing (lab notebook pg 123)</t>
  </si>
  <si>
    <t>Pd107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</si>
</sst>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4" fillId="0" borderId="2" applyNumberFormat="0" applyFont="0" applyFill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3" borderId="0" xfId="0" applyFill="1"/>
    <xf numFmtId="0" fontId="3" fillId="3" borderId="0" xfId="0" applyFont="1" applyFill="1" applyAlignment="1">
      <alignment wrapText="1"/>
    </xf>
    <xf numFmtId="11" fontId="0" fillId="3" borderId="0" xfId="0" applyNumberFormat="1" applyFill="1"/>
    <xf numFmtId="11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3" borderId="4" xfId="0" applyFill="1" applyBorder="1"/>
    <xf numFmtId="0" fontId="0" fillId="0" borderId="7" xfId="0" applyBorder="1"/>
    <xf numFmtId="0" fontId="0" fillId="3" borderId="7" xfId="0" applyFill="1" applyBorder="1"/>
    <xf numFmtId="11" fontId="0" fillId="0" borderId="7" xfId="0" applyNumberFormat="1" applyBorder="1"/>
    <xf numFmtId="0" fontId="0" fillId="4" borderId="7" xfId="0" applyFill="1" applyBorder="1"/>
    <xf numFmtId="0" fontId="0" fillId="3" borderId="6" xfId="0" applyFill="1" applyBorder="1"/>
    <xf numFmtId="0" fontId="0" fillId="0" borderId="0" xfId="0" applyAlignment="1">
      <alignment wrapText="1"/>
    </xf>
    <xf numFmtId="11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6" xfId="0" applyFill="1" applyBorder="1"/>
    <xf numFmtId="0" fontId="0" fillId="0" borderId="4" xfId="0" applyFill="1" applyBorder="1"/>
    <xf numFmtId="0" fontId="2" fillId="0" borderId="3" xfId="0" applyFont="1" applyBorder="1"/>
    <xf numFmtId="11" fontId="0" fillId="0" borderId="0" xfId="0" applyNumberFormat="1"/>
    <xf numFmtId="0" fontId="3" fillId="3" borderId="0" xfId="0" applyFont="1" applyFill="1"/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6" fillId="3" borderId="0" xfId="0" applyFont="1" applyFill="1" applyAlignment="1">
      <alignment horizontal="center"/>
    </xf>
    <xf numFmtId="0" fontId="3" fillId="3" borderId="7" xfId="0" applyFont="1" applyFill="1" applyBorder="1"/>
    <xf numFmtId="0" fontId="6" fillId="3" borderId="0" xfId="0" applyFont="1" applyFill="1" applyBorder="1" applyAlignment="1">
      <alignment horizontal="left" wrapText="1"/>
    </xf>
    <xf numFmtId="11" fontId="3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0" xfId="0" applyFont="1" applyFill="1" applyBorder="1"/>
    <xf numFmtId="0" fontId="6" fillId="3" borderId="0" xfId="0" applyFont="1" applyFill="1" applyBorder="1"/>
    <xf numFmtId="0" fontId="6" fillId="3" borderId="0" xfId="0" applyFont="1" applyFill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3" xfId="0" applyNumberFormat="1" applyFill="1" applyBorder="1" applyAlignment="1">
      <alignment horizontal="center"/>
    </xf>
    <xf numFmtId="164" fontId="0" fillId="3" borderId="0" xfId="0" applyNumberFormat="1" applyFill="1"/>
    <xf numFmtId="10" fontId="0" fillId="0" borderId="3" xfId="0" applyNumberFormat="1" applyBorder="1"/>
    <xf numFmtId="0" fontId="0" fillId="0" borderId="8" xfId="0" applyBorder="1"/>
    <xf numFmtId="0" fontId="0" fillId="0" borderId="6" xfId="0" applyBorder="1"/>
    <xf numFmtId="0" fontId="0" fillId="0" borderId="10" xfId="0" applyBorder="1"/>
    <xf numFmtId="10" fontId="0" fillId="0" borderId="10" xfId="0" applyNumberFormat="1" applyBorder="1"/>
    <xf numFmtId="10" fontId="0" fillId="0" borderId="9" xfId="0" applyNumberFormat="1" applyBorder="1"/>
    <xf numFmtId="11" fontId="0" fillId="5" borderId="0" xfId="0" applyNumberFormat="1" applyFill="1" applyAlignment="1">
      <alignment horizontal="center"/>
    </xf>
    <xf numFmtId="0" fontId="0" fillId="6" borderId="0" xfId="0" applyFill="1"/>
    <xf numFmtId="10" fontId="0" fillId="6" borderId="0" xfId="0" applyNumberFormat="1" applyFill="1"/>
    <xf numFmtId="0" fontId="0" fillId="6" borderId="2" xfId="0" applyFill="1" applyBorder="1"/>
    <xf numFmtId="10" fontId="0" fillId="6" borderId="10" xfId="0" applyNumberFormat="1" applyFill="1" applyBorder="1"/>
    <xf numFmtId="10" fontId="0" fillId="3" borderId="0" xfId="0" applyNumberFormat="1" applyFill="1"/>
    <xf numFmtId="0" fontId="0" fillId="3" borderId="2" xfId="0" applyFill="1" applyBorder="1"/>
    <xf numFmtId="10" fontId="0" fillId="3" borderId="10" xfId="0" applyNumberFormat="1" applyFill="1" applyBorder="1"/>
    <xf numFmtId="0" fontId="0" fillId="7" borderId="0" xfId="0" applyFill="1"/>
    <xf numFmtId="10" fontId="0" fillId="7" borderId="0" xfId="0" applyNumberFormat="1" applyFill="1"/>
    <xf numFmtId="0" fontId="0" fillId="7" borderId="2" xfId="0" applyFill="1" applyBorder="1"/>
    <xf numFmtId="10" fontId="0" fillId="7" borderId="10" xfId="0" applyNumberFormat="1" applyFill="1" applyBorder="1"/>
    <xf numFmtId="0" fontId="0" fillId="8" borderId="0" xfId="0" applyFill="1"/>
    <xf numFmtId="10" fontId="0" fillId="8" borderId="0" xfId="0" applyNumberFormat="1" applyFill="1"/>
    <xf numFmtId="0" fontId="0" fillId="8" borderId="2" xfId="0" applyFill="1" applyBorder="1"/>
    <xf numFmtId="10" fontId="0" fillId="8" borderId="10" xfId="0" applyNumberFormat="1" applyFill="1" applyBorder="1"/>
    <xf numFmtId="0" fontId="0" fillId="5" borderId="0" xfId="0" applyFill="1"/>
    <xf numFmtId="10" fontId="0" fillId="5" borderId="0" xfId="0" applyNumberFormat="1" applyFill="1"/>
    <xf numFmtId="0" fontId="0" fillId="5" borderId="2" xfId="0" applyFill="1" applyBorder="1"/>
    <xf numFmtId="10" fontId="0" fillId="5" borderId="10" xfId="0" applyNumberFormat="1" applyFill="1" applyBorder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"/>
  <sheetViews>
    <sheetView topLeftCell="N1" workbookViewId="0">
      <pane ySplit="1" topLeftCell="A2" activePane="bottomLeft" state="frozen"/>
      <selection activeCell="G1" sqref="G1"/>
      <selection pane="bottomLeft" activeCell="AB19" sqref="AB19"/>
    </sheetView>
  </sheetViews>
  <sheetFormatPr defaultRowHeight="15" x14ac:dyDescent="0.25"/>
  <cols>
    <col min="1" max="1" width="8.140625" customWidth="1"/>
    <col min="2" max="2" width="14.42578125" customWidth="1"/>
    <col min="4" max="4" width="14.28515625" customWidth="1"/>
    <col min="6" max="6" width="7.710937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style="9" customWidth="1"/>
    <col min="13" max="13" width="13.42578125" bestFit="1" customWidth="1"/>
    <col min="14" max="14" width="12" bestFit="1" customWidth="1"/>
    <col min="15" max="15" width="13.42578125" bestFit="1" customWidth="1"/>
    <col min="17" max="17" width="13.42578125" bestFit="1" customWidth="1"/>
    <col min="18" max="18" width="12" bestFit="1" customWidth="1"/>
    <col min="19" max="19" width="13.42578125" bestFit="1" customWidth="1"/>
    <col min="20" max="20" width="12" bestFit="1" customWidth="1"/>
    <col min="26" max="26" width="12" bestFit="1" customWidth="1"/>
  </cols>
  <sheetData>
    <row r="1" spans="2:33" x14ac:dyDescent="0.25">
      <c r="H1" s="36"/>
      <c r="J1" s="5">
        <v>105</v>
      </c>
      <c r="K1" s="5"/>
      <c r="L1" s="61">
        <v>107</v>
      </c>
      <c r="M1" s="5"/>
      <c r="N1" s="5">
        <v>108</v>
      </c>
      <c r="O1" s="5"/>
      <c r="P1" s="5">
        <v>110</v>
      </c>
      <c r="Q1" s="5"/>
      <c r="R1" s="30"/>
      <c r="S1" s="5" t="s">
        <v>40</v>
      </c>
      <c r="T1" s="5"/>
      <c r="U1" s="5"/>
      <c r="V1" s="5" t="s">
        <v>40</v>
      </c>
      <c r="W1" s="5"/>
      <c r="X1" s="5"/>
      <c r="Y1" s="5" t="s">
        <v>40</v>
      </c>
      <c r="Z1" s="5"/>
      <c r="AB1" s="5" t="s">
        <v>40</v>
      </c>
    </row>
    <row r="2" spans="2:33" x14ac:dyDescent="0.25">
      <c r="C2" t="s">
        <v>38</v>
      </c>
      <c r="E2">
        <v>40</v>
      </c>
      <c r="F2" t="s">
        <v>39</v>
      </c>
      <c r="H2" s="36" t="s">
        <v>64</v>
      </c>
      <c r="I2" s="5" t="s">
        <v>34</v>
      </c>
      <c r="J2" s="17">
        <f>J35</f>
        <v>2.30601870116374E-5</v>
      </c>
      <c r="K2" s="5" t="s">
        <v>34</v>
      </c>
      <c r="L2" s="17">
        <f t="shared" ref="L2:P2" si="0">L35</f>
        <v>2.1667300000000002E-5</v>
      </c>
      <c r="M2" s="5" t="s">
        <v>34</v>
      </c>
      <c r="N2" s="71">
        <f t="shared" si="0"/>
        <v>1.86085023730408E-5</v>
      </c>
      <c r="O2" s="5" t="s">
        <v>34</v>
      </c>
      <c r="P2" s="17">
        <f t="shared" si="0"/>
        <v>1.6548295591259099E-5</v>
      </c>
      <c r="Q2" s="5"/>
      <c r="R2" s="30"/>
    </row>
    <row r="3" spans="2:33" x14ac:dyDescent="0.25">
      <c r="C3" t="s">
        <v>37</v>
      </c>
      <c r="E3">
        <v>2.0000000000000001E-4</v>
      </c>
      <c r="F3" t="s">
        <v>35</v>
      </c>
      <c r="H3" s="36"/>
      <c r="I3" s="8" t="s">
        <v>33</v>
      </c>
      <c r="J3" s="17">
        <f>K35</f>
        <v>1.7933008921358501E-7</v>
      </c>
      <c r="K3" s="8" t="s">
        <v>33</v>
      </c>
      <c r="L3" s="17">
        <f>M35</f>
        <v>1.7933008921358501E-7</v>
      </c>
      <c r="M3" s="8" t="s">
        <v>33</v>
      </c>
      <c r="N3" s="17">
        <f t="shared" ref="N3:P3" si="1">O35</f>
        <v>1.40411815306763E-7</v>
      </c>
      <c r="O3" s="8" t="s">
        <v>33</v>
      </c>
      <c r="P3" s="17">
        <f t="shared" si="1"/>
        <v>1.32046027675256E-7</v>
      </c>
      <c r="Q3" s="8"/>
      <c r="R3" s="30"/>
      <c r="S3" s="5"/>
      <c r="T3" s="5"/>
      <c r="U3" s="5"/>
      <c r="V3" s="5"/>
      <c r="W3" s="5"/>
      <c r="X3" s="5"/>
      <c r="Y3" s="5"/>
      <c r="Z3" s="5"/>
    </row>
    <row r="4" spans="2:33" x14ac:dyDescent="0.25">
      <c r="H4" s="36" t="s">
        <v>61</v>
      </c>
      <c r="I4" s="5" t="s">
        <v>34</v>
      </c>
      <c r="J4" s="17"/>
      <c r="K4" s="5" t="s">
        <v>34</v>
      </c>
      <c r="L4" s="62"/>
      <c r="M4" s="5" t="s">
        <v>34</v>
      </c>
      <c r="N4" s="17"/>
      <c r="O4" s="5" t="s">
        <v>34</v>
      </c>
      <c r="P4" s="62">
        <f>AVERAGE(P6,P36)</f>
        <v>2.0293106045681402E-5</v>
      </c>
      <c r="Q4" s="5"/>
      <c r="R4" s="30"/>
      <c r="S4" s="5"/>
      <c r="T4" s="5"/>
      <c r="U4" s="25" t="s">
        <v>43</v>
      </c>
      <c r="V4" s="5"/>
      <c r="W4" s="5"/>
      <c r="X4" s="5"/>
      <c r="Y4" s="5"/>
      <c r="Z4" s="5"/>
      <c r="AB4" s="5"/>
    </row>
    <row r="5" spans="2:33" ht="45.75" thickBot="1" x14ac:dyDescent="0.3">
      <c r="B5" s="1" t="s">
        <v>0</v>
      </c>
      <c r="C5" s="2" t="s">
        <v>1</v>
      </c>
      <c r="D5" s="2" t="s">
        <v>2</v>
      </c>
      <c r="E5" s="2" t="s">
        <v>3</v>
      </c>
      <c r="F5" s="8" t="s">
        <v>33</v>
      </c>
      <c r="G5" s="8" t="s">
        <v>36</v>
      </c>
      <c r="H5" s="45"/>
      <c r="I5" s="43" t="s">
        <v>33</v>
      </c>
      <c r="J5" s="42" t="s">
        <v>53</v>
      </c>
      <c r="K5" s="43" t="s">
        <v>33</v>
      </c>
      <c r="L5" s="63" t="s">
        <v>53</v>
      </c>
      <c r="M5" s="43" t="s">
        <v>33</v>
      </c>
      <c r="N5" s="42" t="s">
        <v>53</v>
      </c>
      <c r="O5" s="43" t="s">
        <v>33</v>
      </c>
      <c r="P5" s="63">
        <f>$B$38*((Q6^2+Q36^2)^0.5)+$B$37*_xlfn.STDEV.S(P36,P6)</f>
        <v>4.0454992231318613E-7</v>
      </c>
      <c r="Q5" s="43" t="s">
        <v>33</v>
      </c>
      <c r="R5" s="46"/>
      <c r="S5" s="44" t="s">
        <v>60</v>
      </c>
      <c r="T5" s="47" t="s">
        <v>33</v>
      </c>
      <c r="U5" s="47" t="s">
        <v>36</v>
      </c>
      <c r="V5" s="44" t="s">
        <v>70</v>
      </c>
      <c r="W5" s="47" t="s">
        <v>33</v>
      </c>
      <c r="X5" s="47" t="s">
        <v>36</v>
      </c>
      <c r="Y5" s="47" t="s">
        <v>59</v>
      </c>
      <c r="Z5" s="47" t="s">
        <v>33</v>
      </c>
      <c r="AA5" s="47" t="s">
        <v>36</v>
      </c>
      <c r="AB5" s="47" t="s">
        <v>58</v>
      </c>
      <c r="AC5" s="47" t="s">
        <v>33</v>
      </c>
      <c r="AD5" s="47" t="s">
        <v>36</v>
      </c>
      <c r="AE5" s="7"/>
      <c r="AF5" s="7"/>
      <c r="AG5" s="7"/>
    </row>
    <row r="6" spans="2:33" s="49" customFormat="1" ht="30.75" thickTop="1" x14ac:dyDescent="0.25">
      <c r="B6" s="50"/>
      <c r="C6" s="51"/>
      <c r="D6" s="51"/>
      <c r="E6" s="51"/>
      <c r="F6" s="52"/>
      <c r="G6" s="52"/>
      <c r="H6" s="53" t="s">
        <v>61</v>
      </c>
      <c r="I6" s="54" t="s">
        <v>62</v>
      </c>
      <c r="J6" s="55"/>
      <c r="K6" s="56"/>
      <c r="L6" s="55"/>
      <c r="M6" s="56"/>
      <c r="N6" s="55"/>
      <c r="O6" s="56"/>
      <c r="P6" s="55">
        <v>2.19579111617912E-5</v>
      </c>
      <c r="Q6" s="56">
        <v>1.6956425707386199E-7</v>
      </c>
      <c r="R6" s="57"/>
      <c r="S6" s="58"/>
      <c r="T6" s="59"/>
      <c r="U6" s="59"/>
      <c r="V6" s="58"/>
      <c r="W6" s="59"/>
      <c r="X6" s="59"/>
      <c r="Y6" s="59"/>
      <c r="Z6" s="59"/>
      <c r="AA6" s="59"/>
      <c r="AB6" s="59"/>
      <c r="AC6" s="59"/>
      <c r="AD6" s="59"/>
      <c r="AE6" s="60"/>
      <c r="AF6" s="60"/>
      <c r="AG6" s="60"/>
    </row>
    <row r="7" spans="2:33" x14ac:dyDescent="0.25">
      <c r="B7" s="6" t="s">
        <v>4</v>
      </c>
      <c r="C7" s="3">
        <v>1.34E-2</v>
      </c>
      <c r="D7" s="3">
        <v>5.0464000000000002</v>
      </c>
      <c r="E7" s="3">
        <v>376.597014925373</v>
      </c>
      <c r="F7" s="10">
        <f>(((1/C7)^2)*($E$3^2)+((D7/(C7^2))^2)*($E$3^2))^0.5</f>
        <v>5.6208707851070203</v>
      </c>
      <c r="G7" s="11">
        <f>F7/E7</f>
        <v>1.4925425753098069E-2</v>
      </c>
      <c r="H7" s="36"/>
      <c r="I7" t="s">
        <v>4</v>
      </c>
      <c r="J7" s="9">
        <v>14.399999999999999</v>
      </c>
      <c r="K7" s="9">
        <f>(J7/$E$2)^0.5</f>
        <v>0.6</v>
      </c>
      <c r="L7" s="9">
        <v>36</v>
      </c>
      <c r="M7" s="9">
        <f>(L7/$E$2)^0.5</f>
        <v>0.94868329805051377</v>
      </c>
      <c r="N7" s="9">
        <v>40.799999999999997</v>
      </c>
      <c r="O7" s="9">
        <f>(N7/$E$2)^0.5</f>
        <v>1.0099504938362078</v>
      </c>
      <c r="P7" s="9">
        <v>152.80000000000001</v>
      </c>
      <c r="Q7" s="9">
        <f>(P7/$E$2)^0.5</f>
        <v>1.9544820285692064</v>
      </c>
      <c r="R7" s="31"/>
      <c r="S7">
        <f t="shared" ref="S7:S34" si="2">$J$2*J7*E7</f>
        <v>0.12505532532773042</v>
      </c>
      <c r="T7">
        <f t="shared" ref="T7:T34" si="3">((J7*E7*$J$3)^2+($J$2*E7*K7)^2+($J$2*J7*F7)^2)^0.5</f>
        <v>5.6196405760174217E-3</v>
      </c>
      <c r="U7" s="12">
        <f>T7/S7</f>
        <v>4.493723526999048E-2</v>
      </c>
      <c r="V7">
        <f t="shared" ref="V7:V34" si="4">$L$2*L7*E7</f>
        <v>0.29375425805373129</v>
      </c>
      <c r="W7">
        <f t="shared" ref="W7:W34" si="5">((L7*E7*$L$3)^2+($L$2*E7*M7)^2+($L$2*L7*F7)^2)^0.5</f>
        <v>9.2227317713233815E-3</v>
      </c>
      <c r="X7" s="12">
        <f>W7/V7</f>
        <v>3.1396078587689544E-2</v>
      </c>
      <c r="Y7">
        <f t="shared" ref="Y7:Y12" si="6">$N$2*N7*E7</f>
        <v>0.28592258299349049</v>
      </c>
      <c r="Z7">
        <f t="shared" ref="Z7:Z12" si="7">((N7*E7*$N$3)^2+($N$2*E7*O7)^2+($N$2*N7*F7)^2)^0.5</f>
        <v>8.5416188449788742E-3</v>
      </c>
      <c r="AA7" s="12">
        <f>Z7/Y7</f>
        <v>2.9873886684821039E-2</v>
      </c>
      <c r="AB7" s="48">
        <f>$P$2*E7*P7</f>
        <v>0.9522555166865917</v>
      </c>
      <c r="AC7">
        <f t="shared" ref="AC7:AC12" si="8">((P7*E7*$P$3)^2+($P$2*E7*Q7)^2+($P$2*P7*F7)^2)^0.5</f>
        <v>2.0201562971110264E-2</v>
      </c>
      <c r="AD7" s="12">
        <f>AC7/AB7</f>
        <v>2.1214435219448609E-2</v>
      </c>
      <c r="AG7" s="12"/>
    </row>
    <row r="8" spans="2:33" x14ac:dyDescent="0.25">
      <c r="B8" s="6" t="s">
        <v>5</v>
      </c>
      <c r="C8" s="3">
        <v>3.9E-2</v>
      </c>
      <c r="D8" s="3">
        <v>4.9492000000000003</v>
      </c>
      <c r="E8" s="3">
        <v>126.90256410256411</v>
      </c>
      <c r="F8" s="10">
        <f t="shared" ref="F8:F12" si="9">(((1/C8)^2)*($E$3^2)+((D8/(C8^2))^2)*($E$3^2))^0.5</f>
        <v>0.65080258498519816</v>
      </c>
      <c r="G8" s="11">
        <f t="shared" ref="G8:G12" si="10">F8/E8</f>
        <v>5.1283643446259448E-3</v>
      </c>
      <c r="H8" s="36"/>
      <c r="I8" t="s">
        <v>5</v>
      </c>
      <c r="J8" s="9">
        <v>0</v>
      </c>
      <c r="K8" s="9">
        <f t="shared" ref="K8:K12" si="11">(J8/$E$2)^0.5</f>
        <v>0</v>
      </c>
      <c r="L8" s="9">
        <v>0</v>
      </c>
      <c r="M8" s="9">
        <f t="shared" ref="M8:M12" si="12">(L8/$E$2)^0.5</f>
        <v>0</v>
      </c>
      <c r="N8" s="9">
        <v>3.1999999999999997</v>
      </c>
      <c r="O8" s="9">
        <f t="shared" ref="O8:O12" si="13">(N8/$E$2)^0.5</f>
        <v>0.28284271247461901</v>
      </c>
      <c r="P8" s="9">
        <v>4.8000000000000007</v>
      </c>
      <c r="Q8" s="9">
        <f t="shared" ref="Q8:Q12" si="14">(P8/$E$2)^0.5</f>
        <v>0.34641016151377552</v>
      </c>
      <c r="R8" s="32"/>
      <c r="S8">
        <f t="shared" si="2"/>
        <v>0</v>
      </c>
      <c r="T8">
        <f t="shared" si="3"/>
        <v>0</v>
      </c>
      <c r="U8" s="12" t="e">
        <f t="shared" ref="U8:U34" si="15">T8/S8</f>
        <v>#DIV/0!</v>
      </c>
      <c r="V8">
        <f t="shared" si="4"/>
        <v>0</v>
      </c>
      <c r="W8">
        <f t="shared" si="5"/>
        <v>0</v>
      </c>
      <c r="X8" s="12" t="e">
        <f t="shared" ref="X8:X12" si="16">W8/V8</f>
        <v>#DIV/0!</v>
      </c>
      <c r="Y8">
        <f t="shared" si="6"/>
        <v>7.5566933287920844E-3</v>
      </c>
      <c r="Z8">
        <f t="shared" si="7"/>
        <v>6.7147229993120845E-4</v>
      </c>
      <c r="AA8" s="12">
        <f t="shared" ref="AA8:AA34" si="17">Z8/Y8</f>
        <v>8.8857952905512627E-2</v>
      </c>
      <c r="AB8">
        <f t="shared" ref="AB7:AB12" si="18">$P$2*E8*P8</f>
        <v>1.0080101481878099E-2</v>
      </c>
      <c r="AC8">
        <f t="shared" si="8"/>
        <v>7.3372509717893001E-4</v>
      </c>
      <c r="AD8" s="12">
        <f t="shared" ref="AD8:AD34" si="19">AC8/AB8</f>
        <v>7.2789455393679647E-2</v>
      </c>
      <c r="AG8" s="12"/>
    </row>
    <row r="9" spans="2:33" x14ac:dyDescent="0.25">
      <c r="B9" s="6" t="s">
        <v>6</v>
      </c>
      <c r="C9" s="3">
        <v>5.0299999999999997E-2</v>
      </c>
      <c r="D9" s="3">
        <v>4.9884000000000004</v>
      </c>
      <c r="E9" s="3">
        <v>99.172962226640166</v>
      </c>
      <c r="F9" s="10">
        <f t="shared" si="9"/>
        <v>0.39434593954365693</v>
      </c>
      <c r="G9" s="11">
        <f t="shared" si="10"/>
        <v>3.9763452728421821E-3</v>
      </c>
      <c r="H9" s="36"/>
      <c r="I9" t="s">
        <v>6</v>
      </c>
      <c r="J9" s="9">
        <v>0</v>
      </c>
      <c r="K9" s="9">
        <f t="shared" si="11"/>
        <v>0</v>
      </c>
      <c r="L9" s="9">
        <v>3.1999999999999993</v>
      </c>
      <c r="M9" s="9">
        <f t="shared" si="12"/>
        <v>0.28284271247461901</v>
      </c>
      <c r="N9" s="9">
        <v>4.8000000000000007</v>
      </c>
      <c r="O9" s="9">
        <f t="shared" si="13"/>
        <v>0.34641016151377552</v>
      </c>
      <c r="P9" s="9">
        <v>4.8000000000000007</v>
      </c>
      <c r="Q9" s="9">
        <f t="shared" si="14"/>
        <v>0.34641016151377552</v>
      </c>
      <c r="R9" s="32"/>
      <c r="S9">
        <f t="shared" si="2"/>
        <v>0</v>
      </c>
      <c r="T9">
        <f t="shared" si="3"/>
        <v>0</v>
      </c>
      <c r="U9" s="12" t="e">
        <f t="shared" si="15"/>
        <v>#DIV/0!</v>
      </c>
      <c r="V9">
        <f t="shared" si="4"/>
        <v>6.8761930382504957E-3</v>
      </c>
      <c r="W9">
        <f t="shared" si="5"/>
        <v>6.1104608771688992E-4</v>
      </c>
      <c r="X9" s="12">
        <f t="shared" si="16"/>
        <v>8.8864010116905895E-2</v>
      </c>
      <c r="Y9">
        <f t="shared" si="6"/>
        <v>8.8582094540924135E-3</v>
      </c>
      <c r="Z9">
        <f t="shared" si="7"/>
        <v>6.4373531027163422E-4</v>
      </c>
      <c r="AA9" s="12">
        <f t="shared" si="17"/>
        <v>7.2671041885810708E-2</v>
      </c>
      <c r="AB9">
        <f t="shared" si="18"/>
        <v>7.8774887692186317E-3</v>
      </c>
      <c r="AC9">
        <f t="shared" si="8"/>
        <v>5.7283027187568101E-4</v>
      </c>
      <c r="AD9" s="12">
        <f t="shared" si="19"/>
        <v>7.2717370809085913E-2</v>
      </c>
      <c r="AG9" s="12"/>
    </row>
    <row r="10" spans="2:33" x14ac:dyDescent="0.25">
      <c r="B10" s="6" t="s">
        <v>7</v>
      </c>
      <c r="C10" s="3">
        <v>3.6399999999999995E-2</v>
      </c>
      <c r="D10" s="3">
        <v>4.9635000000000007</v>
      </c>
      <c r="E10" s="3">
        <v>136.35989010989016</v>
      </c>
      <c r="F10" s="10">
        <f t="shared" si="9"/>
        <v>0.74925031224172078</v>
      </c>
      <c r="G10" s="11">
        <f t="shared" si="10"/>
        <v>5.4946532417847541E-3</v>
      </c>
      <c r="H10" s="36"/>
      <c r="I10" t="s">
        <v>7</v>
      </c>
      <c r="J10" s="9">
        <v>0</v>
      </c>
      <c r="K10" s="9">
        <f t="shared" si="11"/>
        <v>0</v>
      </c>
      <c r="L10" s="9">
        <v>1.6000000000000014</v>
      </c>
      <c r="M10" s="9">
        <f t="shared" si="12"/>
        <v>0.20000000000000009</v>
      </c>
      <c r="N10" s="9">
        <v>5.6</v>
      </c>
      <c r="O10" s="9">
        <f t="shared" si="13"/>
        <v>0.37416573867739411</v>
      </c>
      <c r="P10" s="9">
        <v>2.4</v>
      </c>
      <c r="Q10" s="9">
        <f t="shared" si="14"/>
        <v>0.2449489742783178</v>
      </c>
      <c r="R10" s="32"/>
      <c r="S10">
        <f t="shared" si="2"/>
        <v>0</v>
      </c>
      <c r="T10">
        <f t="shared" si="3"/>
        <v>0</v>
      </c>
      <c r="U10" s="12" t="e">
        <f t="shared" si="15"/>
        <v>#DIV/0!</v>
      </c>
      <c r="V10">
        <f t="shared" si="4"/>
        <v>4.7272810351648414E-3</v>
      </c>
      <c r="W10">
        <f t="shared" si="5"/>
        <v>5.9277337463069007E-4</v>
      </c>
      <c r="X10" s="12">
        <f t="shared" si="16"/>
        <v>0.12539414733780893</v>
      </c>
      <c r="Y10">
        <f t="shared" si="6"/>
        <v>1.4209738696705852E-2</v>
      </c>
      <c r="Z10">
        <f t="shared" si="7"/>
        <v>9.5864805526647444E-4</v>
      </c>
      <c r="AA10" s="12">
        <f t="shared" si="17"/>
        <v>6.7464157908034672E-2</v>
      </c>
      <c r="AB10">
        <f t="shared" si="18"/>
        <v>5.4156570439921692E-3</v>
      </c>
      <c r="AC10">
        <f t="shared" si="8"/>
        <v>5.5521788386019065E-4</v>
      </c>
      <c r="AD10" s="12">
        <f t="shared" si="19"/>
        <v>0.10252087223213639</v>
      </c>
      <c r="AG10" s="12"/>
    </row>
    <row r="11" spans="2:33" x14ac:dyDescent="0.25">
      <c r="B11" s="6" t="s">
        <v>8</v>
      </c>
      <c r="C11" s="3">
        <v>2.8899999999999999E-2</v>
      </c>
      <c r="D11" s="3">
        <v>4.9984000000000002</v>
      </c>
      <c r="E11" s="3">
        <v>172.95501730103808</v>
      </c>
      <c r="F11" s="10">
        <f t="shared" si="9"/>
        <v>1.1969405411901297</v>
      </c>
      <c r="G11" s="11">
        <f t="shared" si="10"/>
        <v>6.9205308979662979E-3</v>
      </c>
      <c r="H11" s="36"/>
      <c r="I11" t="s">
        <v>8</v>
      </c>
      <c r="J11" s="9">
        <v>49.6</v>
      </c>
      <c r="K11" s="9">
        <f t="shared" si="11"/>
        <v>1.1135528725660044</v>
      </c>
      <c r="L11" s="9">
        <v>68.8</v>
      </c>
      <c r="M11" s="9">
        <f t="shared" si="12"/>
        <v>1.3114877048604001</v>
      </c>
      <c r="N11" s="9">
        <v>72</v>
      </c>
      <c r="O11" s="9">
        <f t="shared" si="13"/>
        <v>1.3416407864998738</v>
      </c>
      <c r="P11" s="9">
        <v>259.2</v>
      </c>
      <c r="Q11" s="9">
        <f t="shared" si="14"/>
        <v>2.545584412271571</v>
      </c>
      <c r="R11" s="32"/>
      <c r="S11">
        <f t="shared" si="2"/>
        <v>0.19782340216072086</v>
      </c>
      <c r="T11">
        <f t="shared" si="3"/>
        <v>4.8954864337012209E-3</v>
      </c>
      <c r="U11" s="12">
        <f t="shared" si="15"/>
        <v>2.4746750789999567E-2</v>
      </c>
      <c r="V11">
        <f t="shared" si="4"/>
        <v>0.25782581535003463</v>
      </c>
      <c r="W11">
        <f t="shared" si="5"/>
        <v>5.6473083516633445E-3</v>
      </c>
      <c r="X11" s="12">
        <f t="shared" si="16"/>
        <v>2.1903579918854648E-2</v>
      </c>
      <c r="Y11">
        <f t="shared" si="6"/>
        <v>0.23172723719104893</v>
      </c>
      <c r="Z11">
        <f t="shared" si="7"/>
        <v>4.926870079055133E-3</v>
      </c>
      <c r="AA11" s="12">
        <f t="shared" si="17"/>
        <v>2.1261506151705183E-2</v>
      </c>
      <c r="AB11">
        <f t="shared" si="18"/>
        <v>0.7418591064748854</v>
      </c>
      <c r="AC11">
        <f t="shared" si="8"/>
        <v>1.0699648683938755E-2</v>
      </c>
      <c r="AD11" s="12">
        <f t="shared" si="19"/>
        <v>1.4422750345116883E-2</v>
      </c>
      <c r="AG11" s="12"/>
    </row>
    <row r="12" spans="2:33" x14ac:dyDescent="0.25">
      <c r="B12" s="6" t="s">
        <v>9</v>
      </c>
      <c r="C12" s="3">
        <v>4.4299999999999999E-2</v>
      </c>
      <c r="D12" s="3">
        <v>4.9031000000000002</v>
      </c>
      <c r="E12" s="3">
        <v>110.67945823927766</v>
      </c>
      <c r="F12" s="10">
        <f t="shared" si="9"/>
        <v>0.499701921883555</v>
      </c>
      <c r="G12" s="11">
        <f t="shared" si="10"/>
        <v>4.5148569556895607E-3</v>
      </c>
      <c r="H12" s="36"/>
      <c r="I12" t="s">
        <v>9</v>
      </c>
      <c r="J12" s="9">
        <v>88.8</v>
      </c>
      <c r="K12" s="9">
        <f t="shared" si="11"/>
        <v>1.489966442575134</v>
      </c>
      <c r="L12" s="9">
        <v>168</v>
      </c>
      <c r="M12" s="9">
        <f t="shared" si="12"/>
        <v>2.0493901531919199</v>
      </c>
      <c r="N12" s="9">
        <v>153.6</v>
      </c>
      <c r="O12" s="9">
        <f t="shared" si="13"/>
        <v>1.9595917942265424</v>
      </c>
      <c r="P12" s="9">
        <v>567.19999999999993</v>
      </c>
      <c r="Q12" s="9">
        <f t="shared" si="14"/>
        <v>3.7656340767525456</v>
      </c>
      <c r="R12" s="32"/>
      <c r="S12">
        <f t="shared" si="2"/>
        <v>0.22664326367458759</v>
      </c>
      <c r="T12">
        <f t="shared" si="3"/>
        <v>4.3145111646575611E-3</v>
      </c>
      <c r="U12" s="12">
        <f t="shared" si="15"/>
        <v>1.9036573576933211E-2</v>
      </c>
      <c r="V12">
        <f t="shared" si="4"/>
        <v>0.40288500428532736</v>
      </c>
      <c r="W12">
        <f t="shared" si="5"/>
        <v>6.2114158340233231E-3</v>
      </c>
      <c r="X12" s="12">
        <f t="shared" si="16"/>
        <v>1.541734184185305E-2</v>
      </c>
      <c r="Y12">
        <f t="shared" si="6"/>
        <v>0.31635132845452313</v>
      </c>
      <c r="Z12">
        <f t="shared" si="7"/>
        <v>4.9017106961638766E-3</v>
      </c>
      <c r="AA12" s="12">
        <f t="shared" si="17"/>
        <v>1.5494515923515455E-2</v>
      </c>
      <c r="AB12">
        <f t="shared" si="18"/>
        <v>1.0388587848753637</v>
      </c>
      <c r="AC12">
        <f t="shared" si="8"/>
        <v>1.1759379407628671E-2</v>
      </c>
      <c r="AD12" s="12">
        <f t="shared" si="19"/>
        <v>1.1319516741671001E-2</v>
      </c>
      <c r="AG12" s="12"/>
    </row>
    <row r="13" spans="2:33" x14ac:dyDescent="0.25">
      <c r="B13" s="6" t="s">
        <v>19</v>
      </c>
      <c r="C13" s="3">
        <v>9.3700000000000006E-2</v>
      </c>
      <c r="D13" s="3">
        <v>5.0049000000000001</v>
      </c>
      <c r="E13" s="3">
        <v>53.414087513340448</v>
      </c>
      <c r="F13" s="10">
        <f t="shared" ref="F13:F18" si="20">(((1/C13)^2)*($E$3^2)+((D13/(C13^2))^2)*($E$3^2))^0.5</f>
        <v>0.11403083782205169</v>
      </c>
      <c r="G13" s="11">
        <f t="shared" ref="G13:G18" si="21">F13/E13</f>
        <v>2.1348457519483393E-3</v>
      </c>
      <c r="H13" s="38"/>
      <c r="I13" t="s">
        <v>19</v>
      </c>
      <c r="J13" s="9">
        <v>19.2</v>
      </c>
      <c r="K13" s="9">
        <f>(J13/$E$2)^0.5</f>
        <v>0.69282032302755092</v>
      </c>
      <c r="L13" s="9">
        <v>80</v>
      </c>
      <c r="M13" s="9">
        <f>(L13/$E$2)^0.5</f>
        <v>1.4142135623730951</v>
      </c>
      <c r="N13" s="9">
        <v>24</v>
      </c>
      <c r="O13" s="9">
        <f>(N13/$E$2)^0.5</f>
        <v>0.7745966692414834</v>
      </c>
      <c r="P13" s="9">
        <v>30.4</v>
      </c>
      <c r="Q13" s="9">
        <f>(P13/$E$2)^0.5</f>
        <v>0.87177978870813466</v>
      </c>
      <c r="R13" s="32"/>
      <c r="S13">
        <f t="shared" si="2"/>
        <v>2.3649385864581058E-2</v>
      </c>
      <c r="T13">
        <f t="shared" si="3"/>
        <v>8.744251508953243E-4</v>
      </c>
      <c r="U13" s="12">
        <f t="shared" si="15"/>
        <v>3.6974539461716992E-2</v>
      </c>
      <c r="V13">
        <f t="shared" si="4"/>
        <v>9.2587124670224133E-2</v>
      </c>
      <c r="W13">
        <f t="shared" si="5"/>
        <v>1.8180078742204273E-3</v>
      </c>
      <c r="X13" s="12">
        <f t="shared" ref="X13:X34" si="22">W13/V13</f>
        <v>1.9635644596327936E-2</v>
      </c>
      <c r="Y13">
        <f t="shared" ref="Y13:Y34" si="23">$N$2*N13*E13</f>
        <v>2.3854948181899312E-2</v>
      </c>
      <c r="Z13">
        <f t="shared" ref="Z13:Z34" si="24">((N13*E13*$N$3)^2+($N$2*E13*O13)^2+($N$2*N13*F13)^2)^0.5</f>
        <v>7.9231469758169739E-4</v>
      </c>
      <c r="AA13" s="12">
        <f t="shared" si="17"/>
        <v>3.3213851128081298E-2</v>
      </c>
      <c r="AB13">
        <f t="shared" ref="AB13:AB34" si="25">$P$2*E13*P13</f>
        <v>2.6870928110807435E-2</v>
      </c>
      <c r="AC13">
        <f t="shared" ref="AC13:AC34" si="26">((P13*E13*$P$3)^2+($P$2*E13*Q13)^2+($P$2*P13*F13)^2)^0.5</f>
        <v>8.0190582145118886E-4</v>
      </c>
      <c r="AD13" s="12">
        <f t="shared" si="19"/>
        <v>2.9842877705763497E-2</v>
      </c>
      <c r="AG13" s="12"/>
    </row>
    <row r="14" spans="2:33" x14ac:dyDescent="0.25">
      <c r="B14" s="6" t="s">
        <v>20</v>
      </c>
      <c r="C14" s="3">
        <v>2.87E-2</v>
      </c>
      <c r="D14" s="3">
        <v>4.9332000000000003</v>
      </c>
      <c r="E14" s="3">
        <v>171.88850174216029</v>
      </c>
      <c r="F14" s="10">
        <f t="shared" si="20"/>
        <v>1.1978495510797849</v>
      </c>
      <c r="G14" s="11">
        <f t="shared" si="21"/>
        <v>6.968759044026154E-3</v>
      </c>
      <c r="H14" s="38"/>
      <c r="I14" t="s">
        <v>20</v>
      </c>
      <c r="J14" s="9">
        <v>4.8</v>
      </c>
      <c r="K14" s="9">
        <f t="shared" ref="K14:K34" si="27">(J14/$E$2)^0.5</f>
        <v>0.34641016151377546</v>
      </c>
      <c r="L14" s="9">
        <v>2.4000000000000004</v>
      </c>
      <c r="M14" s="9">
        <f t="shared" ref="M14:M34" si="28">(L14/$E$2)^0.5</f>
        <v>0.24494897427831783</v>
      </c>
      <c r="N14" s="9">
        <v>5.6000000000000005</v>
      </c>
      <c r="O14" s="9">
        <f t="shared" ref="O14:O34" si="29">(N14/$E$2)^0.5</f>
        <v>0.37416573867739417</v>
      </c>
      <c r="P14" s="9">
        <v>1.6</v>
      </c>
      <c r="Q14" s="9">
        <f t="shared" ref="Q14:Q34" si="30">(P14/$E$2)^0.5</f>
        <v>0.2</v>
      </c>
      <c r="R14" s="32"/>
      <c r="S14">
        <f t="shared" si="2"/>
        <v>1.9026148777557008E-2</v>
      </c>
      <c r="T14">
        <f t="shared" si="3"/>
        <v>1.3873927966594635E-3</v>
      </c>
      <c r="U14" s="12">
        <f t="shared" si="15"/>
        <v>7.2920316816612596E-2</v>
      </c>
      <c r="V14">
        <f t="shared" si="4"/>
        <v>8.9384633611149858E-3</v>
      </c>
      <c r="W14">
        <f t="shared" si="5"/>
        <v>9.1738995622424075E-4</v>
      </c>
      <c r="X14" s="12">
        <f t="shared" si="22"/>
        <v>0.10263396728963102</v>
      </c>
      <c r="Y14">
        <f t="shared" si="23"/>
        <v>1.7912090518377537E-2</v>
      </c>
      <c r="Z14">
        <f t="shared" si="24"/>
        <v>1.2108606299402016E-3</v>
      </c>
      <c r="AA14" s="12">
        <f t="shared" si="17"/>
        <v>6.7600184841511188E-2</v>
      </c>
      <c r="AB14">
        <f t="shared" si="25"/>
        <v>4.5511387769086769E-3</v>
      </c>
      <c r="AC14">
        <f t="shared" si="26"/>
        <v>5.7093187876305191E-4</v>
      </c>
      <c r="AD14" s="12">
        <f t="shared" si="19"/>
        <v>0.12544813655426534</v>
      </c>
      <c r="AG14" s="12"/>
    </row>
    <row r="15" spans="2:33" x14ac:dyDescent="0.25">
      <c r="B15" s="6" t="s">
        <v>21</v>
      </c>
      <c r="C15" s="3">
        <v>4.0600000000000004E-2</v>
      </c>
      <c r="D15" s="3">
        <v>5.0502000000000002</v>
      </c>
      <c r="E15" s="3">
        <v>124.38916256157634</v>
      </c>
      <c r="F15" s="10">
        <f t="shared" si="20"/>
        <v>0.61277429625328761</v>
      </c>
      <c r="G15" s="11">
        <f t="shared" si="21"/>
        <v>4.9262675592815098E-3</v>
      </c>
      <c r="H15" s="36"/>
      <c r="I15" t="s">
        <v>21</v>
      </c>
      <c r="J15" s="9">
        <v>3.2</v>
      </c>
      <c r="K15" s="9">
        <f t="shared" si="27"/>
        <v>0.28284271247461901</v>
      </c>
      <c r="L15" s="9">
        <v>0</v>
      </c>
      <c r="M15" s="9">
        <f t="shared" si="28"/>
        <v>0</v>
      </c>
      <c r="N15" s="9">
        <v>4</v>
      </c>
      <c r="O15" s="9">
        <f t="shared" si="29"/>
        <v>0.31622776601683794</v>
      </c>
      <c r="P15" s="9">
        <v>1.6</v>
      </c>
      <c r="Q15" s="9">
        <f t="shared" si="30"/>
        <v>0.2</v>
      </c>
      <c r="R15" s="32"/>
      <c r="S15">
        <f t="shared" si="2"/>
        <v>9.1789995228509329E-3</v>
      </c>
      <c r="T15">
        <f t="shared" si="3"/>
        <v>8.1570499086048003E-4</v>
      </c>
      <c r="U15" s="12">
        <f t="shared" si="15"/>
        <v>8.8866437875914361E-2</v>
      </c>
      <c r="V15">
        <f t="shared" si="4"/>
        <v>0</v>
      </c>
      <c r="W15">
        <f t="shared" si="5"/>
        <v>0</v>
      </c>
      <c r="X15" s="12" t="e">
        <f t="shared" si="22"/>
        <v>#DIV/0!</v>
      </c>
      <c r="Y15" s="48">
        <f>$N$2*N15*E15</f>
        <v>9.2587841068306042E-3</v>
      </c>
      <c r="Z15">
        <f t="shared" si="24"/>
        <v>7.3671091405789156E-4</v>
      </c>
      <c r="AA15" s="12">
        <f t="shared" si="17"/>
        <v>7.9568861910754365E-2</v>
      </c>
      <c r="AB15">
        <f t="shared" si="25"/>
        <v>3.2934858086690329E-3</v>
      </c>
      <c r="AC15">
        <f t="shared" si="26"/>
        <v>4.1284261023867666E-4</v>
      </c>
      <c r="AD15" s="12">
        <f t="shared" si="19"/>
        <v>0.1253512643509811</v>
      </c>
      <c r="AG15" s="12"/>
    </row>
    <row r="16" spans="2:33" x14ac:dyDescent="0.25">
      <c r="B16" s="6" t="s">
        <v>22</v>
      </c>
      <c r="C16" s="3">
        <v>3.2599999999999997E-2</v>
      </c>
      <c r="D16" s="3">
        <v>4.9707999999999997</v>
      </c>
      <c r="E16" s="3">
        <v>152.47852760736197</v>
      </c>
      <c r="F16" s="10">
        <f t="shared" si="20"/>
        <v>0.93547120688552143</v>
      </c>
      <c r="G16" s="11">
        <f t="shared" si="21"/>
        <v>6.1351012602534798E-3</v>
      </c>
      <c r="H16" s="36"/>
      <c r="I16" t="s">
        <v>22</v>
      </c>
      <c r="J16" s="9">
        <v>7.2</v>
      </c>
      <c r="K16" s="9">
        <f t="shared" si="27"/>
        <v>0.42426406871192851</v>
      </c>
      <c r="L16" s="9">
        <v>0</v>
      </c>
      <c r="M16" s="9">
        <f t="shared" si="28"/>
        <v>0</v>
      </c>
      <c r="N16" s="9">
        <v>4</v>
      </c>
      <c r="O16" s="9">
        <f t="shared" si="29"/>
        <v>0.31622776601683794</v>
      </c>
      <c r="P16" s="9">
        <v>0.80000000000000027</v>
      </c>
      <c r="Q16" s="9">
        <f>(P16/$E$2)^0.5</f>
        <v>0.14142135623730953</v>
      </c>
      <c r="R16" s="32"/>
      <c r="S16">
        <f t="shared" si="2"/>
        <v>2.5316520205571159E-2</v>
      </c>
      <c r="T16">
        <f t="shared" si="3"/>
        <v>1.5127203109347803E-3</v>
      </c>
      <c r="U16" s="12">
        <f t="shared" si="15"/>
        <v>5.9752300025889445E-2</v>
      </c>
      <c r="V16">
        <f t="shared" si="4"/>
        <v>0</v>
      </c>
      <c r="W16">
        <f t="shared" si="5"/>
        <v>0</v>
      </c>
      <c r="X16" s="12" t="e">
        <f t="shared" si="22"/>
        <v>#DIV/0!</v>
      </c>
      <c r="Y16">
        <f t="shared" si="23"/>
        <v>1.134958817127745E-2</v>
      </c>
      <c r="Z16">
        <f t="shared" si="24"/>
        <v>9.0402694642579434E-4</v>
      </c>
      <c r="AA16" s="12">
        <f t="shared" si="17"/>
        <v>7.9652841387992127E-2</v>
      </c>
      <c r="AB16">
        <f t="shared" si="25"/>
        <v>2.0186077969332702E-3</v>
      </c>
      <c r="AC16">
        <f t="shared" si="26"/>
        <v>3.5742078005616994E-4</v>
      </c>
      <c r="AD16" s="12">
        <f t="shared" si="19"/>
        <v>0.17706301372618016</v>
      </c>
      <c r="AG16" s="12"/>
    </row>
    <row r="17" spans="2:33" x14ac:dyDescent="0.25">
      <c r="B17" s="6" t="s">
        <v>23</v>
      </c>
      <c r="C17" s="3">
        <v>3.2399999999999998E-2</v>
      </c>
      <c r="D17" s="3">
        <v>5.0772000000000004</v>
      </c>
      <c r="E17" s="3">
        <v>156.70370370370372</v>
      </c>
      <c r="F17" s="10">
        <f t="shared" si="20"/>
        <v>0.96732650868068526</v>
      </c>
      <c r="G17" s="11">
        <f t="shared" si="21"/>
        <v>6.1729651936607184E-3</v>
      </c>
      <c r="H17" s="36"/>
      <c r="I17" t="s">
        <v>23</v>
      </c>
      <c r="J17" s="9">
        <v>4</v>
      </c>
      <c r="K17" s="9">
        <f t="shared" si="27"/>
        <v>0.31622776601683794</v>
      </c>
      <c r="L17" s="9">
        <v>0</v>
      </c>
      <c r="M17" s="9">
        <f t="shared" si="28"/>
        <v>0</v>
      </c>
      <c r="N17" s="9">
        <v>3.2</v>
      </c>
      <c r="O17" s="9">
        <f t="shared" si="29"/>
        <v>0.28284271247461901</v>
      </c>
      <c r="P17" s="9">
        <v>0.80000000000000027</v>
      </c>
      <c r="Q17" s="9">
        <f t="shared" si="30"/>
        <v>0.14142135623730953</v>
      </c>
      <c r="R17" s="32"/>
      <c r="S17">
        <f t="shared" si="2"/>
        <v>1.4454466851294496E-2</v>
      </c>
      <c r="T17">
        <f t="shared" si="3"/>
        <v>1.1517027815596667E-3</v>
      </c>
      <c r="U17" s="12">
        <f t="shared" si="15"/>
        <v>7.9677984211262959E-2</v>
      </c>
      <c r="V17">
        <f t="shared" si="4"/>
        <v>0</v>
      </c>
      <c r="W17">
        <f t="shared" si="5"/>
        <v>0</v>
      </c>
      <c r="X17" s="12" t="e">
        <f t="shared" si="22"/>
        <v>#DIV/0!</v>
      </c>
      <c r="Y17">
        <f t="shared" si="23"/>
        <v>9.3312679751508896E-3</v>
      </c>
      <c r="Z17">
        <f t="shared" si="24"/>
        <v>8.2977699970717604E-4</v>
      </c>
      <c r="AA17" s="12">
        <f t="shared" si="17"/>
        <v>8.8924356466545298E-2</v>
      </c>
      <c r="AB17">
        <f t="shared" si="25"/>
        <v>2.0745433673071785E-3</v>
      </c>
      <c r="AC17">
        <f t="shared" si="26"/>
        <v>3.6732763082145413E-4</v>
      </c>
      <c r="AD17" s="12">
        <f t="shared" si="19"/>
        <v>0.17706432972681443</v>
      </c>
      <c r="AG17" s="12"/>
    </row>
    <row r="18" spans="2:33" x14ac:dyDescent="0.25">
      <c r="B18" s="6" t="s">
        <v>24</v>
      </c>
      <c r="C18" s="3">
        <v>6.7900000000000002E-2</v>
      </c>
      <c r="D18" s="3">
        <v>4.9969000000000001</v>
      </c>
      <c r="E18" s="3">
        <v>73.592047128129607</v>
      </c>
      <c r="F18" s="10">
        <f t="shared" si="20"/>
        <v>0.21678598240630462</v>
      </c>
      <c r="G18" s="11">
        <f t="shared" si="21"/>
        <v>2.9457800246929259E-3</v>
      </c>
      <c r="H18" s="36"/>
      <c r="I18" t="s">
        <v>24</v>
      </c>
      <c r="J18" s="9">
        <v>9.6</v>
      </c>
      <c r="K18" s="9">
        <f t="shared" si="27"/>
        <v>0.4898979485566356</v>
      </c>
      <c r="L18" s="9">
        <v>6.4</v>
      </c>
      <c r="M18" s="9">
        <f t="shared" si="28"/>
        <v>0.4</v>
      </c>
      <c r="N18" s="9">
        <v>2.4000000000000004</v>
      </c>
      <c r="O18" s="9">
        <f t="shared" si="29"/>
        <v>0.24494897427831783</v>
      </c>
      <c r="P18" s="9">
        <v>4.8000000000000007</v>
      </c>
      <c r="Q18" s="9">
        <f t="shared" si="30"/>
        <v>0.34641016151377552</v>
      </c>
      <c r="R18" s="32"/>
      <c r="S18">
        <f t="shared" si="2"/>
        <v>1.6291645145701455E-2</v>
      </c>
      <c r="T18">
        <f t="shared" si="3"/>
        <v>8.4234579482242282E-4</v>
      </c>
      <c r="U18" s="12">
        <f t="shared" si="15"/>
        <v>5.1704158007926874E-2</v>
      </c>
      <c r="V18">
        <f t="shared" si="4"/>
        <v>1.0205062161531667E-2</v>
      </c>
      <c r="W18">
        <f t="shared" si="5"/>
        <v>6.4408646461606316E-4</v>
      </c>
      <c r="X18" s="12">
        <f t="shared" si="22"/>
        <v>6.3114408753331186E-2</v>
      </c>
      <c r="Y18">
        <f t="shared" si="23"/>
        <v>3.2866506806897532E-3</v>
      </c>
      <c r="Z18">
        <f t="shared" si="24"/>
        <v>3.3649717704683748E-4</v>
      </c>
      <c r="AA18" s="12">
        <f t="shared" si="17"/>
        <v>0.1023830062086849</v>
      </c>
      <c r="AB18" s="48">
        <f>$P$2*E18*P18</f>
        <v>5.8455501554023643E-3</v>
      </c>
      <c r="AC18">
        <f t="shared" si="26"/>
        <v>4.2478621209500732E-4</v>
      </c>
      <c r="AD18" s="12">
        <f t="shared" si="19"/>
        <v>7.2668303376445531E-2</v>
      </c>
      <c r="AG18" s="12"/>
    </row>
    <row r="19" spans="2:33" s="22" customFormat="1" x14ac:dyDescent="0.25">
      <c r="B19" s="18" t="s">
        <v>25</v>
      </c>
      <c r="C19" s="19" t="s">
        <v>26</v>
      </c>
      <c r="D19" s="18">
        <v>5.5175000000000001</v>
      </c>
      <c r="E19" s="19" t="s">
        <v>26</v>
      </c>
      <c r="F19" s="20"/>
      <c r="G19" s="21"/>
      <c r="H19" s="39"/>
      <c r="I19" s="22" t="s">
        <v>25</v>
      </c>
      <c r="J19" s="22">
        <v>6.4</v>
      </c>
      <c r="K19" s="22">
        <f t="shared" si="27"/>
        <v>0.4</v>
      </c>
      <c r="L19" s="22">
        <v>14.4</v>
      </c>
      <c r="M19" s="22">
        <f t="shared" si="28"/>
        <v>0.6</v>
      </c>
      <c r="N19" s="22">
        <v>0.8</v>
      </c>
      <c r="O19" s="22">
        <f t="shared" si="29"/>
        <v>0.1414213562373095</v>
      </c>
      <c r="P19" s="22">
        <v>16.8</v>
      </c>
      <c r="Q19" s="22">
        <f>(P19/$E$2)^0.5</f>
        <v>0.64807406984078608</v>
      </c>
      <c r="R19" s="34"/>
      <c r="S19" s="22" t="e">
        <f t="shared" si="2"/>
        <v>#VALUE!</v>
      </c>
      <c r="T19" s="22" t="e">
        <f t="shared" si="3"/>
        <v>#VALUE!</v>
      </c>
      <c r="U19" s="23" t="e">
        <f t="shared" si="15"/>
        <v>#VALUE!</v>
      </c>
      <c r="V19" s="22" t="e">
        <f t="shared" si="4"/>
        <v>#VALUE!</v>
      </c>
      <c r="W19" s="22" t="e">
        <f t="shared" si="5"/>
        <v>#VALUE!</v>
      </c>
      <c r="X19" s="23" t="e">
        <f t="shared" si="22"/>
        <v>#VALUE!</v>
      </c>
      <c r="Y19" s="22" t="e">
        <f t="shared" si="23"/>
        <v>#VALUE!</v>
      </c>
      <c r="Z19" s="22" t="e">
        <f t="shared" si="24"/>
        <v>#VALUE!</v>
      </c>
      <c r="AA19" s="23" t="e">
        <f t="shared" si="17"/>
        <v>#VALUE!</v>
      </c>
      <c r="AB19" s="22" t="e">
        <f t="shared" si="25"/>
        <v>#VALUE!</v>
      </c>
      <c r="AC19" s="22" t="e">
        <f t="shared" si="26"/>
        <v>#VALUE!</v>
      </c>
      <c r="AD19" s="23" t="e">
        <f t="shared" si="19"/>
        <v>#VALUE!</v>
      </c>
      <c r="AG19" s="23"/>
    </row>
    <row r="20" spans="2:33" x14ac:dyDescent="0.25">
      <c r="B20" s="6" t="s">
        <v>27</v>
      </c>
      <c r="C20" s="3">
        <v>1.6500000000000001E-2</v>
      </c>
      <c r="D20" s="3">
        <v>4.8581000000000003</v>
      </c>
      <c r="E20" s="3">
        <v>294.43030303030304</v>
      </c>
      <c r="F20" s="10">
        <f>(((1/C20)^2)*($E$3^2)+((D20/(C20^2))^2)*($E$3^2))^0.5</f>
        <v>3.5688727420627053</v>
      </c>
      <c r="G20" s="11">
        <f>F20/E20</f>
        <v>1.2121282032900648E-2</v>
      </c>
      <c r="H20" s="36"/>
      <c r="I20" t="s">
        <v>27</v>
      </c>
      <c r="J20">
        <v>1.5999999999999996</v>
      </c>
      <c r="K20">
        <f t="shared" si="27"/>
        <v>0.19999999999999998</v>
      </c>
      <c r="L20" s="9">
        <v>1.5999999999999996</v>
      </c>
      <c r="M20">
        <f t="shared" si="28"/>
        <v>0.19999999999999998</v>
      </c>
      <c r="N20">
        <v>0</v>
      </c>
      <c r="O20">
        <f t="shared" si="29"/>
        <v>0</v>
      </c>
      <c r="P20" s="9">
        <v>0.79999999999999982</v>
      </c>
      <c r="Q20">
        <f t="shared" si="30"/>
        <v>0.1414213562373095</v>
      </c>
      <c r="R20" s="32"/>
      <c r="S20">
        <f t="shared" si="2"/>
        <v>1.086338855963497E-2</v>
      </c>
      <c r="T20">
        <f t="shared" si="3"/>
        <v>1.3669061771523201E-3</v>
      </c>
      <c r="U20" s="12">
        <f t="shared" si="15"/>
        <v>0.12582686973301549</v>
      </c>
      <c r="V20">
        <f t="shared" si="4"/>
        <v>1.0207215527757574E-2</v>
      </c>
      <c r="W20">
        <f t="shared" si="5"/>
        <v>1.2846674480844601E-3</v>
      </c>
      <c r="X20" s="12">
        <f t="shared" si="22"/>
        <v>0.12585875595464074</v>
      </c>
      <c r="Y20">
        <f t="shared" si="23"/>
        <v>0</v>
      </c>
      <c r="Z20">
        <f t="shared" si="24"/>
        <v>0</v>
      </c>
      <c r="AA20" s="12" t="e">
        <f t="shared" si="17"/>
        <v>#DIV/0!</v>
      </c>
      <c r="AB20">
        <f t="shared" si="25"/>
        <v>3.8978557484555545E-3</v>
      </c>
      <c r="AC20">
        <f t="shared" si="26"/>
        <v>6.9136794763202734E-4</v>
      </c>
      <c r="AD20" s="12">
        <f t="shared" si="19"/>
        <v>0.17737135293063827</v>
      </c>
      <c r="AG20" s="12"/>
    </row>
    <row r="21" spans="2:33" x14ac:dyDescent="0.25">
      <c r="B21" s="6" t="s">
        <v>28</v>
      </c>
      <c r="C21" s="3">
        <v>4.0399999999999998E-2</v>
      </c>
      <c r="D21" s="3">
        <v>4.9471999999999996</v>
      </c>
      <c r="E21" s="3">
        <v>122.45544554455445</v>
      </c>
      <c r="F21" s="10">
        <f>(((1/C21)^2)*($E$3^2)+((D21/(C21^2))^2)*($E$3^2))^0.5</f>
        <v>0.6062352900703305</v>
      </c>
      <c r="G21" s="11">
        <f>F21/E21</f>
        <v>4.9506601145782167E-3</v>
      </c>
      <c r="H21" s="36"/>
      <c r="I21" t="s">
        <v>28</v>
      </c>
      <c r="J21">
        <v>0.79999999999999982</v>
      </c>
      <c r="K21">
        <f t="shared" si="27"/>
        <v>0.1414213562373095</v>
      </c>
      <c r="L21" s="9">
        <v>0.80000000000000071</v>
      </c>
      <c r="M21">
        <f t="shared" si="28"/>
        <v>0.14142135623730956</v>
      </c>
      <c r="N21">
        <v>0</v>
      </c>
      <c r="O21">
        <f t="shared" si="29"/>
        <v>0</v>
      </c>
      <c r="P21" s="9">
        <v>3.9999999999999996</v>
      </c>
      <c r="Q21">
        <f t="shared" si="30"/>
        <v>0.31622776601683794</v>
      </c>
      <c r="R21" s="32"/>
      <c r="S21">
        <f t="shared" si="2"/>
        <v>2.2590763798806439E-3</v>
      </c>
      <c r="T21">
        <f t="shared" si="3"/>
        <v>3.9989470923441971E-4</v>
      </c>
      <c r="U21" s="12">
        <f t="shared" si="15"/>
        <v>0.17701690513693377</v>
      </c>
      <c r="V21">
        <f t="shared" si="4"/>
        <v>2.1226231001980219E-3</v>
      </c>
      <c r="W21">
        <f t="shared" si="5"/>
        <v>3.7578828490034507E-4</v>
      </c>
      <c r="X21" s="12">
        <f t="shared" si="22"/>
        <v>0.17703957186996003</v>
      </c>
      <c r="Y21">
        <f t="shared" si="23"/>
        <v>0</v>
      </c>
      <c r="Z21">
        <f t="shared" si="24"/>
        <v>0</v>
      </c>
      <c r="AA21" s="12" t="e">
        <f t="shared" si="17"/>
        <v>#DIV/0!</v>
      </c>
      <c r="AB21">
        <f t="shared" si="25"/>
        <v>8.1057156385224739E-3</v>
      </c>
      <c r="AC21">
        <f t="shared" si="26"/>
        <v>6.4531782579062833E-4</v>
      </c>
      <c r="AD21" s="12">
        <f t="shared" si="19"/>
        <v>7.9612689930023031E-2</v>
      </c>
      <c r="AG21" s="12"/>
    </row>
    <row r="22" spans="2:33" s="22" customFormat="1" x14ac:dyDescent="0.25">
      <c r="B22" s="18" t="s">
        <v>29</v>
      </c>
      <c r="C22" s="19" t="s">
        <v>26</v>
      </c>
      <c r="D22" s="18">
        <v>4.9318</v>
      </c>
      <c r="E22" s="19" t="s">
        <v>26</v>
      </c>
      <c r="F22" s="20"/>
      <c r="G22" s="24"/>
      <c r="H22" s="39"/>
      <c r="I22" s="22" t="s">
        <v>29</v>
      </c>
      <c r="J22" s="22">
        <v>0</v>
      </c>
      <c r="K22" s="22">
        <f t="shared" si="27"/>
        <v>0</v>
      </c>
      <c r="L22" s="22">
        <v>6.4</v>
      </c>
      <c r="M22" s="22">
        <f t="shared" si="28"/>
        <v>0.4</v>
      </c>
      <c r="N22" s="22">
        <v>0</v>
      </c>
      <c r="O22" s="22">
        <f t="shared" si="29"/>
        <v>0</v>
      </c>
      <c r="P22" s="22">
        <v>31.199999999999996</v>
      </c>
      <c r="Q22" s="22">
        <f t="shared" si="30"/>
        <v>0.88317608663278468</v>
      </c>
      <c r="R22" s="34"/>
      <c r="S22" s="22" t="e">
        <f t="shared" si="2"/>
        <v>#VALUE!</v>
      </c>
      <c r="T22" s="22" t="e">
        <f t="shared" si="3"/>
        <v>#VALUE!</v>
      </c>
      <c r="U22" s="23" t="e">
        <f t="shared" si="15"/>
        <v>#VALUE!</v>
      </c>
      <c r="V22" s="22" t="e">
        <f t="shared" si="4"/>
        <v>#VALUE!</v>
      </c>
      <c r="W22" s="22" t="e">
        <f t="shared" si="5"/>
        <v>#VALUE!</v>
      </c>
      <c r="X22" s="23" t="e">
        <f t="shared" si="22"/>
        <v>#VALUE!</v>
      </c>
      <c r="Y22" s="22" t="e">
        <f t="shared" si="23"/>
        <v>#VALUE!</v>
      </c>
      <c r="Z22" s="22" t="e">
        <f t="shared" si="24"/>
        <v>#VALUE!</v>
      </c>
      <c r="AA22" s="23" t="e">
        <f t="shared" si="17"/>
        <v>#VALUE!</v>
      </c>
      <c r="AB22" s="22" t="e">
        <f t="shared" si="25"/>
        <v>#VALUE!</v>
      </c>
      <c r="AC22" s="22" t="e">
        <f t="shared" si="26"/>
        <v>#VALUE!</v>
      </c>
      <c r="AD22" s="23" t="e">
        <f t="shared" si="19"/>
        <v>#VALUE!</v>
      </c>
      <c r="AG22" s="23"/>
    </row>
    <row r="23" spans="2:33" x14ac:dyDescent="0.25">
      <c r="B23" s="6" t="s">
        <v>30</v>
      </c>
      <c r="C23" s="3">
        <v>3.6400000000000002E-2</v>
      </c>
      <c r="D23" s="3">
        <v>4.9192</v>
      </c>
      <c r="E23" s="3">
        <v>135.14285714285714</v>
      </c>
      <c r="F23" s="10">
        <f t="shared" ref="F23:F34" si="31">(((1/C23)^2)*($E$3^2)+((D23/(C23^2))^2)*($E$3^2))^0.5</f>
        <v>0.7425634993450424</v>
      </c>
      <c r="G23" s="11">
        <f t="shared" ref="G23:G34" si="32">F23/E23</f>
        <v>5.4946559148153244E-3</v>
      </c>
      <c r="H23" s="36"/>
      <c r="I23" t="s">
        <v>30</v>
      </c>
      <c r="J23" s="9">
        <v>0</v>
      </c>
      <c r="K23" s="9">
        <f t="shared" si="27"/>
        <v>0</v>
      </c>
      <c r="L23" s="9">
        <v>8.0000000000000018</v>
      </c>
      <c r="M23" s="9">
        <f t="shared" si="28"/>
        <v>0.44721359549995798</v>
      </c>
      <c r="N23" s="9">
        <v>4</v>
      </c>
      <c r="O23" s="9">
        <f t="shared" si="29"/>
        <v>0.31622776601683794</v>
      </c>
      <c r="P23" s="9">
        <v>0.79999999999999982</v>
      </c>
      <c r="Q23" s="9">
        <f t="shared" si="30"/>
        <v>0.1414213562373095</v>
      </c>
      <c r="R23" s="32"/>
      <c r="S23">
        <f t="shared" si="2"/>
        <v>0</v>
      </c>
      <c r="T23">
        <f t="shared" si="3"/>
        <v>0</v>
      </c>
      <c r="U23" s="12" t="e">
        <f t="shared" si="15"/>
        <v>#DIV/0!</v>
      </c>
      <c r="V23">
        <f t="shared" si="4"/>
        <v>2.3425446628571434E-2</v>
      </c>
      <c r="W23">
        <f t="shared" si="5"/>
        <v>1.3300398863995697E-3</v>
      </c>
      <c r="X23" s="12">
        <f t="shared" si="22"/>
        <v>5.6777567893939458E-2</v>
      </c>
      <c r="Y23">
        <f t="shared" si="23"/>
        <v>1.0059224711369483E-2</v>
      </c>
      <c r="Z23">
        <f t="shared" si="24"/>
        <v>8.0077538041477118E-4</v>
      </c>
      <c r="AA23" s="12">
        <f t="shared" si="17"/>
        <v>7.9606073369619765E-2</v>
      </c>
      <c r="AB23">
        <f t="shared" si="25"/>
        <v>1.7891071576378403E-3</v>
      </c>
      <c r="AC23">
        <f t="shared" si="26"/>
        <v>3.1674707323447332E-4</v>
      </c>
      <c r="AD23" s="12">
        <f t="shared" si="19"/>
        <v>0.17704197978430466</v>
      </c>
      <c r="AG23" s="12"/>
    </row>
    <row r="24" spans="2:33" x14ac:dyDescent="0.25">
      <c r="B24" s="3" t="s">
        <v>10</v>
      </c>
      <c r="C24" s="3">
        <v>1.21E-2</v>
      </c>
      <c r="D24" s="3">
        <v>4.9885000000000002</v>
      </c>
      <c r="E24" s="3">
        <v>412.27272727272731</v>
      </c>
      <c r="F24" s="10">
        <f t="shared" si="31"/>
        <v>6.8144452902538699</v>
      </c>
      <c r="G24" s="11">
        <f t="shared" si="32"/>
        <v>1.6528974243173664E-2</v>
      </c>
      <c r="H24" s="36"/>
      <c r="I24" t="s">
        <v>10</v>
      </c>
      <c r="J24" s="9">
        <v>1.5999999999999996</v>
      </c>
      <c r="K24" s="9">
        <f t="shared" si="27"/>
        <v>0.19999999999999998</v>
      </c>
      <c r="L24" s="9">
        <v>0</v>
      </c>
      <c r="M24" s="9">
        <f t="shared" si="28"/>
        <v>0</v>
      </c>
      <c r="N24" s="9">
        <v>2.3999999999999995</v>
      </c>
      <c r="O24" s="9">
        <f t="shared" si="29"/>
        <v>0.24494897427831777</v>
      </c>
      <c r="P24" s="9">
        <v>3.9999999999999996</v>
      </c>
      <c r="Q24" s="9">
        <f t="shared" si="30"/>
        <v>0.31622776601683794</v>
      </c>
      <c r="R24" s="32"/>
      <c r="S24">
        <f t="shared" si="2"/>
        <v>1.5211337905130996E-2</v>
      </c>
      <c r="T24">
        <f t="shared" si="3"/>
        <v>1.9216130226778535E-3</v>
      </c>
      <c r="U24" s="12">
        <f t="shared" si="15"/>
        <v>0.12632767969934233</v>
      </c>
      <c r="V24">
        <f t="shared" si="4"/>
        <v>0</v>
      </c>
      <c r="W24">
        <f t="shared" si="5"/>
        <v>0</v>
      </c>
      <c r="X24" s="12" t="e">
        <f t="shared" si="22"/>
        <v>#DIV/0!</v>
      </c>
      <c r="Y24">
        <f t="shared" si="23"/>
        <v>1.8412267257106912E-2</v>
      </c>
      <c r="Z24">
        <f t="shared" si="24"/>
        <v>1.9087411743093608E-3</v>
      </c>
      <c r="AA24" s="12">
        <f t="shared" si="17"/>
        <v>0.10366681884723403</v>
      </c>
      <c r="AB24">
        <f t="shared" si="25"/>
        <v>2.728964382049455E-2</v>
      </c>
      <c r="AC24">
        <f t="shared" si="26"/>
        <v>2.2148161865164499E-3</v>
      </c>
      <c r="AD24" s="12">
        <f t="shared" si="19"/>
        <v>8.1159585705296772E-2</v>
      </c>
      <c r="AG24" s="12"/>
    </row>
    <row r="25" spans="2:33" x14ac:dyDescent="0.25">
      <c r="B25" s="3" t="s">
        <v>11</v>
      </c>
      <c r="C25" s="3">
        <v>4.9700000000000001E-2</v>
      </c>
      <c r="D25" s="3">
        <v>4.8765000000000001</v>
      </c>
      <c r="E25" s="3">
        <v>98.118712273641847</v>
      </c>
      <c r="F25" s="10">
        <f t="shared" si="31"/>
        <v>0.39486441854832172</v>
      </c>
      <c r="G25" s="11">
        <f t="shared" si="32"/>
        <v>4.0243538607303581E-3</v>
      </c>
      <c r="H25" s="36"/>
      <c r="I25" t="s">
        <v>11</v>
      </c>
      <c r="J25" s="9">
        <v>150.4</v>
      </c>
      <c r="K25" s="9">
        <f t="shared" si="27"/>
        <v>1.9390719429665317</v>
      </c>
      <c r="L25" s="9">
        <v>336</v>
      </c>
      <c r="M25" s="9">
        <f t="shared" si="28"/>
        <v>2.8982753492378879</v>
      </c>
      <c r="N25" s="9">
        <v>437.6</v>
      </c>
      <c r="O25" s="9">
        <f t="shared" si="29"/>
        <v>3.3075670817082456</v>
      </c>
      <c r="P25" s="9">
        <v>840</v>
      </c>
      <c r="Q25" s="9">
        <f t="shared" si="30"/>
        <v>4.5825756949558398</v>
      </c>
      <c r="R25" s="31"/>
      <c r="S25">
        <f t="shared" si="2"/>
        <v>0.34030043249743197</v>
      </c>
      <c r="T25">
        <f t="shared" si="3"/>
        <v>5.3036070444600998E-3</v>
      </c>
      <c r="U25" s="12">
        <f t="shared" si="15"/>
        <v>1.5585072888498672E-2</v>
      </c>
      <c r="V25">
        <f t="shared" si="4"/>
        <v>0.71432510501408453</v>
      </c>
      <c r="W25">
        <f t="shared" si="5"/>
        <v>9.0101616846323604E-3</v>
      </c>
      <c r="X25" s="12">
        <f t="shared" si="22"/>
        <v>1.2613530759855773E-2</v>
      </c>
      <c r="Y25">
        <f t="shared" si="23"/>
        <v>0.79898858618441859</v>
      </c>
      <c r="Z25">
        <f t="shared" si="24"/>
        <v>9.1190082139931631E-3</v>
      </c>
      <c r="AA25" s="12">
        <f t="shared" si="17"/>
        <v>1.141318958952983E-2</v>
      </c>
      <c r="AB25">
        <f t="shared" si="25"/>
        <v>1.3639058611398589</v>
      </c>
      <c r="AC25">
        <f t="shared" si="26"/>
        <v>1.4280601821428636E-2</v>
      </c>
      <c r="AD25" s="12">
        <f t="shared" si="19"/>
        <v>1.0470372060351649E-2</v>
      </c>
      <c r="AG25" s="12"/>
    </row>
    <row r="26" spans="2:33" x14ac:dyDescent="0.25">
      <c r="B26" s="3" t="s">
        <v>12</v>
      </c>
      <c r="C26" s="3">
        <v>2.7699999999999999E-2</v>
      </c>
      <c r="D26" s="3">
        <v>4.9138999999999999</v>
      </c>
      <c r="E26" s="3">
        <v>177.39711191335741</v>
      </c>
      <c r="F26" s="10">
        <f t="shared" si="31"/>
        <v>1.2808659236544595</v>
      </c>
      <c r="G26" s="11">
        <f t="shared" si="32"/>
        <v>7.2203313224177392E-3</v>
      </c>
      <c r="H26" s="36"/>
      <c r="I26" t="s">
        <v>12</v>
      </c>
      <c r="J26" s="9">
        <v>84.8</v>
      </c>
      <c r="K26" s="9">
        <f t="shared" si="27"/>
        <v>1.4560219778561037</v>
      </c>
      <c r="L26" s="9">
        <v>108</v>
      </c>
      <c r="M26" s="9">
        <f t="shared" si="28"/>
        <v>1.6431676725154984</v>
      </c>
      <c r="N26" s="9">
        <v>144.80000000000001</v>
      </c>
      <c r="O26" s="9">
        <f t="shared" si="29"/>
        <v>1.9026297590440449</v>
      </c>
      <c r="P26" s="9">
        <v>292.79999999999995</v>
      </c>
      <c r="Q26" s="9">
        <f t="shared" si="30"/>
        <v>2.7055498516937364</v>
      </c>
      <c r="R26" s="32"/>
      <c r="S26">
        <f t="shared" si="2"/>
        <v>0.3469007368487339</v>
      </c>
      <c r="T26">
        <f t="shared" si="3"/>
        <v>7.002070630242511E-3</v>
      </c>
      <c r="U26" s="12">
        <f t="shared" si="15"/>
        <v>2.0184651937755222E-2</v>
      </c>
      <c r="V26">
        <f t="shared" si="4"/>
        <v>0.4151213758397112</v>
      </c>
      <c r="W26">
        <f t="shared" si="5"/>
        <v>7.7896465769662299E-3</v>
      </c>
      <c r="X26" s="12">
        <f t="shared" si="22"/>
        <v>1.8764744555033484E-2</v>
      </c>
      <c r="Y26">
        <f t="shared" si="23"/>
        <v>0.47799849489589086</v>
      </c>
      <c r="Z26">
        <f t="shared" si="24"/>
        <v>8.0229849828624758E-3</v>
      </c>
      <c r="AA26" s="12">
        <f t="shared" si="17"/>
        <v>1.6784540262223837E-2</v>
      </c>
      <c r="AB26">
        <f t="shared" si="25"/>
        <v>0.85954949060953167</v>
      </c>
      <c r="AC26">
        <f t="shared" si="26"/>
        <v>1.2191886467747591E-2</v>
      </c>
      <c r="AD26" s="12">
        <f t="shared" si="19"/>
        <v>1.4184042455893922E-2</v>
      </c>
      <c r="AG26" s="12"/>
    </row>
    <row r="27" spans="2:33" x14ac:dyDescent="0.25">
      <c r="B27" s="3" t="s">
        <v>31</v>
      </c>
      <c r="C27" s="3">
        <v>1.01E-2</v>
      </c>
      <c r="D27" s="3">
        <v>5.0003000000000002</v>
      </c>
      <c r="E27" s="3">
        <v>495.0792079207921</v>
      </c>
      <c r="F27" s="10">
        <f t="shared" si="31"/>
        <v>9.8035686704785281</v>
      </c>
      <c r="G27" s="11">
        <f t="shared" si="32"/>
        <v>1.9802020593131037E-2</v>
      </c>
      <c r="H27" s="36"/>
      <c r="I27" t="s">
        <v>31</v>
      </c>
      <c r="J27" s="9">
        <v>0.80000000000000027</v>
      </c>
      <c r="K27" s="9">
        <f t="shared" si="27"/>
        <v>0.14142135623730953</v>
      </c>
      <c r="L27" s="9">
        <v>6.3999999999999995</v>
      </c>
      <c r="M27" s="9">
        <f t="shared" si="28"/>
        <v>0.39999999999999997</v>
      </c>
      <c r="N27" s="9">
        <v>10.399999999999999</v>
      </c>
      <c r="O27" s="9">
        <f t="shared" si="29"/>
        <v>0.5099019513592784</v>
      </c>
      <c r="P27" s="9">
        <v>15.2</v>
      </c>
      <c r="Q27" s="9">
        <f t="shared" si="30"/>
        <v>0.61644140029689765</v>
      </c>
      <c r="R27" s="32"/>
      <c r="S27">
        <f t="shared" si="2"/>
        <v>9.1332952961814279E-3</v>
      </c>
      <c r="T27">
        <f t="shared" si="3"/>
        <v>1.6262035711449747E-3</v>
      </c>
      <c r="U27" s="12">
        <f t="shared" si="15"/>
        <v>0.17805222741729154</v>
      </c>
      <c r="V27">
        <f t="shared" si="4"/>
        <v>6.8652990219405935E-2</v>
      </c>
      <c r="W27">
        <f t="shared" si="5"/>
        <v>4.536747816912946E-3</v>
      </c>
      <c r="X27" s="12">
        <f t="shared" si="22"/>
        <v>6.6082304680598711E-2</v>
      </c>
      <c r="Y27">
        <f t="shared" si="23"/>
        <v>9.5811899200547057E-2</v>
      </c>
      <c r="Z27">
        <f t="shared" si="24"/>
        <v>5.1175590671254682E-3</v>
      </c>
      <c r="AA27" s="12">
        <f t="shared" si="17"/>
        <v>5.3412562633934811E-2</v>
      </c>
      <c r="AB27">
        <f t="shared" si="25"/>
        <v>0.1245292995211473</v>
      </c>
      <c r="AC27">
        <f t="shared" si="26"/>
        <v>5.7073670795374388E-3</v>
      </c>
      <c r="AD27" s="12">
        <f t="shared" si="19"/>
        <v>4.5831519983521835E-2</v>
      </c>
      <c r="AG27" s="12"/>
    </row>
    <row r="28" spans="2:33" x14ac:dyDescent="0.25">
      <c r="B28" s="3" t="s">
        <v>32</v>
      </c>
      <c r="C28" s="3">
        <v>5.7000000000000002E-3</v>
      </c>
      <c r="D28" s="3">
        <v>4.8712999999999997</v>
      </c>
      <c r="E28" s="3">
        <v>854.61403508771923</v>
      </c>
      <c r="F28" s="10">
        <f t="shared" si="31"/>
        <v>29.986477899892936</v>
      </c>
      <c r="G28" s="11">
        <f t="shared" si="32"/>
        <v>3.5087743318906607E-2</v>
      </c>
      <c r="H28" s="36"/>
      <c r="I28" t="s">
        <v>32</v>
      </c>
      <c r="J28" s="9">
        <v>4.8000000000000007</v>
      </c>
      <c r="K28" s="9">
        <f t="shared" si="27"/>
        <v>0.34641016151377552</v>
      </c>
      <c r="L28" s="9">
        <v>13.600000000000001</v>
      </c>
      <c r="M28" s="9">
        <f t="shared" si="28"/>
        <v>0.5830951894845301</v>
      </c>
      <c r="N28" s="9">
        <v>13.6</v>
      </c>
      <c r="O28" s="9">
        <f t="shared" si="29"/>
        <v>0.58309518948452999</v>
      </c>
      <c r="P28" s="9">
        <v>11.2</v>
      </c>
      <c r="Q28" s="9">
        <f t="shared" si="30"/>
        <v>0.52915026221291805</v>
      </c>
      <c r="R28" s="32"/>
      <c r="S28">
        <f t="shared" si="2"/>
        <v>9.4596285465085708E-2</v>
      </c>
      <c r="T28">
        <f t="shared" si="3"/>
        <v>7.6265721448607517E-3</v>
      </c>
      <c r="U28" s="12">
        <f t="shared" si="15"/>
        <v>8.0622321556966664E-2</v>
      </c>
      <c r="V28">
        <f t="shared" si="4"/>
        <v>0.25183363008140353</v>
      </c>
      <c r="W28">
        <f t="shared" si="5"/>
        <v>1.4106923340347036E-2</v>
      </c>
      <c r="X28" s="12">
        <f t="shared" si="22"/>
        <v>5.6016836733787573E-2</v>
      </c>
      <c r="Y28">
        <f t="shared" si="23"/>
        <v>0.21628198727950765</v>
      </c>
      <c r="Z28">
        <f t="shared" si="24"/>
        <v>1.2093085249114125E-2</v>
      </c>
      <c r="AA28" s="12">
        <f t="shared" si="17"/>
        <v>5.5913510880986457E-2</v>
      </c>
      <c r="AB28">
        <f t="shared" si="25"/>
        <v>0.15839494349358682</v>
      </c>
      <c r="AC28">
        <f t="shared" si="26"/>
        <v>9.4067981196930828E-3</v>
      </c>
      <c r="AD28" s="12">
        <f t="shared" si="19"/>
        <v>5.9388247580478795E-2</v>
      </c>
      <c r="AG28" s="12"/>
    </row>
    <row r="29" spans="2:33" x14ac:dyDescent="0.25">
      <c r="B29" s="3" t="s">
        <v>13</v>
      </c>
      <c r="C29" s="4">
        <v>2.5381</v>
      </c>
      <c r="D29" s="3">
        <v>5.0625</v>
      </c>
      <c r="E29" s="3">
        <v>1.9946022615342185</v>
      </c>
      <c r="F29" s="10">
        <f t="shared" si="31"/>
        <v>1.7581981791480486E-4</v>
      </c>
      <c r="G29" s="11">
        <f t="shared" si="32"/>
        <v>8.8147808365346417E-5</v>
      </c>
      <c r="H29" s="36"/>
      <c r="I29" t="s">
        <v>13</v>
      </c>
      <c r="J29" s="9">
        <v>12.799999999999999</v>
      </c>
      <c r="K29" s="9">
        <f t="shared" si="27"/>
        <v>0.56568542494923801</v>
      </c>
      <c r="L29" s="9">
        <v>51.199999999999996</v>
      </c>
      <c r="M29" s="9">
        <f t="shared" si="28"/>
        <v>1.131370849898476</v>
      </c>
      <c r="N29" s="9">
        <v>58.400000000000006</v>
      </c>
      <c r="O29" s="9">
        <f t="shared" si="29"/>
        <v>1.2083045973594573</v>
      </c>
      <c r="P29" s="9">
        <v>110.4</v>
      </c>
      <c r="Q29" s="9">
        <f t="shared" si="30"/>
        <v>1.6613247725836151</v>
      </c>
      <c r="R29" s="32"/>
      <c r="S29">
        <f t="shared" si="2"/>
        <v>5.887475349096188E-4</v>
      </c>
      <c r="T29">
        <f t="shared" si="3"/>
        <v>2.641901448880923E-5</v>
      </c>
      <c r="U29" s="12">
        <f t="shared" si="15"/>
        <v>4.487324858670521E-2</v>
      </c>
      <c r="V29">
        <f t="shared" si="4"/>
        <v>2.2127434537646271E-3</v>
      </c>
      <c r="W29">
        <f t="shared" si="5"/>
        <v>5.2212774915773559E-5</v>
      </c>
      <c r="X29" s="12">
        <f t="shared" si="22"/>
        <v>2.3596397868420726E-2</v>
      </c>
      <c r="Y29">
        <f t="shared" si="23"/>
        <v>2.1676071575546722E-3</v>
      </c>
      <c r="Z29">
        <f t="shared" si="24"/>
        <v>4.7737857429312854E-5</v>
      </c>
      <c r="AA29" s="12">
        <f t="shared" si="17"/>
        <v>2.2023297562445327E-2</v>
      </c>
      <c r="AB29">
        <f t="shared" si="25"/>
        <v>3.6440023663191798E-3</v>
      </c>
      <c r="AC29">
        <f t="shared" si="26"/>
        <v>6.2068861240758088E-5</v>
      </c>
      <c r="AD29" s="12">
        <f t="shared" si="19"/>
        <v>1.7033156129219004E-2</v>
      </c>
      <c r="AG29" s="12"/>
    </row>
    <row r="30" spans="2:33" x14ac:dyDescent="0.25">
      <c r="B30" s="3" t="s">
        <v>14</v>
      </c>
      <c r="C30" s="4">
        <v>2.7002000000000002</v>
      </c>
      <c r="D30" s="3">
        <v>5.3585000000000003</v>
      </c>
      <c r="E30" s="3">
        <v>1.9844826309162285</v>
      </c>
      <c r="F30" s="10">
        <f t="shared" si="31"/>
        <v>1.6459518971101252E-4</v>
      </c>
      <c r="G30" s="11">
        <f t="shared" si="32"/>
        <v>8.2941108753881867E-5</v>
      </c>
      <c r="H30" s="36"/>
      <c r="I30" t="s">
        <v>14</v>
      </c>
      <c r="J30" s="9">
        <v>3.1999999999999997</v>
      </c>
      <c r="K30" s="9">
        <f t="shared" si="27"/>
        <v>0.28284271247461901</v>
      </c>
      <c r="L30" s="9">
        <v>48</v>
      </c>
      <c r="M30" s="9">
        <f t="shared" si="28"/>
        <v>1.0954451150103321</v>
      </c>
      <c r="N30" s="9">
        <v>20</v>
      </c>
      <c r="O30" s="9">
        <f t="shared" si="29"/>
        <v>0.70710678118654757</v>
      </c>
      <c r="P30" s="9">
        <v>37.6</v>
      </c>
      <c r="Q30" s="9">
        <f t="shared" si="30"/>
        <v>0.96953597148326587</v>
      </c>
      <c r="R30" s="32"/>
      <c r="S30">
        <f t="shared" si="2"/>
        <v>1.4644012988887818E-4</v>
      </c>
      <c r="T30">
        <f t="shared" si="3"/>
        <v>1.2993607678452425E-5</v>
      </c>
      <c r="U30" s="12">
        <f t="shared" si="15"/>
        <v>8.8729828963633434E-2</v>
      </c>
      <c r="V30">
        <f t="shared" si="4"/>
        <v>2.0639222644248576E-3</v>
      </c>
      <c r="W30">
        <f t="shared" si="5"/>
        <v>5.0104499925708483E-5</v>
      </c>
      <c r="X30" s="12">
        <f t="shared" si="22"/>
        <v>2.4276350320621615E-2</v>
      </c>
      <c r="Y30">
        <f t="shared" si="23"/>
        <v>7.3856499493325778E-4</v>
      </c>
      <c r="Z30">
        <f t="shared" si="24"/>
        <v>2.6700350913431266E-5</v>
      </c>
      <c r="AA30" s="12">
        <f t="shared" si="17"/>
        <v>3.6151660445055495E-2</v>
      </c>
      <c r="AB30">
        <f t="shared" si="25"/>
        <v>1.2347766744717603E-3</v>
      </c>
      <c r="AC30">
        <f t="shared" si="26"/>
        <v>3.3329178790535503E-5</v>
      </c>
      <c r="AD30" s="12">
        <f t="shared" si="19"/>
        <v>2.6992070290600353E-2</v>
      </c>
      <c r="AG30" s="12"/>
    </row>
    <row r="31" spans="2:33" x14ac:dyDescent="0.25">
      <c r="B31" s="3" t="s">
        <v>15</v>
      </c>
      <c r="C31" s="4">
        <v>2.6623999999999999</v>
      </c>
      <c r="D31" s="3">
        <v>5.5254000000000003</v>
      </c>
      <c r="E31" s="3">
        <v>2.0753455528846154</v>
      </c>
      <c r="F31" s="10">
        <f t="shared" si="31"/>
        <v>1.7305480235115642E-4</v>
      </c>
      <c r="G31" s="11">
        <f t="shared" si="32"/>
        <v>8.3386018347942026E-5</v>
      </c>
      <c r="H31" s="36"/>
      <c r="I31" t="s">
        <v>15</v>
      </c>
      <c r="J31" s="9">
        <v>3.1999999999999997</v>
      </c>
      <c r="K31" s="9">
        <f t="shared" si="27"/>
        <v>0.28284271247461901</v>
      </c>
      <c r="L31" s="9">
        <v>29.599999999999998</v>
      </c>
      <c r="M31" s="9">
        <f t="shared" si="28"/>
        <v>0.86023252670426265</v>
      </c>
      <c r="N31" s="9">
        <v>16</v>
      </c>
      <c r="O31" s="9">
        <f t="shared" si="29"/>
        <v>0.63245553203367588</v>
      </c>
      <c r="P31" s="9">
        <v>44.800000000000004</v>
      </c>
      <c r="Q31" s="9">
        <f t="shared" si="30"/>
        <v>1.0583005244258363</v>
      </c>
      <c r="R31" s="32"/>
      <c r="S31">
        <f t="shared" si="2"/>
        <v>1.5314514100252559E-4</v>
      </c>
      <c r="T31">
        <f t="shared" si="3"/>
        <v>1.3588542231627021E-5</v>
      </c>
      <c r="U31" s="12">
        <f t="shared" si="15"/>
        <v>8.8729829380632633E-2</v>
      </c>
      <c r="V31">
        <f t="shared" si="4"/>
        <v>1.3310271870612981E-3</v>
      </c>
      <c r="W31">
        <f t="shared" si="5"/>
        <v>4.0220428856406074E-5</v>
      </c>
      <c r="X31" s="12">
        <f t="shared" si="22"/>
        <v>3.0217586272754164E-2</v>
      </c>
      <c r="Y31">
        <f t="shared" si="23"/>
        <v>6.1790516233172854E-4</v>
      </c>
      <c r="Z31">
        <f t="shared" si="24"/>
        <v>2.4865924281838268E-5</v>
      </c>
      <c r="AA31" s="12">
        <f t="shared" si="17"/>
        <v>4.0242298976762306E-2</v>
      </c>
      <c r="AB31">
        <f t="shared" si="25"/>
        <v>1.5385857385086569E-3</v>
      </c>
      <c r="AC31">
        <f t="shared" si="26"/>
        <v>3.8363395271344625E-5</v>
      </c>
      <c r="AD31" s="12">
        <f t="shared" si="19"/>
        <v>2.4934193988129686E-2</v>
      </c>
      <c r="AG31" s="12"/>
    </row>
    <row r="32" spans="2:33" x14ac:dyDescent="0.25">
      <c r="B32" s="3" t="s">
        <v>16</v>
      </c>
      <c r="C32" s="4">
        <v>2.5741999999999998</v>
      </c>
      <c r="D32" s="3">
        <v>5.1252000000000004</v>
      </c>
      <c r="E32" s="3">
        <v>1.9909874912594208</v>
      </c>
      <c r="F32" s="10">
        <f t="shared" si="31"/>
        <v>1.7310314585262601E-4</v>
      </c>
      <c r="G32" s="11">
        <f t="shared" si="32"/>
        <v>8.6943361830529498E-5</v>
      </c>
      <c r="H32" s="36"/>
      <c r="I32" t="s">
        <v>16</v>
      </c>
      <c r="J32" s="9">
        <v>20</v>
      </c>
      <c r="K32" s="9">
        <f t="shared" si="27"/>
        <v>0.70710678118654757</v>
      </c>
      <c r="L32" s="9">
        <v>49.599999999999994</v>
      </c>
      <c r="M32" s="9">
        <f t="shared" si="28"/>
        <v>1.1135528725660042</v>
      </c>
      <c r="N32" s="9">
        <v>80</v>
      </c>
      <c r="O32" s="9">
        <f t="shared" si="29"/>
        <v>1.4142135623730951</v>
      </c>
      <c r="P32" s="9">
        <v>36.800000000000004</v>
      </c>
      <c r="Q32" s="9">
        <f t="shared" si="30"/>
        <v>0.95916630466254393</v>
      </c>
      <c r="R32" s="32"/>
      <c r="S32">
        <f t="shared" si="2"/>
        <v>9.1825087772546058E-4</v>
      </c>
      <c r="T32">
        <f t="shared" si="3"/>
        <v>3.3241230028789706E-5</v>
      </c>
      <c r="U32" s="12">
        <f t="shared" si="15"/>
        <v>3.6200597064638143E-2</v>
      </c>
      <c r="V32">
        <f t="shared" si="4"/>
        <v>2.1397104341605161E-3</v>
      </c>
      <c r="W32">
        <f t="shared" si="5"/>
        <v>5.1198615938925697E-5</v>
      </c>
      <c r="X32" s="12">
        <f t="shared" si="22"/>
        <v>2.3927824588569957E-2</v>
      </c>
      <c r="Y32">
        <f t="shared" si="23"/>
        <v>2.9639436364636384E-3</v>
      </c>
      <c r="Z32">
        <f t="shared" si="24"/>
        <v>5.6969682441685163E-5</v>
      </c>
      <c r="AA32" s="12">
        <f t="shared" si="17"/>
        <v>1.9220906140326351E-2</v>
      </c>
      <c r="AB32">
        <f t="shared" si="25"/>
        <v>1.2124661424780588E-3</v>
      </c>
      <c r="AC32">
        <f t="shared" si="26"/>
        <v>3.3050028923741546E-5</v>
      </c>
      <c r="AD32" s="12">
        <f t="shared" si="19"/>
        <v>2.7258516972847868E-2</v>
      </c>
      <c r="AG32" s="12"/>
    </row>
    <row r="33" spans="1:33" x14ac:dyDescent="0.25">
      <c r="B33" s="3" t="s">
        <v>17</v>
      </c>
      <c r="C33" s="4">
        <v>2.5093000000000001</v>
      </c>
      <c r="D33" s="3">
        <v>5.0574000000000003</v>
      </c>
      <c r="E33" s="3">
        <v>2.0154624795759775</v>
      </c>
      <c r="F33" s="10">
        <f t="shared" si="31"/>
        <v>1.7932560206231394E-4</v>
      </c>
      <c r="G33" s="11">
        <f t="shared" si="32"/>
        <v>8.8974914631028662E-5</v>
      </c>
      <c r="H33" s="36"/>
      <c r="I33" t="s">
        <v>17</v>
      </c>
      <c r="J33" s="9">
        <v>22.400000000000002</v>
      </c>
      <c r="K33" s="9">
        <f t="shared" si="27"/>
        <v>0.74833147735478833</v>
      </c>
      <c r="L33" s="9">
        <v>27.2</v>
      </c>
      <c r="M33" s="9">
        <f t="shared" si="28"/>
        <v>0.82462112512353203</v>
      </c>
      <c r="N33" s="9">
        <v>108.8</v>
      </c>
      <c r="O33" s="9">
        <f t="shared" si="29"/>
        <v>1.6492422502470641</v>
      </c>
      <c r="P33" s="9">
        <v>63.2</v>
      </c>
      <c r="Q33" s="9">
        <f t="shared" si="30"/>
        <v>1.2569805089976536</v>
      </c>
      <c r="R33" s="32"/>
      <c r="S33">
        <f t="shared" si="2"/>
        <v>1.0410834939447145E-3</v>
      </c>
      <c r="T33">
        <f t="shared" si="3"/>
        <v>3.5710150487402591E-5</v>
      </c>
      <c r="U33" s="12">
        <f t="shared" si="15"/>
        <v>3.4300947709866331E-2</v>
      </c>
      <c r="V33">
        <f t="shared" si="4"/>
        <v>1.187813940997091E-3</v>
      </c>
      <c r="W33">
        <f t="shared" si="5"/>
        <v>3.732886569035016E-5</v>
      </c>
      <c r="X33" s="12">
        <f t="shared" si="22"/>
        <v>3.1426525991953801E-2</v>
      </c>
      <c r="Y33">
        <f t="shared" si="23"/>
        <v>4.0805155307353132E-3</v>
      </c>
      <c r="Z33">
        <f t="shared" si="24"/>
        <v>6.9094949332779582E-5</v>
      </c>
      <c r="AA33" s="12">
        <f t="shared" si="17"/>
        <v>1.6932897035274511E-2</v>
      </c>
      <c r="AB33">
        <f t="shared" si="25"/>
        <v>2.1078760322752856E-3</v>
      </c>
      <c r="AC33">
        <f t="shared" si="26"/>
        <v>4.5171980049565582E-5</v>
      </c>
      <c r="AD33" s="12">
        <f t="shared" si="19"/>
        <v>2.1430093306201693E-2</v>
      </c>
      <c r="AG33" s="12"/>
    </row>
    <row r="34" spans="1:33" x14ac:dyDescent="0.25">
      <c r="B34" s="3" t="s">
        <v>18</v>
      </c>
      <c r="C34" s="4">
        <v>2.4788999999999999</v>
      </c>
      <c r="D34" s="3">
        <v>5.0540000000000003</v>
      </c>
      <c r="E34" s="3">
        <v>2.0388075356004682</v>
      </c>
      <c r="F34" s="10">
        <f t="shared" si="31"/>
        <v>1.8321391048842223E-4</v>
      </c>
      <c r="G34" s="11">
        <f t="shared" si="32"/>
        <v>8.9863269234220384E-5</v>
      </c>
      <c r="H34" s="36"/>
      <c r="I34" t="s">
        <v>18</v>
      </c>
      <c r="J34" s="9">
        <v>19.200000000000003</v>
      </c>
      <c r="K34" s="9">
        <f t="shared" si="27"/>
        <v>0.69282032302755103</v>
      </c>
      <c r="L34" s="9">
        <v>100.8</v>
      </c>
      <c r="M34" s="9">
        <f t="shared" si="28"/>
        <v>1.5874507866387544</v>
      </c>
      <c r="N34" s="9">
        <v>24.8</v>
      </c>
      <c r="O34" s="9">
        <f t="shared" si="29"/>
        <v>0.78740078740118113</v>
      </c>
      <c r="P34" s="9">
        <v>160</v>
      </c>
      <c r="Q34" s="9">
        <f t="shared" si="30"/>
        <v>2</v>
      </c>
      <c r="R34" s="31"/>
      <c r="S34">
        <f t="shared" si="2"/>
        <v>9.0269343459230169E-4</v>
      </c>
      <c r="T34">
        <f t="shared" si="3"/>
        <v>3.3321092285874399E-5</v>
      </c>
      <c r="U34" s="12">
        <f t="shared" si="15"/>
        <v>3.6912966250744646E-2</v>
      </c>
      <c r="V34">
        <f t="shared" si="4"/>
        <v>4.4528858152244957E-3</v>
      </c>
      <c r="W34">
        <f t="shared" si="5"/>
        <v>7.9221947261202806E-5</v>
      </c>
      <c r="X34" s="12">
        <f t="shared" si="22"/>
        <v>1.7791147257884214E-2</v>
      </c>
      <c r="Y34">
        <f t="shared" si="23"/>
        <v>9.4089104063699053E-4</v>
      </c>
      <c r="Z34">
        <f t="shared" si="24"/>
        <v>3.0705475149309314E-5</v>
      </c>
      <c r="AA34" s="12">
        <f t="shared" si="17"/>
        <v>3.2634464378065997E-2</v>
      </c>
      <c r="AB34">
        <f t="shared" si="25"/>
        <v>5.3982063604484896E-3</v>
      </c>
      <c r="AC34">
        <f t="shared" si="26"/>
        <v>8.0055498194011684E-5</v>
      </c>
      <c r="AD34" s="12">
        <f t="shared" si="19"/>
        <v>1.4830018129829437E-2</v>
      </c>
    </row>
    <row r="35" spans="1:33" s="14" customFormat="1" ht="30" x14ac:dyDescent="0.25">
      <c r="H35" s="37" t="s">
        <v>64</v>
      </c>
      <c r="I35" s="15" t="s">
        <v>63</v>
      </c>
      <c r="J35" s="16">
        <v>2.30601870116374E-5</v>
      </c>
      <c r="K35" s="16">
        <v>1.7933008921358501E-7</v>
      </c>
      <c r="L35" s="64">
        <v>2.1667300000000002E-5</v>
      </c>
      <c r="M35" s="16">
        <v>1.7933008921358501E-7</v>
      </c>
      <c r="N35" s="16">
        <v>1.86085023730408E-5</v>
      </c>
      <c r="O35" s="16">
        <v>1.40411815306763E-7</v>
      </c>
      <c r="P35" s="14">
        <v>1.6548295591259099E-5</v>
      </c>
      <c r="Q35" s="16">
        <v>1.32046027675256E-7</v>
      </c>
      <c r="R35" s="33"/>
    </row>
    <row r="36" spans="1:33" s="14" customFormat="1" ht="30.75" thickBot="1" x14ac:dyDescent="0.3">
      <c r="A36" s="28"/>
      <c r="B36" s="28"/>
      <c r="C36" s="28"/>
      <c r="D36" s="28"/>
      <c r="E36" s="28"/>
      <c r="F36" s="28"/>
      <c r="G36" s="28"/>
      <c r="H36" s="40" t="s">
        <v>61</v>
      </c>
      <c r="I36" s="29" t="s">
        <v>62</v>
      </c>
      <c r="J36" s="28"/>
      <c r="K36" s="28"/>
      <c r="L36" s="28"/>
      <c r="M36" s="28"/>
      <c r="N36" s="28"/>
      <c r="O36" s="28"/>
      <c r="P36" s="28">
        <v>1.8628300929571601E-5</v>
      </c>
      <c r="Q36" s="28">
        <v>1.40958325703395E-7</v>
      </c>
      <c r="R36" s="35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3" ht="30.75" thickTop="1" x14ac:dyDescent="0.25">
      <c r="A37" s="41" t="s">
        <v>51</v>
      </c>
      <c r="B37">
        <f>1/8</f>
        <v>0.125</v>
      </c>
      <c r="I37" t="s">
        <v>65</v>
      </c>
    </row>
    <row r="38" spans="1:33" ht="30" x14ac:dyDescent="0.25">
      <c r="A38" s="41" t="s">
        <v>52</v>
      </c>
      <c r="B38">
        <v>0.5</v>
      </c>
      <c r="I38" t="s">
        <v>66</v>
      </c>
    </row>
    <row r="39" spans="1:33" x14ac:dyDescent="0.25">
      <c r="K39" s="9"/>
      <c r="L39"/>
    </row>
    <row r="40" spans="1:33" x14ac:dyDescent="0.25">
      <c r="J40" s="5"/>
      <c r="K40" s="5"/>
      <c r="L40" s="5"/>
      <c r="M40" s="5"/>
    </row>
    <row r="41" spans="1:33" x14ac:dyDescent="0.25">
      <c r="L41"/>
    </row>
    <row r="42" spans="1:33" x14ac:dyDescent="0.25">
      <c r="L42"/>
    </row>
    <row r="43" spans="1:33" x14ac:dyDescent="0.25">
      <c r="L43"/>
    </row>
    <row r="44" spans="1:33" x14ac:dyDescent="0.25">
      <c r="F44" s="48"/>
      <c r="L44"/>
    </row>
    <row r="45" spans="1:33" x14ac:dyDescent="0.25">
      <c r="L45"/>
    </row>
    <row r="46" spans="1:33" x14ac:dyDescent="0.25">
      <c r="L46"/>
    </row>
    <row r="47" spans="1:33" x14ac:dyDescent="0.25">
      <c r="L47"/>
    </row>
    <row r="48" spans="1:33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1:12" x14ac:dyDescent="0.25">
      <c r="L65"/>
    </row>
    <row r="66" spans="11:12" x14ac:dyDescent="0.25">
      <c r="L66"/>
    </row>
    <row r="67" spans="11:12" x14ac:dyDescent="0.25">
      <c r="L67"/>
    </row>
    <row r="68" spans="11:12" x14ac:dyDescent="0.25">
      <c r="L68"/>
    </row>
    <row r="69" spans="11:12" x14ac:dyDescent="0.25">
      <c r="K69" s="9"/>
      <c r="L69"/>
    </row>
    <row r="70" spans="11:12" x14ac:dyDescent="0.25">
      <c r="K70" s="9"/>
      <c r="L70"/>
    </row>
    <row r="71" spans="11:12" x14ac:dyDescent="0.25">
      <c r="K71" s="9"/>
      <c r="L71"/>
    </row>
    <row r="72" spans="11:12" x14ac:dyDescent="0.25">
      <c r="K72" s="9"/>
      <c r="L7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pane ySplit="1" topLeftCell="A8" activePane="bottomLeft" state="frozen"/>
      <selection pane="bottomLeft" activeCell="L2" sqref="L2"/>
    </sheetView>
  </sheetViews>
  <sheetFormatPr defaultRowHeight="15" x14ac:dyDescent="0.25"/>
  <cols>
    <col min="1" max="1" width="18.85546875" bestFit="1" customWidth="1"/>
    <col min="10" max="10" width="10.140625" bestFit="1" customWidth="1"/>
    <col min="13" max="13" width="9.85546875" bestFit="1" customWidth="1"/>
  </cols>
  <sheetData>
    <row r="1" spans="1:22" x14ac:dyDescent="0.25">
      <c r="A1" t="str">
        <f>Pd_Calculations!B5</f>
        <v>Sample ID</v>
      </c>
      <c r="B1" t="str">
        <f>Pd_Calculations!S5</f>
        <v>Pd105</v>
      </c>
      <c r="C1" t="str">
        <f>Pd_Calculations!T5</f>
        <v>±</v>
      </c>
      <c r="D1" t="str">
        <f>Pd_Calculations!U5</f>
        <v>%</v>
      </c>
      <c r="E1" s="13" t="str">
        <f>Pd_Calculations!V5</f>
        <v>Pd107</v>
      </c>
      <c r="F1" t="str">
        <f>Pd_Calculations!W5</f>
        <v>±</v>
      </c>
      <c r="G1" s="12" t="str">
        <f>Pd_Calculations!X5</f>
        <v>%</v>
      </c>
      <c r="H1" s="13" t="str">
        <f>Pd_Calculations!Y5</f>
        <v>Pd108</v>
      </c>
      <c r="I1" t="str">
        <f>Pd_Calculations!Z5</f>
        <v>±</v>
      </c>
      <c r="J1" t="str">
        <f>Pd_Calculations!AA5</f>
        <v>%</v>
      </c>
      <c r="K1" s="13" t="str">
        <f>Pd_Calculations!AB5</f>
        <v>Pd110</v>
      </c>
      <c r="L1" t="str">
        <f>Pd_Calculations!AC5</f>
        <v>±</v>
      </c>
      <c r="M1" s="68" t="str">
        <f>Pd_Calculations!AD5</f>
        <v>%</v>
      </c>
      <c r="O1" t="s">
        <v>54</v>
      </c>
      <c r="P1" t="s">
        <v>54</v>
      </c>
      <c r="Q1" t="s">
        <v>54</v>
      </c>
      <c r="R1" t="s">
        <v>54</v>
      </c>
      <c r="T1" t="s">
        <v>55</v>
      </c>
      <c r="U1" t="s">
        <v>33</v>
      </c>
      <c r="V1" t="s">
        <v>36</v>
      </c>
    </row>
    <row r="2" spans="1:22" s="79" customFormat="1" x14ac:dyDescent="0.25">
      <c r="A2" s="79" t="str">
        <f>Pd_Calculations!B7</f>
        <v>87G Trace</v>
      </c>
      <c r="B2" s="79">
        <f>IF(Pd_Calculations!S7&gt;SUM($B$30:$D$30),Pd_Calculations!S7-SUM($B$30:$D$30),"LLD")</f>
        <v>0.11805532532773041</v>
      </c>
      <c r="C2" s="79">
        <f>IF(Pd_Calculations!S7&gt;SUM($B$30:$D$30),(Pd_Calculations!T7^2+$B$31^2+$C$31^2+$D$31^2)^0.5,"LLD")</f>
        <v>4.5349535391265273E-2</v>
      </c>
      <c r="D2" s="80">
        <f>IF(Pd_Calculations!S7&gt;SUM($B$30:$D$30),C2/B2,"LLD")</f>
        <v>0.38413799009381044</v>
      </c>
      <c r="E2" s="81">
        <f>IF(Pd_Calculations!V7&gt;SUM($E$30:$G$30),Pd_Calculations!V7-SUM($E$30:$G$30),"LLD")</f>
        <v>0.29075425805373128</v>
      </c>
      <c r="F2" s="79">
        <f>IF(Pd_Calculations!V7&gt;SUM($E$30:$G$30),(Pd_Calculations!W7^2+$E$31^2+$F$31^2+$G$31^2)^0.5,"LLD")</f>
        <v>4.1049467491378958E-2</v>
      </c>
      <c r="G2" s="80">
        <f>IF(Pd_Calculations!V7&gt;SUM($E$30:$G$30),F2/E2,"LLD")</f>
        <v>0.14118268728430119</v>
      </c>
      <c r="H2" s="81">
        <f>IF(Pd_Calculations!Y7&gt;SUM($H$30:$J$30),Pd_Calculations!Y7-SUM($H$30:$J$30),"LLD")</f>
        <v>0.27592258299349048</v>
      </c>
      <c r="I2" s="79">
        <f>IF(Pd_Calculations!Y7&gt;SUM($H$30:$J$30),(Pd_Calculations!Z7^2+$H$31^2+$I$31^2+$J$31^2)^0.5,"LLD")</f>
        <v>5.5883443455936911E-2</v>
      </c>
      <c r="J2" s="80">
        <f>IF(Pd_Calculations!Y7&gt;SUM($H$30:$J$30),I2/H2,"LLD")</f>
        <v>0.2025330541982325</v>
      </c>
      <c r="K2">
        <f>IF(Pd_Calculations!AB7&gt;SUM($K$30:$M$30),Pd_Calculations!AB7-SUM($K$30:$M$30),"LLD")</f>
        <v>0.93085551668659172</v>
      </c>
      <c r="L2" s="79">
        <f>IF(Pd_Calculations!AB7&gt;SUM($K$30:$M$30),(Pd_Calculations!AC7^2+$K$31^2+$L$31^2+$M$31^2)^0.5,"LLD")</f>
        <v>7.8848609033233638E-2</v>
      </c>
      <c r="M2" s="82">
        <f>IF(Pd_Calculations!AB7&gt;SUM($K$30:$M$30),L2/K2,"LLD")</f>
        <v>8.4705529074906957E-2</v>
      </c>
      <c r="O2" s="79">
        <f t="shared" ref="O2:O29" si="0">IF(C2="LLD","LLD",C2^2)</f>
        <v>2.0565803602036214E-3</v>
      </c>
      <c r="P2" s="79">
        <f t="shared" ref="P2:P29" si="1">IF(F2="LLD","LLD",F2^2)</f>
        <v>1.6850587813257779E-3</v>
      </c>
      <c r="Q2" s="79">
        <f t="shared" ref="Q2:Q29" si="2">IF(I2="LLD","LLD",I2^2)</f>
        <v>3.1229592524928979E-3</v>
      </c>
      <c r="R2" s="79">
        <f t="shared" ref="R2:R29" si="3">IF(L2="LLD","LLD",L2^2)</f>
        <v>6.2171031464757333E-3</v>
      </c>
      <c r="T2" s="79">
        <f t="shared" ref="T2:T29" si="4">IF(SUM(B2,E2,H2,K2)=0,"LLD",SUM(B2,E2,H2,K2))</f>
        <v>1.6155876830615439</v>
      </c>
      <c r="U2" s="79">
        <f t="shared" ref="U2:U29" si="5">IF(T2="LLD","LLD",SUM(O2:R2)^0.5)</f>
        <v>0.11437526629694914</v>
      </c>
      <c r="V2" s="80">
        <f>IF(T2="LLD","LLD",U2/T2)</f>
        <v>7.0794836761943883E-2</v>
      </c>
    </row>
    <row r="3" spans="1:22" s="83" customFormat="1" x14ac:dyDescent="0.25">
      <c r="A3" s="83" t="str">
        <f>Pd_Calculations!B8</f>
        <v>90G Trace</v>
      </c>
      <c r="B3" s="83" t="str">
        <f>IF(Pd_Calculations!S8&gt;SUM($B$30:$D$30),Pd_Calculations!S8-SUM($B$30:$D$30),"LLD")</f>
        <v>LLD</v>
      </c>
      <c r="C3" s="83" t="str">
        <f>IF(Pd_Calculations!S8&gt;SUM($B$30:$D$30),(Pd_Calculations!T8^2+$B$31^2+$C$31^2+$D$31^2)^0.5,"LLD")</f>
        <v>LLD</v>
      </c>
      <c r="D3" s="84" t="str">
        <f>IF(Pd_Calculations!S8&gt;SUM($B$30:$D$30),C3/B3,"LLD")</f>
        <v>LLD</v>
      </c>
      <c r="E3" s="85" t="str">
        <f>IF(Pd_Calculations!V8&gt;SUM($E$30:$G$30),Pd_Calculations!V8-SUM($E$30:$G$30),"LLD")</f>
        <v>LLD</v>
      </c>
      <c r="F3" s="83" t="str">
        <f>IF(Pd_Calculations!V8&gt;SUM($E$30:$G$30),(Pd_Calculations!W8^2+$E$31^2+$F$31^2+$G$31^2)^0.5,"LLD")</f>
        <v>LLD</v>
      </c>
      <c r="G3" s="84" t="str">
        <f>IF(Pd_Calculations!V8&gt;SUM($E$30:$G$30),F3/E3,"LLD")</f>
        <v>LLD</v>
      </c>
      <c r="H3" s="85" t="str">
        <f>IF(Pd_Calculations!Y8&gt;SUM($H$30:$J$30),Pd_Calculations!Y8-SUM($H$30:$J$30),"LLD")</f>
        <v>LLD</v>
      </c>
      <c r="I3" s="83" t="str">
        <f>IF(Pd_Calculations!Y8&gt;SUM($H$30:$J$30),(Pd_Calculations!Z8^2+$H$31^2+$I$31^2+$J$31^2)^0.5,"LLD")</f>
        <v>LLD</v>
      </c>
      <c r="J3" s="84" t="str">
        <f>IF(Pd_Calculations!Y8&gt;SUM($H$30:$J$30),I3/H3,"LLD")</f>
        <v>LLD</v>
      </c>
      <c r="K3" t="str">
        <f>IF(Pd_Calculations!AB8&gt;SUM($K$30:$M$30),Pd_Calculations!AB8-SUM($K$30:$M$30),"LLD")</f>
        <v>LLD</v>
      </c>
      <c r="L3" s="83" t="str">
        <f>IF(Pd_Calculations!AB8&gt;SUM($K$30:$M$30),(Pd_Calculations!AC8^2+$K$31^2+$L$31^2+$M$31^2)^0.5,"LLD")</f>
        <v>LLD</v>
      </c>
      <c r="M3" s="86" t="str">
        <f>IF(Pd_Calculations!AB8&gt;SUM($K$30:$M$30),L3/K3,"LLD")</f>
        <v>LLD</v>
      </c>
      <c r="O3" s="83" t="str">
        <f t="shared" si="0"/>
        <v>LLD</v>
      </c>
      <c r="P3" s="83" t="str">
        <f t="shared" si="1"/>
        <v>LLD</v>
      </c>
      <c r="Q3" s="83" t="str">
        <f t="shared" si="2"/>
        <v>LLD</v>
      </c>
      <c r="R3" s="83" t="str">
        <f t="shared" si="3"/>
        <v>LLD</v>
      </c>
      <c r="T3" s="83" t="str">
        <f t="shared" si="4"/>
        <v>LLD</v>
      </c>
      <c r="U3" s="83" t="str">
        <f t="shared" si="5"/>
        <v>LLD</v>
      </c>
      <c r="V3" s="84" t="str">
        <f t="shared" ref="V3:V29" si="6">IF(T3="LLD","LLD",U3/T3)</f>
        <v>LLD</v>
      </c>
    </row>
    <row r="4" spans="1:22" x14ac:dyDescent="0.25">
      <c r="A4" t="str">
        <f>Pd_Calculations!B9</f>
        <v>93G Trace</v>
      </c>
      <c r="B4" t="str">
        <f>IF(Pd_Calculations!S9&gt;SUM($B$30:$D$30),Pd_Calculations!S9-SUM($B$30:$D$30),"LLD")</f>
        <v>LLD</v>
      </c>
      <c r="C4" t="str">
        <f>IF(Pd_Calculations!S9&gt;SUM($B$30:$D$30),(Pd_Calculations!T9^2+$B$31^2+$C$31^2+$D$31^2)^0.5,"LLD")</f>
        <v>LLD</v>
      </c>
      <c r="D4" s="12" t="str">
        <f>IF(Pd_Calculations!S9&gt;SUM($B$30:$D$30),C4/B4,"LLD")</f>
        <v>LLD</v>
      </c>
      <c r="E4" s="13">
        <f>IF(Pd_Calculations!V9&gt;SUM($E$30:$G$30),Pd_Calculations!V9-SUM($E$30:$G$30),"LLD")</f>
        <v>3.8761930382504957E-3</v>
      </c>
      <c r="F4">
        <f>IF(Pd_Calculations!V9&gt;SUM($E$30:$G$30),(Pd_Calculations!W9^2+$E$31^2+$F$31^2+$G$31^2)^0.5,"LLD")</f>
        <v>4.0004666944261816E-2</v>
      </c>
      <c r="G4" s="12">
        <f>IF(Pd_Calculations!V9&gt;SUM($E$30:$G$30),F4/E4,"LLD")</f>
        <v>10.320607500579426</v>
      </c>
      <c r="H4" s="13" t="str">
        <f>IF(Pd_Calculations!Y9&gt;SUM($H$30:$J$30),Pd_Calculations!Y9-SUM($H$30:$J$30),"LLD")</f>
        <v>LLD</v>
      </c>
      <c r="I4" t="str">
        <f>IF(Pd_Calculations!Y9&gt;SUM($H$30:$J$30),(Pd_Calculations!Z9^2+$H$31^2+$I$31^2+$J$31^2)^0.5,"LLD")</f>
        <v>LLD</v>
      </c>
      <c r="J4" s="12" t="str">
        <f>IF(Pd_Calculations!Y9&gt;SUM($H$30:$J$30),I4/H4,"LLD")</f>
        <v>LLD</v>
      </c>
      <c r="K4" t="str">
        <f>IF(Pd_Calculations!AB9&gt;SUM($K$30:$M$30),Pd_Calculations!AB9-SUM($K$30:$M$30),"LLD")</f>
        <v>LLD</v>
      </c>
      <c r="L4" t="str">
        <f>IF(Pd_Calculations!AB9&gt;SUM($K$30:$M$30),(Pd_Calculations!AC9^2+$K$31^2+$L$31^2+$M$31^2)^0.5,"LLD")</f>
        <v>LLD</v>
      </c>
      <c r="M4" s="69" t="str">
        <f>IF(Pd_Calculations!AB9&gt;SUM($K$30:$M$30),L4/K4,"LLD")</f>
        <v>LLD</v>
      </c>
      <c r="O4" t="str">
        <f t="shared" si="0"/>
        <v>LLD</v>
      </c>
      <c r="P4">
        <f t="shared" si="1"/>
        <v>1.6003733773213139E-3</v>
      </c>
      <c r="Q4" t="str">
        <f t="shared" si="2"/>
        <v>LLD</v>
      </c>
      <c r="R4" t="str">
        <f t="shared" si="3"/>
        <v>LLD</v>
      </c>
      <c r="T4">
        <f t="shared" si="4"/>
        <v>3.8761930382504957E-3</v>
      </c>
      <c r="U4">
        <f t="shared" si="5"/>
        <v>4.0004666944261816E-2</v>
      </c>
      <c r="V4" s="12">
        <f t="shared" si="6"/>
        <v>10.320607500579426</v>
      </c>
    </row>
    <row r="5" spans="1:22" x14ac:dyDescent="0.25">
      <c r="A5" t="str">
        <f>Pd_Calculations!B10</f>
        <v>96G Trace</v>
      </c>
      <c r="B5" t="str">
        <f>IF(Pd_Calculations!S10&gt;SUM($B$30:$D$30),Pd_Calculations!S10-SUM($B$30:$D$30),"LLD")</f>
        <v>LLD</v>
      </c>
      <c r="C5" t="str">
        <f>IF(Pd_Calculations!S10&gt;SUM($B$30:$D$30),(Pd_Calculations!T10^2+$B$31^2+$C$31^2+$D$31^2)^0.5,"LLD")</f>
        <v>LLD</v>
      </c>
      <c r="D5" s="12" t="str">
        <f>IF(Pd_Calculations!S10&gt;SUM($B$30:$D$30),C5/B5,"LLD")</f>
        <v>LLD</v>
      </c>
      <c r="E5" s="13">
        <f>IF(Pd_Calculations!V10&gt;SUM($E$30:$G$30),Pd_Calculations!V10-SUM($E$30:$G$30),"LLD")</f>
        <v>1.7272810351648413E-3</v>
      </c>
      <c r="F5">
        <f>IF(Pd_Calculations!V10&gt;SUM($E$30:$G$30),(Pd_Calculations!W10^2+$E$31^2+$F$31^2+$G$31^2)^0.5,"LLD")</f>
        <v>4.0004392012298738E-2</v>
      </c>
      <c r="G5" s="12">
        <f>IF(Pd_Calculations!V10&gt;SUM($E$30:$G$30),F5/E5,"LLD")</f>
        <v>23.160326083520602</v>
      </c>
      <c r="H5" s="13">
        <f>IF(Pd_Calculations!Y10&gt;SUM($H$30:$J$30),Pd_Calculations!Y10-SUM($H$30:$J$30),"LLD")</f>
        <v>4.2097386967058538E-3</v>
      </c>
      <c r="I5">
        <f>IF(Pd_Calculations!Y10&gt;SUM($H$30:$J$30),(Pd_Calculations!Z10^2+$H$31^2+$I$31^2+$J$31^2)^0.5,"LLD")</f>
        <v>5.5235124749509402E-2</v>
      </c>
      <c r="J5" s="12">
        <f>IF(Pd_Calculations!Y10&gt;SUM($H$30:$J$30),I5/H5,"LLD")</f>
        <v>13.120796498065598</v>
      </c>
      <c r="K5" t="str">
        <f>IF(Pd_Calculations!AB10&gt;SUM($K$30:$M$30),Pd_Calculations!AB10-SUM($K$30:$M$30),"LLD")</f>
        <v>LLD</v>
      </c>
      <c r="L5" t="str">
        <f>IF(Pd_Calculations!AB10&gt;SUM($K$30:$M$30),(Pd_Calculations!AC10^2+$K$31^2+$L$31^2+$M$31^2)^0.5,"LLD")</f>
        <v>LLD</v>
      </c>
      <c r="M5" s="69" t="str">
        <f>IF(Pd_Calculations!AB10&gt;SUM($K$30:$M$30),L5/K5,"LLD")</f>
        <v>LLD</v>
      </c>
      <c r="O5" t="str">
        <f t="shared" si="0"/>
        <v>LLD</v>
      </c>
      <c r="P5">
        <f t="shared" si="1"/>
        <v>1.6003513802736711E-3</v>
      </c>
      <c r="Q5">
        <f t="shared" si="2"/>
        <v>3.0509190060938663E-3</v>
      </c>
      <c r="R5" t="str">
        <f t="shared" si="3"/>
        <v>LLD</v>
      </c>
      <c r="T5">
        <f t="shared" si="4"/>
        <v>5.9370197318706951E-3</v>
      </c>
      <c r="U5">
        <f t="shared" si="5"/>
        <v>6.8200222773591709E-2</v>
      </c>
      <c r="V5" s="12">
        <f t="shared" si="6"/>
        <v>11.487282484086087</v>
      </c>
    </row>
    <row r="6" spans="1:22" s="14" customFormat="1" x14ac:dyDescent="0.25">
      <c r="A6" s="14" t="str">
        <f>Pd_Calculations!B11</f>
        <v>30G Trace Waste</v>
      </c>
      <c r="B6" s="14">
        <f>IF(Pd_Calculations!S11&gt;SUM($B$30:$D$30),Pd_Calculations!S11-SUM($B$30:$D$30),"LLD")</f>
        <v>0.19082340216072086</v>
      </c>
      <c r="C6" s="14">
        <f>IF(Pd_Calculations!S11&gt;SUM($B$30:$D$30),(Pd_Calculations!T11^2+$B$31^2+$C$31^2+$D$31^2)^0.5,"LLD")</f>
        <v>4.5265503282550086E-2</v>
      </c>
      <c r="D6" s="76">
        <f>IF(Pd_Calculations!S11&gt;SUM($B$30:$D$30),C6/B6,"LLD")</f>
        <v>0.23721148858055288</v>
      </c>
      <c r="E6" s="77">
        <f>IF(Pd_Calculations!V11&gt;SUM($E$30:$G$30),Pd_Calculations!V11-SUM($E$30:$G$30),"LLD")</f>
        <v>0.25482581535003462</v>
      </c>
      <c r="F6" s="14">
        <f>IF(Pd_Calculations!V11&gt;SUM($E$30:$G$30),(Pd_Calculations!W11^2+$E$31^2+$F$31^2+$G$31^2)^0.5,"LLD")</f>
        <v>4.0396684166138765E-2</v>
      </c>
      <c r="G6" s="76">
        <f>IF(Pd_Calculations!V11&gt;SUM($E$30:$G$30),F6/E6,"LLD")</f>
        <v>0.15852665520033341</v>
      </c>
      <c r="H6" s="77">
        <f>IF(Pd_Calculations!Y11&gt;SUM($H$30:$J$30),Pd_Calculations!Y11-SUM($H$30:$J$30),"LLD")</f>
        <v>0.22172723719104892</v>
      </c>
      <c r="I6" s="14">
        <f>IF(Pd_Calculations!Y11&gt;SUM($H$30:$J$30),(Pd_Calculations!Z11^2+$H$31^2+$I$31^2+$J$31^2)^0.5,"LLD")</f>
        <v>5.5446136463922248E-2</v>
      </c>
      <c r="J6" s="76">
        <f>IF(Pd_Calculations!Y11&gt;SUM($H$30:$J$30),I6/H6,"LLD")</f>
        <v>0.25006461617589937</v>
      </c>
      <c r="K6">
        <f>IF(Pd_Calculations!AB11&gt;SUM($K$30:$M$30),Pd_Calculations!AB11-SUM($K$30:$M$30),"LLD")</f>
        <v>0.72045910647488542</v>
      </c>
      <c r="L6" s="14">
        <f>IF(Pd_Calculations!AB11&gt;SUM($K$30:$M$30),(Pd_Calculations!AC11^2+$K$31^2+$L$31^2+$M$31^2)^0.5,"LLD")</f>
        <v>7.6964163621517465E-2</v>
      </c>
      <c r="M6" s="78">
        <f>IF(Pd_Calculations!AB11&gt;SUM($K$30:$M$30),L6/K6,"LLD")</f>
        <v>0.1068265539706942</v>
      </c>
      <c r="O6" s="14">
        <f t="shared" si="0"/>
        <v>2.0489657874225528E-3</v>
      </c>
      <c r="P6" s="14">
        <f t="shared" si="1"/>
        <v>1.6318920916187664E-3</v>
      </c>
      <c r="Q6" s="14">
        <f t="shared" si="2"/>
        <v>3.0742740487758884E-3</v>
      </c>
      <c r="R6" s="14">
        <f t="shared" si="3"/>
        <v>5.9234824819597125E-3</v>
      </c>
      <c r="T6" s="14">
        <f t="shared" si="4"/>
        <v>1.3878355611766899</v>
      </c>
      <c r="U6" s="14">
        <f t="shared" si="5"/>
        <v>0.11259935350514638</v>
      </c>
      <c r="V6" s="76">
        <f t="shared" si="6"/>
        <v>8.1133065512226765E-2</v>
      </c>
    </row>
    <row r="7" spans="1:22" s="72" customFormat="1" x14ac:dyDescent="0.25">
      <c r="A7" s="72" t="str">
        <f>Pd_Calculations!B12</f>
        <v>30G Trace Original</v>
      </c>
      <c r="B7" s="72">
        <f>IF(Pd_Calculations!S12&gt;SUM($B$30:$D$30),Pd_Calculations!S12-SUM($B$30:$D$30),"LLD")</f>
        <v>0.21964326367458759</v>
      </c>
      <c r="C7" s="72">
        <f>IF(Pd_Calculations!S12&gt;SUM($B$30:$D$30),(Pd_Calculations!T12^2+$B$31^2+$C$31^2+$D$31^2)^0.5,"LLD")</f>
        <v>4.5206360244880971E-2</v>
      </c>
      <c r="D7" s="73">
        <f>IF(Pd_Calculations!S12&gt;SUM($B$30:$D$30),C7/B7,"LLD")</f>
        <v>0.20581719415650479</v>
      </c>
      <c r="E7" s="74">
        <f>IF(Pd_Calculations!V12&gt;SUM($E$30:$G$30),Pd_Calculations!V12-SUM($E$30:$G$30),"LLD")</f>
        <v>0.39988500428532736</v>
      </c>
      <c r="F7" s="72">
        <f>IF(Pd_Calculations!V12&gt;SUM($E$30:$G$30),(Pd_Calculations!W12^2+$E$31^2+$F$31^2+$G$31^2)^0.5,"LLD")</f>
        <v>4.047939829917381E-2</v>
      </c>
      <c r="G7" s="73">
        <f>IF(Pd_Calculations!V12&gt;SUM($E$30:$G$30),F7/E7,"LLD")</f>
        <v>0.1012275975977604</v>
      </c>
      <c r="H7" s="74">
        <f>IF(Pd_Calculations!Y12&gt;SUM($H$30:$J$30),Pd_Calculations!Y12-SUM($H$30:$J$30),"LLD")</f>
        <v>0.30635132845452312</v>
      </c>
      <c r="I7" s="72">
        <f>IF(Pd_Calculations!Y12&gt;SUM($H$30:$J$30),(Pd_Calculations!Z12^2+$H$31^2+$I$31^2+$J$31^2)^0.5,"LLD")</f>
        <v>5.5443906497909104E-2</v>
      </c>
      <c r="J7" s="73">
        <f>IF(Pd_Calculations!Y12&gt;SUM($H$30:$J$30),I7/H7,"LLD")</f>
        <v>0.18098144629439586</v>
      </c>
      <c r="K7">
        <f>IF(Pd_Calculations!AB12&gt;SUM($K$30:$M$30),Pd_Calculations!AB12-SUM($K$30:$M$30),"LLD")</f>
        <v>1.0174587848753636</v>
      </c>
      <c r="L7" s="72">
        <f>IF(Pd_Calculations!AB12&gt;SUM($K$30:$M$30),(Pd_Calculations!AC12^2+$K$31^2+$L$31^2+$M$31^2)^0.5,"LLD")</f>
        <v>7.7118629422809115E-2</v>
      </c>
      <c r="M7" s="75">
        <f>IF(Pd_Calculations!AB12&gt;SUM($K$30:$M$30),L7/K7,"LLD")</f>
        <v>7.5795334974925771E-2</v>
      </c>
      <c r="O7" s="72">
        <f t="shared" si="0"/>
        <v>2.0436150065899546E-3</v>
      </c>
      <c r="P7" s="72">
        <f t="shared" si="1"/>
        <v>1.6385816866631557E-3</v>
      </c>
      <c r="Q7" s="72">
        <f t="shared" si="2"/>
        <v>3.0740267677488876E-3</v>
      </c>
      <c r="R7" s="72">
        <f t="shared" si="3"/>
        <v>5.9472830040525598E-3</v>
      </c>
      <c r="T7" s="72">
        <f t="shared" si="4"/>
        <v>1.9433383812898017</v>
      </c>
      <c r="U7" s="72">
        <f t="shared" si="5"/>
        <v>0.11270983304510107</v>
      </c>
      <c r="V7" s="73">
        <f t="shared" si="6"/>
        <v>5.7998048168170842E-2</v>
      </c>
    </row>
    <row r="8" spans="1:22" x14ac:dyDescent="0.25">
      <c r="A8" t="str">
        <f>Pd_Calculations!B13</f>
        <v>42G taper</v>
      </c>
      <c r="B8">
        <f>IF(Pd_Calculations!S13&gt;SUM($B$30:$D$30),Pd_Calculations!S13-SUM($B$30:$D$30),"LLD")</f>
        <v>1.6649385864581059E-2</v>
      </c>
      <c r="C8">
        <f>IF(Pd_Calculations!S13&gt;SUM($B$30:$D$30),(Pd_Calculations!T13^2+$B$31^2+$C$31^2+$D$31^2)^0.5,"LLD")</f>
        <v>4.5008494968666948E-2</v>
      </c>
      <c r="D8" s="12">
        <f>IF(Pd_Calculations!S13&gt;SUM($B$30:$D$30),C8/B8,"LLD")</f>
        <v>2.7033126227445674</v>
      </c>
      <c r="E8" s="13">
        <f>IF(Pd_Calculations!V13&gt;SUM($E$30:$G$30),Pd_Calculations!V13-SUM($E$30:$G$30),"LLD")</f>
        <v>8.958712467022413E-2</v>
      </c>
      <c r="F8">
        <f>IF(Pd_Calculations!V13&gt;SUM($E$30:$G$30),(Pd_Calculations!W13^2+$E$31^2+$F$31^2+$G$31^2)^0.5,"LLD")</f>
        <v>4.0041293093889055E-2</v>
      </c>
      <c r="G8" s="12">
        <f>IF(Pd_Calculations!V13&gt;SUM($E$30:$G$30),F8/E8,"LLD")</f>
        <v>0.4469536581432163</v>
      </c>
      <c r="H8" s="13">
        <f>IF(Pd_Calculations!Y13&gt;SUM($H$30:$J$30),Pd_Calculations!Y13-SUM($H$30:$J$30),"LLD")</f>
        <v>1.3854948181899314E-2</v>
      </c>
      <c r="I8">
        <f>IF(Pd_Calculations!Y13&gt;SUM($H$30:$J$30),(Pd_Calculations!Z13^2+$H$31^2+$I$31^2+$J$31^2)^0.5,"LLD")</f>
        <v>5.5232488288868571E-2</v>
      </c>
      <c r="J8" s="12">
        <f>IF(Pd_Calculations!Y13&gt;SUM($H$30:$J$30),I8/H8,"LLD")</f>
        <v>3.9864810437202944</v>
      </c>
      <c r="K8">
        <f>IF(Pd_Calculations!AB13&gt;SUM($K$30:$M$30),Pd_Calculations!AB13-SUM($K$30:$M$30),"LLD")</f>
        <v>5.470928110807436E-3</v>
      </c>
      <c r="L8">
        <f>IF(Pd_Calculations!AB13&gt;SUM($K$30:$M$30),(Pd_Calculations!AC13^2+$K$31^2+$L$31^2+$M$31^2)^0.5,"LLD")</f>
        <v>7.622101451008427E-2</v>
      </c>
      <c r="M8" s="69">
        <f>IF(Pd_Calculations!AB13&gt;SUM($K$30:$M$30),L8/K8,"LLD")</f>
        <v>13.932008055363584</v>
      </c>
      <c r="O8">
        <f t="shared" si="0"/>
        <v>2.0257646193445182E-3</v>
      </c>
      <c r="P8">
        <f t="shared" si="1"/>
        <v>1.6033051526307272E-3</v>
      </c>
      <c r="Q8">
        <f t="shared" si="2"/>
        <v>3.0506277625800037E-3</v>
      </c>
      <c r="R8">
        <f t="shared" si="3"/>
        <v>5.8096430529464768E-3</v>
      </c>
      <c r="T8">
        <f t="shared" si="4"/>
        <v>0.12556238682751195</v>
      </c>
      <c r="U8">
        <f t="shared" si="5"/>
        <v>0.11175571836600455</v>
      </c>
      <c r="V8" s="12">
        <f t="shared" si="6"/>
        <v>0.89004136660388633</v>
      </c>
    </row>
    <row r="9" spans="1:22" x14ac:dyDescent="0.25">
      <c r="A9" t="str">
        <f>Pd_Calculations!B14</f>
        <v>70G</v>
      </c>
      <c r="B9">
        <f>IF(Pd_Calculations!S14&gt;SUM($B$30:$D$30),Pd_Calculations!S14-SUM($B$30:$D$30),"LLD")</f>
        <v>1.2026148777557009E-2</v>
      </c>
      <c r="C9">
        <f>IF(Pd_Calculations!S14&gt;SUM($B$30:$D$30),(Pd_Calculations!T14^2+$B$31^2+$C$31^2+$D$31^2)^0.5,"LLD")</f>
        <v>4.5021382239689427E-2</v>
      </c>
      <c r="D9" s="12">
        <f>IF(Pd_Calculations!S14&gt;SUM($B$30:$D$30),C9/B9,"LLD")</f>
        <v>3.7436242534856672</v>
      </c>
      <c r="E9" s="13">
        <f>IF(Pd_Calculations!V14&gt;SUM($E$30:$G$30),Pd_Calculations!V14-SUM($E$30:$G$30),"LLD")</f>
        <v>5.9384633611149857E-3</v>
      </c>
      <c r="F9">
        <f>IF(Pd_Calculations!V14&gt;SUM($E$30:$G$30),(Pd_Calculations!W14^2+$E$31^2+$F$31^2+$G$31^2)^0.5,"LLD")</f>
        <v>4.001051867111674E-2</v>
      </c>
      <c r="G9" s="12">
        <f>IF(Pd_Calculations!V14&gt;SUM($E$30:$G$30),F9/E9,"LLD")</f>
        <v>6.7375205062483543</v>
      </c>
      <c r="H9" s="13">
        <f>IF(Pd_Calculations!Y14&gt;SUM($H$30:$J$30),Pd_Calculations!Y14-SUM($H$30:$J$30),"LLD")</f>
        <v>7.9120905183775389E-3</v>
      </c>
      <c r="I9">
        <f>IF(Pd_Calculations!Y14&gt;SUM($H$30:$J$30),(Pd_Calculations!Z14^2+$H$31^2+$I$31^2+$J$31^2)^0.5,"LLD")</f>
        <v>5.5240077692424901E-2</v>
      </c>
      <c r="J9" s="12">
        <f>IF(Pd_Calculations!Y14&gt;SUM($H$30:$J$30),I9/H9,"LLD")</f>
        <v>6.981729741857464</v>
      </c>
      <c r="K9" t="str">
        <f>IF(Pd_Calculations!AB14&gt;SUM($K$30:$M$30),Pd_Calculations!AB14-SUM($K$30:$M$30),"LLD")</f>
        <v>LLD</v>
      </c>
      <c r="L9" t="str">
        <f>IF(Pd_Calculations!AB14&gt;SUM($K$30:$M$30),(Pd_Calculations!AC14^2+$K$31^2+$L$31^2+$M$31^2)^0.5,"LLD")</f>
        <v>LLD</v>
      </c>
      <c r="M9" s="69" t="str">
        <f>IF(Pd_Calculations!AB14&gt;SUM($K$30:$M$30),L9/K9,"LLD")</f>
        <v>LLD</v>
      </c>
      <c r="O9">
        <f t="shared" si="0"/>
        <v>2.0269248587722224E-3</v>
      </c>
      <c r="P9">
        <f t="shared" si="1"/>
        <v>1.6008416043317812E-3</v>
      </c>
      <c r="Q9">
        <f t="shared" si="2"/>
        <v>3.051466183465139E-3</v>
      </c>
      <c r="R9" t="str">
        <f t="shared" si="3"/>
        <v>LLD</v>
      </c>
      <c r="T9">
        <f t="shared" si="4"/>
        <v>2.5876702657049534E-2</v>
      </c>
      <c r="U9">
        <f t="shared" si="5"/>
        <v>8.1726572463117167E-2</v>
      </c>
      <c r="V9" s="12">
        <f t="shared" si="6"/>
        <v>3.1583070511826814</v>
      </c>
    </row>
    <row r="10" spans="1:22" x14ac:dyDescent="0.25">
      <c r="A10" t="str">
        <f>Pd_Calculations!B15</f>
        <v>71G</v>
      </c>
      <c r="B10">
        <f>IF(Pd_Calculations!S15&gt;SUM($B$30:$D$30),Pd_Calculations!S15-SUM($B$30:$D$30),"LLD")</f>
        <v>2.1789995228509327E-3</v>
      </c>
      <c r="C10">
        <f>IF(Pd_Calculations!S15&gt;SUM($B$30:$D$30),(Pd_Calculations!T15^2+$B$31^2+$C$31^2+$D$31^2)^0.5,"LLD")</f>
        <v>4.5007392444265361E-2</v>
      </c>
      <c r="D10" s="12">
        <f>IF(Pd_Calculations!S15&gt;SUM($B$30:$D$30),C10/B10,"LLD")</f>
        <v>20.655072188992101</v>
      </c>
      <c r="E10" s="13" t="str">
        <f>IF(Pd_Calculations!V15&gt;SUM($E$30:$G$30),Pd_Calculations!V15-SUM($E$30:$G$30),"LLD")</f>
        <v>LLD</v>
      </c>
      <c r="F10" t="str">
        <f>IF(Pd_Calculations!V15&gt;SUM($E$30:$G$30),(Pd_Calculations!W15^2+$E$31^2+$F$31^2+$G$31^2)^0.5,"LLD")</f>
        <v>LLD</v>
      </c>
      <c r="G10" s="12" t="str">
        <f>IF(Pd_Calculations!V15&gt;SUM($E$30:$G$30),F10/E10,"LLD")</f>
        <v>LLD</v>
      </c>
      <c r="H10" s="13" t="str">
        <f>IF(Pd_Calculations!Y15&gt;SUM($H$30:$J$30),Pd_Calculations!Y15-SUM($H$30:$J$30),"LLD")</f>
        <v>LLD</v>
      </c>
      <c r="I10" t="str">
        <f>IF(Pd_Calculations!Y15&gt;SUM($H$30:$J$30),(Pd_Calculations!Z15^2+$H$31^2+$I$31^2+$J$31^2)^0.5,"LLD")</f>
        <v>LLD</v>
      </c>
      <c r="J10" s="12" t="str">
        <f>IF(Pd_Calculations!Y15&gt;SUM($H$30:$J$30),I10/H10,"LLD")</f>
        <v>LLD</v>
      </c>
      <c r="K10" t="str">
        <f>IF(Pd_Calculations!AB15&gt;SUM($K$30:$M$30),Pd_Calculations!AB15-SUM($K$30:$M$30),"LLD")</f>
        <v>LLD</v>
      </c>
      <c r="L10" t="str">
        <f>IF(Pd_Calculations!AB15&gt;SUM($K$30:$M$30),(Pd_Calculations!AC15^2+$K$31^2+$L$31^2+$M$31^2)^0.5,"LLD")</f>
        <v>LLD</v>
      </c>
      <c r="M10" s="69" t="str">
        <f>IF(Pd_Calculations!AB15&gt;SUM($K$30:$M$30),L10/K10,"LLD")</f>
        <v>LLD</v>
      </c>
      <c r="O10">
        <f t="shared" si="0"/>
        <v>2.0256653746321147E-3</v>
      </c>
      <c r="P10" t="str">
        <f t="shared" si="1"/>
        <v>LLD</v>
      </c>
      <c r="Q10" t="str">
        <f t="shared" si="2"/>
        <v>LLD</v>
      </c>
      <c r="R10" t="str">
        <f t="shared" si="3"/>
        <v>LLD</v>
      </c>
      <c r="T10">
        <f t="shared" si="4"/>
        <v>2.1789995228509327E-3</v>
      </c>
      <c r="U10">
        <f t="shared" si="5"/>
        <v>4.5007392444265361E-2</v>
      </c>
      <c r="V10" s="12">
        <f t="shared" si="6"/>
        <v>20.655072188992101</v>
      </c>
    </row>
    <row r="11" spans="1:22" x14ac:dyDescent="0.25">
      <c r="A11" t="str">
        <f>Pd_Calculations!B16</f>
        <v>72G</v>
      </c>
      <c r="B11">
        <f>IF(Pd_Calculations!S16&gt;SUM($B$30:$D$30),Pd_Calculations!S16-SUM($B$30:$D$30),"LLD")</f>
        <v>1.831652020557116E-2</v>
      </c>
      <c r="C11">
        <f>IF(Pd_Calculations!S16&gt;SUM($B$30:$D$30),(Pd_Calculations!T16^2+$B$31^2+$C$31^2+$D$31^2)^0.5,"LLD")</f>
        <v>4.5025418629248908E-2</v>
      </c>
      <c r="D11" s="12">
        <f>IF(Pd_Calculations!S16&gt;SUM($B$30:$D$30),C11/B11,"LLD")</f>
        <v>2.4581862779565498</v>
      </c>
      <c r="E11" s="13" t="str">
        <f>IF(Pd_Calculations!V16&gt;SUM($E$30:$G$30),Pd_Calculations!V16-SUM($E$30:$G$30),"LLD")</f>
        <v>LLD</v>
      </c>
      <c r="F11" t="str">
        <f>IF(Pd_Calculations!V16&gt;SUM($E$30:$G$30),(Pd_Calculations!W16^2+$E$31^2+$F$31^2+$G$31^2)^0.5,"LLD")</f>
        <v>LLD</v>
      </c>
      <c r="G11" s="12" t="str">
        <f>IF(Pd_Calculations!V16&gt;SUM($E$30:$G$30),F11/E11,"LLD")</f>
        <v>LLD</v>
      </c>
      <c r="H11" s="13">
        <f>IF(Pd_Calculations!Y16&gt;SUM($H$30:$J$30),Pd_Calculations!Y16-SUM($H$30:$J$30),"LLD")</f>
        <v>1.3495881712774511E-3</v>
      </c>
      <c r="I11">
        <f>IF(Pd_Calculations!Y16&gt;SUM($H$30:$J$30),(Pd_Calculations!Z16^2+$H$31^2+$I$31^2+$J$31^2)^0.5,"LLD")</f>
        <v>5.5234203757453255E-2</v>
      </c>
      <c r="J11" s="12">
        <f>IF(Pd_Calculations!Y16&gt;SUM($H$30:$J$30),I11/H11,"LLD")</f>
        <v>40.926710038641929</v>
      </c>
      <c r="K11" t="str">
        <f>IF(Pd_Calculations!AB16&gt;SUM($K$30:$M$30),Pd_Calculations!AB16-SUM($K$30:$M$30),"LLD")</f>
        <v>LLD</v>
      </c>
      <c r="L11" t="str">
        <f>IF(Pd_Calculations!AB16&gt;SUM($K$30:$M$30),(Pd_Calculations!AC16^2+$K$31^2+$L$31^2+$M$31^2)^0.5,"LLD")</f>
        <v>LLD</v>
      </c>
      <c r="M11" s="69" t="str">
        <f>IF(Pd_Calculations!AB16&gt;SUM($K$30:$M$30),L11/K11,"LLD")</f>
        <v>LLD</v>
      </c>
      <c r="O11">
        <f t="shared" si="0"/>
        <v>2.0272883227391144E-3</v>
      </c>
      <c r="P11" t="str">
        <f t="shared" si="1"/>
        <v>LLD</v>
      </c>
      <c r="Q11">
        <f t="shared" si="2"/>
        <v>3.0508172647198632E-3</v>
      </c>
      <c r="R11" t="str">
        <f t="shared" si="3"/>
        <v>LLD</v>
      </c>
      <c r="T11">
        <f t="shared" si="4"/>
        <v>1.9666108376848609E-2</v>
      </c>
      <c r="U11">
        <f t="shared" si="5"/>
        <v>7.1260827861167719E-2</v>
      </c>
      <c r="V11" s="12">
        <f t="shared" si="6"/>
        <v>3.6235347886650309</v>
      </c>
    </row>
    <row r="12" spans="1:22" x14ac:dyDescent="0.25">
      <c r="A12" t="str">
        <f>Pd_Calculations!B17</f>
        <v>73G</v>
      </c>
      <c r="B12">
        <f>IF(Pd_Calculations!S17&gt;SUM($B$30:$D$30),Pd_Calculations!S17-SUM($B$30:$D$30),"LLD")</f>
        <v>7.4544668512944957E-3</v>
      </c>
      <c r="C12">
        <f>IF(Pd_Calculations!S17&gt;SUM($B$30:$D$30),(Pd_Calculations!T17^2+$B$31^2+$C$31^2+$D$31^2)^0.5,"LLD")</f>
        <v>4.5014735579552746E-2</v>
      </c>
      <c r="D12" s="12">
        <f>IF(Pd_Calculations!S17&gt;SUM($B$30:$D$30),C12/B12,"LLD")</f>
        <v>6.0386257632543865</v>
      </c>
      <c r="E12" s="13" t="str">
        <f>IF(Pd_Calculations!V17&gt;SUM($E$30:$G$30),Pd_Calculations!V17-SUM($E$30:$G$30),"LLD")</f>
        <v>LLD</v>
      </c>
      <c r="F12" t="str">
        <f>IF(Pd_Calculations!V17&gt;SUM($E$30:$G$30),(Pd_Calculations!W17^2+$E$31^2+$F$31^2+$G$31^2)^0.5,"LLD")</f>
        <v>LLD</v>
      </c>
      <c r="G12" s="12" t="str">
        <f>IF(Pd_Calculations!V17&gt;SUM($E$30:$G$30),F12/E12,"LLD")</f>
        <v>LLD</v>
      </c>
      <c r="H12" s="13" t="str">
        <f>IF(Pd_Calculations!Y17&gt;SUM($H$30:$J$30),Pd_Calculations!Y17-SUM($H$30:$J$30),"LLD")</f>
        <v>LLD</v>
      </c>
      <c r="I12" t="str">
        <f>IF(Pd_Calculations!Y17&gt;SUM($H$30:$J$30),(Pd_Calculations!Z17^2+$H$31^2+$I$31^2+$J$31^2)^0.5,"LLD")</f>
        <v>LLD</v>
      </c>
      <c r="J12" s="12" t="str">
        <f>IF(Pd_Calculations!Y17&gt;SUM($H$30:$J$30),I12/H12,"LLD")</f>
        <v>LLD</v>
      </c>
      <c r="K12" t="str">
        <f>IF(Pd_Calculations!AB17&gt;SUM($K$30:$M$30),Pd_Calculations!AB17-SUM($K$30:$M$30),"LLD")</f>
        <v>LLD</v>
      </c>
      <c r="L12" t="str">
        <f>IF(Pd_Calculations!AB17&gt;SUM($K$30:$M$30),(Pd_Calculations!AC17^2+$K$31^2+$L$31^2+$M$31^2)^0.5,"LLD")</f>
        <v>LLD</v>
      </c>
      <c r="M12" s="69" t="str">
        <f>IF(Pd_Calculations!AB17&gt;SUM($K$30:$M$30),L12/K12,"LLD")</f>
        <v>LLD</v>
      </c>
      <c r="O12">
        <f t="shared" si="0"/>
        <v>2.0263264192970521E-3</v>
      </c>
      <c r="P12" t="str">
        <f t="shared" si="1"/>
        <v>LLD</v>
      </c>
      <c r="Q12" t="str">
        <f t="shared" si="2"/>
        <v>LLD</v>
      </c>
      <c r="R12" t="str">
        <f t="shared" si="3"/>
        <v>LLD</v>
      </c>
      <c r="T12">
        <f t="shared" si="4"/>
        <v>7.4544668512944957E-3</v>
      </c>
      <c r="U12">
        <f t="shared" si="5"/>
        <v>4.5014735579552746E-2</v>
      </c>
      <c r="V12" s="12">
        <f t="shared" si="6"/>
        <v>6.0386257632543865</v>
      </c>
    </row>
    <row r="13" spans="1:22" x14ac:dyDescent="0.25">
      <c r="A13" t="str">
        <f>Pd_Calculations!B18</f>
        <v xml:space="preserve">74G </v>
      </c>
      <c r="B13">
        <f>IF(Pd_Calculations!S18&gt;SUM($B$30:$D$30),Pd_Calculations!S18-SUM($B$30:$D$30),"LLD")</f>
        <v>9.2916451457014555E-3</v>
      </c>
      <c r="C13">
        <f>IF(Pd_Calculations!S18&gt;SUM($B$30:$D$30),(Pd_Calculations!T18^2+$B$31^2+$C$31^2+$D$31^2)^0.5,"LLD")</f>
        <v>4.5007883158820691E-2</v>
      </c>
      <c r="D13" s="12">
        <f>IF(Pd_Calculations!S18&gt;SUM($B$30:$D$30),C13/B13,"LLD")</f>
        <v>4.843908958322892</v>
      </c>
      <c r="E13" s="13">
        <f>IF(Pd_Calculations!V18&gt;SUM($E$30:$G$30),Pd_Calculations!V18-SUM($E$30:$G$30),"LLD")</f>
        <v>7.2050621615316673E-3</v>
      </c>
      <c r="F13">
        <f>IF(Pd_Calculations!V18&gt;SUM($E$30:$G$30),(Pd_Calculations!W18^2+$E$31^2+$F$31^2+$G$31^2)^0.5,"LLD")</f>
        <v>4.0005185256087761E-2</v>
      </c>
      <c r="G13" s="12">
        <f>IF(Pd_Calculations!V18&gt;SUM($E$30:$G$30),F13/E13,"LLD")</f>
        <v>5.5523719794782966</v>
      </c>
      <c r="H13" s="13" t="str">
        <f>IF(Pd_Calculations!Y18&gt;SUM($H$30:$J$30),Pd_Calculations!Y18-SUM($H$30:$J$30),"LLD")</f>
        <v>LLD</v>
      </c>
      <c r="I13" t="str">
        <f>IF(Pd_Calculations!Y18&gt;SUM($H$30:$J$30),(Pd_Calculations!Z18^2+$H$31^2+$I$31^2+$J$31^2)^0.5,"LLD")</f>
        <v>LLD</v>
      </c>
      <c r="J13" s="12" t="str">
        <f>IF(Pd_Calculations!Y18&gt;SUM($H$30:$J$30),I13/H13,"LLD")</f>
        <v>LLD</v>
      </c>
      <c r="K13" t="str">
        <f>IF(Pd_Calculations!AB18&gt;SUM($K$30:$M$30),Pd_Calculations!AB18-SUM($K$30:$M$30),"LLD")</f>
        <v>LLD</v>
      </c>
      <c r="L13" t="str">
        <f>IF(Pd_Calculations!AB18&gt;SUM($K$30:$M$30),(Pd_Calculations!AC18^2+$K$31^2+$L$31^2+$M$31^2)^0.5,"LLD")</f>
        <v>LLD</v>
      </c>
      <c r="M13" s="69" t="str">
        <f>IF(Pd_Calculations!AB18&gt;SUM($K$30:$M$30),L13/K13,"LLD")</f>
        <v>LLD</v>
      </c>
      <c r="O13">
        <f t="shared" si="0"/>
        <v>2.0257095464380551E-3</v>
      </c>
      <c r="P13">
        <f t="shared" si="1"/>
        <v>1.6004148473739016E-3</v>
      </c>
      <c r="Q13" t="str">
        <f t="shared" si="2"/>
        <v>LLD</v>
      </c>
      <c r="R13" t="str">
        <f t="shared" si="3"/>
        <v>LLD</v>
      </c>
      <c r="T13">
        <f t="shared" si="4"/>
        <v>1.6496707307233124E-2</v>
      </c>
      <c r="U13">
        <f t="shared" si="5"/>
        <v>6.0217309752362377E-2</v>
      </c>
      <c r="V13" s="12">
        <f t="shared" si="6"/>
        <v>3.6502623602929281</v>
      </c>
    </row>
    <row r="14" spans="1:22" x14ac:dyDescent="0.25">
      <c r="A14" t="str">
        <f>Pd_Calculations!B19</f>
        <v xml:space="preserve">75G trace waste </v>
      </c>
      <c r="B14" t="e">
        <f>IF(Pd_Calculations!S19&gt;SUM($B$30:$D$30),Pd_Calculations!S19-SUM($B$30:$D$30),"LLD")</f>
        <v>#VALUE!</v>
      </c>
      <c r="C14" t="e">
        <f>IF(Pd_Calculations!S19&gt;SUM($B$30:$D$30),(Pd_Calculations!T19^2+$B$31^2+$C$31^2+$D$31^2)^0.5,"LLD")</f>
        <v>#VALUE!</v>
      </c>
      <c r="D14" s="12" t="e">
        <f>IF(Pd_Calculations!S19&gt;SUM($B$30:$D$30),C14/B14,"LLD")</f>
        <v>#VALUE!</v>
      </c>
      <c r="E14" s="13" t="e">
        <f>IF(Pd_Calculations!V19&gt;SUM($E$30:$G$30),Pd_Calculations!V19-SUM($E$30:$G$30),"LLD")</f>
        <v>#VALUE!</v>
      </c>
      <c r="F14" t="e">
        <f>IF(Pd_Calculations!V19&gt;SUM($E$30:$G$30),(Pd_Calculations!W19^2+$E$31^2+$F$31^2+$G$31^2)^0.5,"LLD")</f>
        <v>#VALUE!</v>
      </c>
      <c r="G14" s="12" t="e">
        <f>IF(Pd_Calculations!V19&gt;SUM($E$30:$G$30),F14/E14,"LLD")</f>
        <v>#VALUE!</v>
      </c>
      <c r="H14" s="13" t="e">
        <f>IF(Pd_Calculations!Y19&gt;SUM($H$30:$J$30),Pd_Calculations!Y19-SUM($H$30:$J$30),"LLD")</f>
        <v>#VALUE!</v>
      </c>
      <c r="I14" t="e">
        <f>IF(Pd_Calculations!Y19&gt;SUM($H$30:$J$30),(Pd_Calculations!Z19^2+$H$31^2+$I$31^2+$J$31^2)^0.5,"LLD")</f>
        <v>#VALUE!</v>
      </c>
      <c r="J14" s="12" t="e">
        <f>IF(Pd_Calculations!Y19&gt;SUM($H$30:$J$30),I14/H14,"LLD")</f>
        <v>#VALUE!</v>
      </c>
      <c r="K14" t="e">
        <f>IF(Pd_Calculations!AB19&gt;SUM($K$30:$M$30),Pd_Calculations!AB19-SUM($K$30:$M$30),"LLD")</f>
        <v>#VALUE!</v>
      </c>
      <c r="L14" t="e">
        <f>IF(Pd_Calculations!AB19&gt;SUM($K$30:$M$30),(Pd_Calculations!AC19^2+$K$31^2+$L$31^2+$M$31^2)^0.5,"LLD")</f>
        <v>#VALUE!</v>
      </c>
      <c r="M14" s="69" t="e">
        <f>IF(Pd_Calculations!AB19&gt;SUM($K$30:$M$30),L14/K14,"LLD")</f>
        <v>#VALUE!</v>
      </c>
      <c r="O14" t="e">
        <f t="shared" si="0"/>
        <v>#VALUE!</v>
      </c>
      <c r="P14" t="e">
        <f t="shared" si="1"/>
        <v>#VALUE!</v>
      </c>
      <c r="Q14" t="e">
        <f t="shared" si="2"/>
        <v>#VALUE!</v>
      </c>
      <c r="R14" t="e">
        <f t="shared" si="3"/>
        <v>#VALUE!</v>
      </c>
      <c r="T14" t="e">
        <f t="shared" si="4"/>
        <v>#VALUE!</v>
      </c>
      <c r="U14" t="e">
        <f t="shared" si="5"/>
        <v>#VALUE!</v>
      </c>
      <c r="V14" s="12" t="e">
        <f t="shared" si="6"/>
        <v>#VALUE!</v>
      </c>
    </row>
    <row r="15" spans="1:22" x14ac:dyDescent="0.25">
      <c r="A15" t="str">
        <f>Pd_Calculations!B20</f>
        <v>81G trace</v>
      </c>
      <c r="B15">
        <f>IF(Pd_Calculations!S20&gt;SUM($B$30:$D$30),Pd_Calculations!S20-SUM($B$30:$D$30),"LLD")</f>
        <v>3.86338855963497E-3</v>
      </c>
      <c r="C15">
        <f>IF(Pd_Calculations!S20&gt;SUM($B$30:$D$30),(Pd_Calculations!T20^2+$B$31^2+$C$31^2+$D$31^2)^0.5,"LLD")</f>
        <v>4.5020755574480723E-2</v>
      </c>
      <c r="D15" s="12">
        <f>IF(Pd_Calculations!S20&gt;SUM($B$30:$D$30),C15/B15,"LLD")</f>
        <v>11.653178260364907</v>
      </c>
      <c r="E15" s="13">
        <f>IF(Pd_Calculations!V20&gt;SUM($E$30:$G$30),Pd_Calculations!V20-SUM($E$30:$G$30),"LLD")</f>
        <v>7.2072155277575741E-3</v>
      </c>
      <c r="F15">
        <f>IF(Pd_Calculations!V20&gt;SUM($E$30:$G$30),(Pd_Calculations!W20^2+$E$31^2+$F$31^2+$G$31^2)^0.5,"LLD")</f>
        <v>4.0020624313623195E-2</v>
      </c>
      <c r="G15" s="12">
        <f>IF(Pd_Calculations!V20&gt;SUM($E$30:$G$30),F15/E15,"LLD")</f>
        <v>5.5528552128751256</v>
      </c>
      <c r="H15" s="13" t="str">
        <f>IF(Pd_Calculations!Y20&gt;SUM($H$30:$J$30),Pd_Calculations!Y20-SUM($H$30:$J$30),"LLD")</f>
        <v>LLD</v>
      </c>
      <c r="I15" t="str">
        <f>IF(Pd_Calculations!Y20&gt;SUM($H$30:$J$30),(Pd_Calculations!Z20^2+$H$31^2+$I$31^2+$J$31^2)^0.5,"LLD")</f>
        <v>LLD</v>
      </c>
      <c r="J15" s="12" t="str">
        <f>IF(Pd_Calculations!Y20&gt;SUM($H$30:$J$30),I15/H15,"LLD")</f>
        <v>LLD</v>
      </c>
      <c r="K15" t="str">
        <f>IF(Pd_Calculations!AB20&gt;SUM($K$30:$M$30),Pd_Calculations!AB20-SUM($K$30:$M$30),"LLD")</f>
        <v>LLD</v>
      </c>
      <c r="L15" t="str">
        <f>IF(Pd_Calculations!AB20&gt;SUM($K$30:$M$30),(Pd_Calculations!AC20^2+$K$31^2+$L$31^2+$M$31^2)^0.5,"LLD")</f>
        <v>LLD</v>
      </c>
      <c r="M15" s="69" t="str">
        <f>IF(Pd_Calculations!AB20&gt;SUM($K$30:$M$30),L15/K15,"LLD")</f>
        <v>LLD</v>
      </c>
      <c r="O15">
        <f t="shared" si="0"/>
        <v>2.0268684324971369E-3</v>
      </c>
      <c r="P15">
        <f t="shared" si="1"/>
        <v>1.6016503704521679E-3</v>
      </c>
      <c r="Q15" t="str">
        <f t="shared" si="2"/>
        <v>LLD</v>
      </c>
      <c r="R15" t="str">
        <f t="shared" si="3"/>
        <v>LLD</v>
      </c>
      <c r="T15">
        <f t="shared" si="4"/>
        <v>1.1070604087392544E-2</v>
      </c>
      <c r="U15">
        <f t="shared" si="5"/>
        <v>6.0237187873848366E-2</v>
      </c>
      <c r="V15" s="12">
        <f t="shared" si="6"/>
        <v>5.4411834619257906</v>
      </c>
    </row>
    <row r="16" spans="1:22" x14ac:dyDescent="0.25">
      <c r="A16" t="str">
        <f>Pd_Calculations!B21</f>
        <v>82G trace</v>
      </c>
      <c r="B16" t="str">
        <f>IF(Pd_Calculations!S21&gt;SUM($B$30:$D$30),Pd_Calculations!S21-SUM($B$30:$D$30),"LLD")</f>
        <v>LLD</v>
      </c>
      <c r="C16" t="str">
        <f>IF(Pd_Calculations!S21&gt;SUM($B$30:$D$30),(Pd_Calculations!T21^2+$B$31^2+$C$31^2+$D$31^2)^0.5,"LLD")</f>
        <v>LLD</v>
      </c>
      <c r="D16" s="12" t="str">
        <f>IF(Pd_Calculations!S21&gt;SUM($B$30:$D$30),C16/B16,"LLD")</f>
        <v>LLD</v>
      </c>
      <c r="E16" s="13" t="str">
        <f>IF(Pd_Calculations!V21&gt;SUM($E$30:$G$30),Pd_Calculations!V21-SUM($E$30:$G$30),"LLD")</f>
        <v>LLD</v>
      </c>
      <c r="F16" t="str">
        <f>IF(Pd_Calculations!V21&gt;SUM($E$30:$G$30),(Pd_Calculations!W21^2+$E$31^2+$F$31^2+$G$31^2)^0.5,"LLD")</f>
        <v>LLD</v>
      </c>
      <c r="G16" s="12" t="str">
        <f>IF(Pd_Calculations!V21&gt;SUM($E$30:$G$30),F16/E16,"LLD")</f>
        <v>LLD</v>
      </c>
      <c r="H16" s="13" t="str">
        <f>IF(Pd_Calculations!Y21&gt;SUM($H$30:$J$30),Pd_Calculations!Y21-SUM($H$30:$J$30),"LLD")</f>
        <v>LLD</v>
      </c>
      <c r="I16" t="str">
        <f>IF(Pd_Calculations!Y21&gt;SUM($H$30:$J$30),(Pd_Calculations!Z21^2+$H$31^2+$I$31^2+$J$31^2)^0.5,"LLD")</f>
        <v>LLD</v>
      </c>
      <c r="J16" s="12" t="str">
        <f>IF(Pd_Calculations!Y21&gt;SUM($H$30:$J$30),I16/H16,"LLD")</f>
        <v>LLD</v>
      </c>
      <c r="K16" t="str">
        <f>IF(Pd_Calculations!AB21&gt;SUM($K$30:$M$30),Pd_Calculations!AB21-SUM($K$30:$M$30),"LLD")</f>
        <v>LLD</v>
      </c>
      <c r="L16" t="str">
        <f>IF(Pd_Calculations!AB21&gt;SUM($K$30:$M$30),(Pd_Calculations!AC21^2+$K$31^2+$L$31^2+$M$31^2)^0.5,"LLD")</f>
        <v>LLD</v>
      </c>
      <c r="M16" s="69" t="str">
        <f>IF(Pd_Calculations!AB21&gt;SUM($K$30:$M$30),L16/K16,"LLD")</f>
        <v>LLD</v>
      </c>
      <c r="O16" t="str">
        <f t="shared" si="0"/>
        <v>LLD</v>
      </c>
      <c r="P16" t="str">
        <f t="shared" si="1"/>
        <v>LLD</v>
      </c>
      <c r="Q16" t="str">
        <f t="shared" si="2"/>
        <v>LLD</v>
      </c>
      <c r="R16" t="str">
        <f t="shared" si="3"/>
        <v>LLD</v>
      </c>
      <c r="T16" t="str">
        <f t="shared" si="4"/>
        <v>LLD</v>
      </c>
      <c r="U16" t="str">
        <f t="shared" si="5"/>
        <v>LLD</v>
      </c>
      <c r="V16" s="12" t="str">
        <f t="shared" si="6"/>
        <v>LLD</v>
      </c>
    </row>
    <row r="17" spans="1:22" x14ac:dyDescent="0.25">
      <c r="A17" t="str">
        <f>Pd_Calculations!B22</f>
        <v>83G Trace</v>
      </c>
      <c r="B17" t="e">
        <f>IF(Pd_Calculations!S22&gt;SUM($B$30:$D$30),Pd_Calculations!S22-SUM($B$30:$D$30),"LLD")</f>
        <v>#VALUE!</v>
      </c>
      <c r="C17" t="e">
        <f>IF(Pd_Calculations!S22&gt;SUM($B$30:$D$30),(Pd_Calculations!T22^2+$B$31^2+$C$31^2+$D$31^2)^0.5,"LLD")</f>
        <v>#VALUE!</v>
      </c>
      <c r="D17" s="12" t="e">
        <f>IF(Pd_Calculations!S22&gt;SUM($B$30:$D$30),C17/B17,"LLD")</f>
        <v>#VALUE!</v>
      </c>
      <c r="E17" s="13" t="e">
        <f>IF(Pd_Calculations!V22&gt;SUM($E$30:$G$30),Pd_Calculations!V22-SUM($E$30:$G$30),"LLD")</f>
        <v>#VALUE!</v>
      </c>
      <c r="F17" t="e">
        <f>IF(Pd_Calculations!V22&gt;SUM($E$30:$G$30),(Pd_Calculations!W22^2+$E$31^2+$F$31^2+$G$31^2)^0.5,"LLD")</f>
        <v>#VALUE!</v>
      </c>
      <c r="G17" s="12" t="e">
        <f>IF(Pd_Calculations!V22&gt;SUM($E$30:$G$30),F17/E17,"LLD")</f>
        <v>#VALUE!</v>
      </c>
      <c r="H17" s="13" t="e">
        <f>IF(Pd_Calculations!Y22&gt;SUM($H$30:$J$30),Pd_Calculations!Y22-SUM($H$30:$J$30),"LLD")</f>
        <v>#VALUE!</v>
      </c>
      <c r="I17" t="e">
        <f>IF(Pd_Calculations!Y22&gt;SUM($H$30:$J$30),(Pd_Calculations!Z22^2+$H$31^2+$I$31^2+$J$31^2)^0.5,"LLD")</f>
        <v>#VALUE!</v>
      </c>
      <c r="J17" s="12" t="e">
        <f>IF(Pd_Calculations!Y22&gt;SUM($H$30:$J$30),I17/H17,"LLD")</f>
        <v>#VALUE!</v>
      </c>
      <c r="K17" t="e">
        <f>IF(Pd_Calculations!AB22&gt;SUM($K$30:$M$30),Pd_Calculations!AB22-SUM($K$30:$M$30),"LLD")</f>
        <v>#VALUE!</v>
      </c>
      <c r="L17" t="e">
        <f>IF(Pd_Calculations!AB22&gt;SUM($K$30:$M$30),(Pd_Calculations!AC22^2+$K$31^2+$L$31^2+$M$31^2)^0.5,"LLD")</f>
        <v>#VALUE!</v>
      </c>
      <c r="M17" s="69" t="e">
        <f>IF(Pd_Calculations!AB22&gt;SUM($K$30:$M$30),L17/K17,"LLD")</f>
        <v>#VALUE!</v>
      </c>
      <c r="O17" t="e">
        <f t="shared" si="0"/>
        <v>#VALUE!</v>
      </c>
      <c r="P17" t="e">
        <f t="shared" si="1"/>
        <v>#VALUE!</v>
      </c>
      <c r="Q17" t="e">
        <f t="shared" si="2"/>
        <v>#VALUE!</v>
      </c>
      <c r="R17" t="e">
        <f t="shared" si="3"/>
        <v>#VALUE!</v>
      </c>
      <c r="T17" t="e">
        <f t="shared" si="4"/>
        <v>#VALUE!</v>
      </c>
      <c r="U17" t="e">
        <f t="shared" si="5"/>
        <v>#VALUE!</v>
      </c>
      <c r="V17" s="12" t="e">
        <f t="shared" si="6"/>
        <v>#VALUE!</v>
      </c>
    </row>
    <row r="18" spans="1:22" x14ac:dyDescent="0.25">
      <c r="A18" t="str">
        <f>Pd_Calculations!B23</f>
        <v>84G trace</v>
      </c>
      <c r="B18" t="str">
        <f>IF(Pd_Calculations!S23&gt;SUM($B$30:$D$30),Pd_Calculations!S23-SUM($B$30:$D$30),"LLD")</f>
        <v>LLD</v>
      </c>
      <c r="C18" t="str">
        <f>IF(Pd_Calculations!S23&gt;SUM($B$30:$D$30),(Pd_Calculations!T23^2+$B$31^2+$C$31^2+$D$31^2)^0.5,"LLD")</f>
        <v>LLD</v>
      </c>
      <c r="D18" s="12" t="str">
        <f>IF(Pd_Calculations!S23&gt;SUM($B$30:$D$30),C18/B18,"LLD")</f>
        <v>LLD</v>
      </c>
      <c r="E18" s="13">
        <f>IF(Pd_Calculations!V23&gt;SUM($E$30:$G$30),Pd_Calculations!V23-SUM($E$30:$G$30),"LLD")</f>
        <v>2.0425446628571434E-2</v>
      </c>
      <c r="F18">
        <f>IF(Pd_Calculations!V23&gt;SUM($E$30:$G$30),(Pd_Calculations!W23^2+$E$31^2+$F$31^2+$G$31^2)^0.5,"LLD")</f>
        <v>4.0022106467543832E-2</v>
      </c>
      <c r="G18" s="12">
        <f>IF(Pd_Calculations!V23&gt;SUM($E$30:$G$30),F18/E18,"LLD")</f>
        <v>1.9594238106676347</v>
      </c>
      <c r="H18" s="13">
        <f>IF(Pd_Calculations!Y23&gt;SUM($H$30:$J$30),Pd_Calculations!Y23-SUM($H$30:$J$30),"LLD")</f>
        <v>5.9224711369484234E-5</v>
      </c>
      <c r="I18">
        <f>IF(Pd_Calculations!Y23&gt;SUM($H$30:$J$30),(Pd_Calculations!Z23^2+$H$31^2+$I$31^2+$J$31^2)^0.5,"LLD")</f>
        <v>5.5232610305958545E-2</v>
      </c>
      <c r="J18" s="12">
        <f>IF(Pd_Calculations!Y23&gt;SUM($H$30:$J$30),I18/H18,"LLD")</f>
        <v>932.59399714723418</v>
      </c>
      <c r="K18" t="str">
        <f>IF(Pd_Calculations!AB23&gt;SUM($K$30:$M$30),Pd_Calculations!AB23-SUM($K$30:$M$30),"LLD")</f>
        <v>LLD</v>
      </c>
      <c r="L18" t="str">
        <f>IF(Pd_Calculations!AB23&gt;SUM($K$30:$M$30),(Pd_Calculations!AC23^2+$K$31^2+$L$31^2+$M$31^2)^0.5,"LLD")</f>
        <v>LLD</v>
      </c>
      <c r="M18" s="69" t="str">
        <f>IF(Pd_Calculations!AB23&gt;SUM($K$30:$M$30),L18/K18,"LLD")</f>
        <v>LLD</v>
      </c>
      <c r="O18" t="str">
        <f t="shared" si="0"/>
        <v>LLD</v>
      </c>
      <c r="P18">
        <f t="shared" si="1"/>
        <v>1.6017690060994138E-3</v>
      </c>
      <c r="Q18">
        <f t="shared" si="2"/>
        <v>3.0506412412098782E-3</v>
      </c>
      <c r="R18" t="str">
        <f t="shared" si="3"/>
        <v>LLD</v>
      </c>
      <c r="T18">
        <f t="shared" si="4"/>
        <v>2.0484671339940919E-2</v>
      </c>
      <c r="U18">
        <f t="shared" si="5"/>
        <v>6.820857898614581E-2</v>
      </c>
      <c r="V18" s="12">
        <f t="shared" si="6"/>
        <v>3.3297375317490712</v>
      </c>
    </row>
    <row r="19" spans="1:22" s="87" customFormat="1" x14ac:dyDescent="0.25">
      <c r="A19" s="87" t="str">
        <f>Pd_Calculations!B24</f>
        <v>86G Trace</v>
      </c>
      <c r="B19" s="87">
        <f>IF(Pd_Calculations!S24&gt;SUM($B$30:$D$30),Pd_Calculations!S24-SUM($B$30:$D$30),"LLD")</f>
        <v>8.211337905130997E-3</v>
      </c>
      <c r="C19" s="87">
        <f>IF(Pd_Calculations!S24&gt;SUM($B$30:$D$30),(Pd_Calculations!T24^2+$B$31^2+$C$31^2+$D$31^2)^0.5,"LLD")</f>
        <v>4.5041010164170663E-2</v>
      </c>
      <c r="D19" s="88">
        <f>IF(Pd_Calculations!S24&gt;SUM($B$30:$D$30),C19/B19,"LLD")</f>
        <v>5.4852218584289423</v>
      </c>
      <c r="E19" s="89" t="str">
        <f>IF(Pd_Calculations!V24&gt;SUM(0),Pd_Calculations!V24-SUM($E$30:$G$30),"LLD")</f>
        <v>LLD</v>
      </c>
      <c r="F19" s="87" t="str">
        <f>IF(Pd_Calculations!V24&gt;SUM($E$30:$G$30),(Pd_Calculations!W24^2+$E$31^2+$F$31^2+$G$31^2)^0.5,"LLD")</f>
        <v>LLD</v>
      </c>
      <c r="G19" s="88" t="str">
        <f>IF(Pd_Calculations!V24&gt;SUM($E$30:$G$30),F19/E19,"LLD")</f>
        <v>LLD</v>
      </c>
      <c r="H19" s="89">
        <f>IF(Pd_Calculations!Y24&gt;SUM($H$30:$J$30),Pd_Calculations!Y24-SUM($H$30:$J$30),"LLD")</f>
        <v>8.4122672571069132E-3</v>
      </c>
      <c r="I19" s="87">
        <f>IF(Pd_Calculations!Y24&gt;SUM($H$30:$J$30),(Pd_Calculations!Z24^2+$H$31^2+$I$31^2+$J$31^2)^0.5,"LLD")</f>
        <v>5.5259780065346834E-2</v>
      </c>
      <c r="J19" s="88">
        <f>IF(Pd_Calculations!Y24&gt;SUM($H$30:$J$30),I19/H19,"LLD")</f>
        <v>6.5689520287960255</v>
      </c>
      <c r="K19">
        <f>IF(Pd_Calculations!AB24&gt;SUM($K$30:$M$30),Pd_Calculations!AB24-SUM($K$30:$M$30),"LLD")</f>
        <v>5.8896438204945507E-3</v>
      </c>
      <c r="L19" s="87">
        <f>IF(Pd_Calculations!AB24&gt;SUM($K$30:$M$30),(Pd_Calculations!AC24^2+$K$31^2+$L$31^2+$M$31^2)^0.5,"LLD")</f>
        <v>7.6248969899534086E-2</v>
      </c>
      <c r="M19" s="90">
        <f>IF(Pd_Calculations!AB24&gt;SUM($K$30:$M$30),L19/K19,"LLD")</f>
        <v>12.946278624558913</v>
      </c>
      <c r="O19" s="87">
        <f t="shared" si="0"/>
        <v>2.0286925966089249E-3</v>
      </c>
      <c r="P19" s="87" t="str">
        <f t="shared" si="1"/>
        <v>LLD</v>
      </c>
      <c r="Q19" s="87">
        <f t="shared" si="2"/>
        <v>3.0536432928705034E-3</v>
      </c>
      <c r="R19" s="87">
        <f t="shared" si="3"/>
        <v>5.8139054107400551E-3</v>
      </c>
      <c r="T19" s="87">
        <f t="shared" si="4"/>
        <v>2.2513248982732461E-2</v>
      </c>
      <c r="U19" s="87">
        <f t="shared" si="5"/>
        <v>0.1043850626297627</v>
      </c>
      <c r="V19" s="88">
        <f t="shared" si="6"/>
        <v>4.6366058808226871</v>
      </c>
    </row>
    <row r="20" spans="1:22" x14ac:dyDescent="0.25">
      <c r="A20" t="str">
        <f>Pd_Calculations!B25</f>
        <v>24G Taper Waste</v>
      </c>
      <c r="B20">
        <f>IF(Pd_Calculations!S25&gt;SUM($B$30:$D$30),Pd_Calculations!S25-SUM($B$30:$D$30),"LLD")</f>
        <v>0.33330043249743196</v>
      </c>
      <c r="C20">
        <f>IF(Pd_Calculations!S25&gt;SUM($B$30:$D$30),(Pd_Calculations!T25^2+$B$31^2+$C$31^2+$D$31^2)^0.5,"LLD")</f>
        <v>4.5311458238309288E-2</v>
      </c>
      <c r="D20" s="12">
        <f>IF(Pd_Calculations!S25&gt;SUM($B$30:$D$30),C20/B20,"LLD")</f>
        <v>0.13594779310302396</v>
      </c>
      <c r="E20" s="13">
        <f>IF(Pd_Calculations!V25&gt;SUM($E$30:$G$30),Pd_Calculations!V25-SUM($E$30:$G$30),"LLD")</f>
        <v>0.71132510501408452</v>
      </c>
      <c r="F20">
        <f>IF(Pd_Calculations!V25&gt;SUM($E$30:$G$30),(Pd_Calculations!W25^2+$E$31^2+$F$31^2+$G$31^2)^0.5,"LLD")</f>
        <v>4.1002231812222331E-2</v>
      </c>
      <c r="G20" s="12">
        <f>IF(Pd_Calculations!V25&gt;SUM($E$30:$G$30),F20/E20,"LLD")</f>
        <v>5.764204232804418E-2</v>
      </c>
      <c r="H20" s="13">
        <f>IF(Pd_Calculations!Y25&gt;SUM($H$30:$J$30),Pd_Calculations!Y25-SUM($H$30:$J$30),"LLD")</f>
        <v>0.78898858618441858</v>
      </c>
      <c r="I20">
        <f>IF(Pd_Calculations!Y25&gt;SUM($H$30:$J$30),(Pd_Calculations!Z25^2+$H$31^2+$I$31^2+$J$31^2)^0.5,"LLD")</f>
        <v>5.5974604159447827E-2</v>
      </c>
      <c r="J20" s="12">
        <f>IF(Pd_Calculations!Y25&gt;SUM($H$30:$J$30),I20/H20,"LLD")</f>
        <v>7.0944757807135495E-2</v>
      </c>
      <c r="K20">
        <f>IF(Pd_Calculations!AB25&gt;SUM($K$30:$M$30),Pd_Calculations!AB25-SUM($K$30:$M$30),"LLD")</f>
        <v>1.3425058611398588</v>
      </c>
      <c r="L20">
        <f>IF(Pd_Calculations!AB25&gt;SUM($K$30:$M$30),(Pd_Calculations!AC25^2+$K$31^2+$L$31^2+$M$31^2)^0.5,"LLD")</f>
        <v>7.7543120832103421E-2</v>
      </c>
      <c r="M20" s="69">
        <f>IF(Pd_Calculations!AB25&gt;SUM($K$30:$M$30),L20/K20,"LLD")</f>
        <v>5.7759986810236488E-2</v>
      </c>
      <c r="O20">
        <f t="shared" si="0"/>
        <v>2.0531282476820467E-3</v>
      </c>
      <c r="P20">
        <f t="shared" si="1"/>
        <v>1.681183013583217E-3</v>
      </c>
      <c r="Q20">
        <f t="shared" si="2"/>
        <v>3.1331563108068739E-3</v>
      </c>
      <c r="R20">
        <f t="shared" si="3"/>
        <v>6.0129355883821916E-3</v>
      </c>
      <c r="T20">
        <f t="shared" si="4"/>
        <v>3.1761199848357942</v>
      </c>
      <c r="U20">
        <f t="shared" si="5"/>
        <v>0.11349186385135425</v>
      </c>
      <c r="V20" s="12">
        <f t="shared" si="6"/>
        <v>3.5732864121385453E-2</v>
      </c>
    </row>
    <row r="21" spans="1:22" x14ac:dyDescent="0.25">
      <c r="A21" t="str">
        <f>Pd_Calculations!B26</f>
        <v>24G Trace Original</v>
      </c>
      <c r="B21">
        <f>IF(Pd_Calculations!S26&gt;SUM($B$30:$D$30),Pd_Calculations!S26-SUM($B$30:$D$30),"LLD")</f>
        <v>0.3399007368487339</v>
      </c>
      <c r="C21">
        <f>IF(Pd_Calculations!S26&gt;SUM($B$30:$D$30),(Pd_Calculations!T26^2+$B$31^2+$C$31^2+$D$31^2)^0.5,"LLD")</f>
        <v>4.554150846327891E-2</v>
      </c>
      <c r="D21" s="12">
        <f>IF(Pd_Calculations!S26&gt;SUM($B$30:$D$30),C21/B21,"LLD")</f>
        <v>0.13398473002883268</v>
      </c>
      <c r="E21" s="13">
        <f>IF(Pd_Calculations!V26&gt;SUM($E$30:$G$30),Pd_Calculations!V26-SUM($E$30:$G$30),"LLD")</f>
        <v>0.4121213758397112</v>
      </c>
      <c r="F21">
        <f>IF(Pd_Calculations!V26&gt;SUM($E$30:$G$30),(Pd_Calculations!W26^2+$E$31^2+$F$31^2+$G$31^2)^0.5,"LLD")</f>
        <v>4.0751424438834546E-2</v>
      </c>
      <c r="G21" s="12">
        <f>IF(Pd_Calculations!V26&gt;SUM($E$30:$G$30),F21/E21,"LLD")</f>
        <v>9.8882093547810149E-2</v>
      </c>
      <c r="H21" s="13">
        <f>IF(Pd_Calculations!Y26&gt;SUM($H$30:$J$30),Pd_Calculations!Y26-SUM($H$30:$J$30),"LLD")</f>
        <v>0.46799849489589085</v>
      </c>
      <c r="I21">
        <f>IF(Pd_Calculations!Y26&gt;SUM($H$30:$J$30),(Pd_Calculations!Z26^2+$H$31^2+$I$31^2+$J$31^2)^0.5,"LLD")</f>
        <v>5.5806525496891815E-2</v>
      </c>
      <c r="J21" s="12">
        <f>IF(Pd_Calculations!Y26&gt;SUM($H$30:$J$30),I21/H21,"LLD")</f>
        <v>0.11924509609652979</v>
      </c>
      <c r="K21">
        <f>IF(Pd_Calculations!AB26&gt;SUM($K$30:$M$30),Pd_Calculations!AB26-SUM($K$30:$M$30),"LLD")</f>
        <v>0.8381494906095317</v>
      </c>
      <c r="L21">
        <f>IF(Pd_Calculations!AB26&gt;SUM($K$30:$M$30),(Pd_Calculations!AC26^2+$K$31^2+$L$31^2+$M$31^2)^0.5,"LLD")</f>
        <v>7.7185763555479875E-2</v>
      </c>
      <c r="M21" s="69">
        <f>IF(Pd_Calculations!AB26&gt;SUM($K$30:$M$30),L21/K21,"LLD")</f>
        <v>9.2090688379882782E-2</v>
      </c>
      <c r="O21">
        <f t="shared" si="0"/>
        <v>2.0740289931109046E-3</v>
      </c>
      <c r="P21">
        <f t="shared" si="1"/>
        <v>1.6606785937940416E-3</v>
      </c>
      <c r="Q21">
        <f t="shared" si="2"/>
        <v>3.1143682880352365E-3</v>
      </c>
      <c r="R21">
        <f t="shared" si="3"/>
        <v>5.9576420956424453E-3</v>
      </c>
      <c r="T21">
        <f t="shared" si="4"/>
        <v>2.0581700981938678</v>
      </c>
      <c r="U21">
        <f t="shared" si="5"/>
        <v>0.1131667706112648</v>
      </c>
      <c r="V21" s="12">
        <f t="shared" si="6"/>
        <v>5.4984168077543E-2</v>
      </c>
    </row>
    <row r="22" spans="1:22" x14ac:dyDescent="0.25">
      <c r="A22" t="str">
        <f>Pd_Calculations!B27</f>
        <v>53G</v>
      </c>
      <c r="B22">
        <f>IF(Pd_Calculations!S27&gt;SUM($B$30:$D$30),Pd_Calculations!S27-SUM($B$30:$D$30),"LLD")</f>
        <v>2.1332952961814278E-3</v>
      </c>
      <c r="C22">
        <f>IF(Pd_Calculations!S27&gt;SUM($B$30:$D$30),(Pd_Calculations!T27^2+$B$31^2+$C$31^2+$D$31^2)^0.5,"LLD")</f>
        <v>4.5029374169033312E-2</v>
      </c>
      <c r="D22" s="12">
        <f>IF(Pd_Calculations!S27&gt;SUM($B$30:$D$30),C22/B22,"LLD")</f>
        <v>21.107895493715912</v>
      </c>
      <c r="E22" s="13">
        <f>IF(Pd_Calculations!V27&gt;SUM($E$30:$G$30),Pd_Calculations!V27-SUM($E$30:$G$30),"LLD")</f>
        <v>6.5652990219405932E-2</v>
      </c>
      <c r="F22">
        <f>IF(Pd_Calculations!V27&gt;SUM($E$30:$G$30),(Pd_Calculations!W27^2+$E$31^2+$F$31^2+$G$31^2)^0.5,"LLD")</f>
        <v>4.0256453901880929E-2</v>
      </c>
      <c r="G22" s="12">
        <f>IF(Pd_Calculations!V27&gt;SUM($E$30:$G$30),F22/E22,"LLD")</f>
        <v>0.61317015062600744</v>
      </c>
      <c r="H22" s="13">
        <f>IF(Pd_Calculations!Y27&gt;SUM($H$30:$J$30),Pd_Calculations!Y27-SUM($H$30:$J$30),"LLD")</f>
        <v>8.5811899200547062E-2</v>
      </c>
      <c r="I22">
        <f>IF(Pd_Calculations!Y27&gt;SUM($H$30:$J$30),(Pd_Calculations!Z27^2+$H$31^2+$I$31^2+$J$31^2)^0.5,"LLD")</f>
        <v>5.5463406051247138E-2</v>
      </c>
      <c r="J22" s="12">
        <f>IF(Pd_Calculations!Y27&gt;SUM($H$30:$J$30),I22/H22,"LLD")</f>
        <v>0.64633700649866921</v>
      </c>
      <c r="K22">
        <f>IF(Pd_Calculations!AB27&gt;SUM($K$30:$M$30),Pd_Calculations!AB27-SUM($K$30:$M$30),"LLD")</f>
        <v>0.1031292995211473</v>
      </c>
      <c r="L22">
        <f>IF(Pd_Calculations!AB27&gt;SUM($K$30:$M$30),(Pd_Calculations!AC27^2+$K$31^2+$L$31^2+$M$31^2)^0.5,"LLD")</f>
        <v>7.643019062504415E-2</v>
      </c>
      <c r="M22" s="69">
        <f>IF(Pd_Calculations!AB27&gt;SUM($K$30:$M$30),L22/K22,"LLD")</f>
        <v>0.7411103438104093</v>
      </c>
      <c r="O22">
        <f t="shared" si="0"/>
        <v>2.0276445380548046E-3</v>
      </c>
      <c r="P22">
        <f t="shared" si="1"/>
        <v>1.6205820807542641E-3</v>
      </c>
      <c r="Q22">
        <f t="shared" si="2"/>
        <v>3.0761894108055176E-3</v>
      </c>
      <c r="R22">
        <f t="shared" si="3"/>
        <v>5.8415740389805865E-3</v>
      </c>
      <c r="T22">
        <f t="shared" si="4"/>
        <v>0.25672748423728176</v>
      </c>
      <c r="U22">
        <f t="shared" si="5"/>
        <v>0.11209812696292108</v>
      </c>
      <c r="V22" s="12">
        <f t="shared" si="6"/>
        <v>0.43664248608191003</v>
      </c>
    </row>
    <row r="23" spans="1:22" x14ac:dyDescent="0.25">
      <c r="A23" t="str">
        <f>Pd_Calculations!B28</f>
        <v>94G</v>
      </c>
      <c r="B23">
        <f>IF(Pd_Calculations!S28&gt;SUM($B$30:$D$30),Pd_Calculations!S28-SUM($B$30:$D$30),"LLD")</f>
        <v>8.7596285465085702E-2</v>
      </c>
      <c r="C23">
        <f>IF(Pd_Calculations!S28&gt;SUM($B$30:$D$30),(Pd_Calculations!T28^2+$B$31^2+$C$31^2+$D$31^2)^0.5,"LLD")</f>
        <v>4.5641698069646422E-2</v>
      </c>
      <c r="D23" s="12">
        <f>IF(Pd_Calculations!S28&gt;SUM($B$30:$D$30),C23/B23,"LLD")</f>
        <v>0.5210460446731886</v>
      </c>
      <c r="E23" s="13">
        <f>IF(Pd_Calculations!V28&gt;SUM($E$30:$G$30),Pd_Calculations!V28-SUM($E$30:$G$30),"LLD")</f>
        <v>0.24883363008140352</v>
      </c>
      <c r="F23">
        <f>IF(Pd_Calculations!V28&gt;SUM($E$30:$G$30),(Pd_Calculations!W28^2+$E$31^2+$F$31^2+$G$31^2)^0.5,"LLD")</f>
        <v>4.2414682435807864E-2</v>
      </c>
      <c r="G23" s="12">
        <f>IF(Pd_Calculations!V28&gt;SUM($E$30:$G$30),F23/E23,"LLD")</f>
        <v>0.1704539793191632</v>
      </c>
      <c r="H23" s="13">
        <f>IF(Pd_Calculations!Y28&gt;SUM($H$30:$J$30),Pd_Calculations!Y28-SUM($H$30:$J$30),"LLD")</f>
        <v>0.20628198727950764</v>
      </c>
      <c r="I23">
        <f>IF(Pd_Calculations!Y28&gt;SUM($H$30:$J$30),(Pd_Calculations!Z28^2+$H$31^2+$I$31^2+$J$31^2)^0.5,"LLD")</f>
        <v>5.6535322682747122E-2</v>
      </c>
      <c r="J23" s="12">
        <f>IF(Pd_Calculations!Y28&gt;SUM($H$30:$J$30),I23/H23,"LLD")</f>
        <v>0.27406815024592029</v>
      </c>
      <c r="K23">
        <f>IF(Pd_Calculations!AB28&gt;SUM($K$30:$M$30),Pd_Calculations!AB28-SUM($K$30:$M$30),"LLD")</f>
        <v>0.13699494349358682</v>
      </c>
      <c r="L23">
        <f>IF(Pd_Calculations!AB28&gt;SUM($K$30:$M$30),(Pd_Calculations!AC28^2+$K$31^2+$L$31^2+$M$31^2)^0.5,"LLD")</f>
        <v>7.6795103039612234E-2</v>
      </c>
      <c r="M23" s="69">
        <f>IF(Pd_Calculations!AB28&gt;SUM($K$30:$M$30),L23/K23,"LLD")</f>
        <v>0.56056888729770715</v>
      </c>
      <c r="O23">
        <f t="shared" si="0"/>
        <v>2.0831646026807657E-3</v>
      </c>
      <c r="P23">
        <f t="shared" si="1"/>
        <v>1.7990052861304282E-3</v>
      </c>
      <c r="Q23">
        <f t="shared" si="2"/>
        <v>3.1962427108423413E-3</v>
      </c>
      <c r="R23">
        <f t="shared" si="3"/>
        <v>5.8974878508646598E-3</v>
      </c>
      <c r="T23">
        <f t="shared" si="4"/>
        <v>0.67970684631958367</v>
      </c>
      <c r="U23">
        <f t="shared" si="5"/>
        <v>0.11391180996945924</v>
      </c>
      <c r="V23" s="12">
        <f t="shared" si="6"/>
        <v>0.16758961688595428</v>
      </c>
    </row>
    <row r="24" spans="1:22" x14ac:dyDescent="0.25">
      <c r="A24" t="str">
        <f>Pd_Calculations!B29</f>
        <v>47G</v>
      </c>
      <c r="B24" t="str">
        <f>IF(Pd_Calculations!S29&gt;SUM($B$30:$D$30),Pd_Calculations!S29-SUM($B$30:$D$30),"LLD")</f>
        <v>LLD</v>
      </c>
      <c r="C24" t="str">
        <f>IF(Pd_Calculations!S29&gt;SUM($B$30:$D$30),(Pd_Calculations!T29^2+$B$31^2+$C$31^2+$D$31^2)^0.5,"LLD")</f>
        <v>LLD</v>
      </c>
      <c r="D24" s="12" t="str">
        <f>IF(Pd_Calculations!S29&gt;SUM($B$30:$D$30),C24/B24,"LLD")</f>
        <v>LLD</v>
      </c>
      <c r="E24" s="13" t="str">
        <f>IF(Pd_Calculations!V29&gt;SUM($E$30:$G$30),Pd_Calculations!V29-SUM($E$30:$G$30),"LLD")</f>
        <v>LLD</v>
      </c>
      <c r="F24" t="str">
        <f>IF(Pd_Calculations!V29&gt;SUM($E$30:$G$30),(Pd_Calculations!W29^2+$E$31^2+$F$31^2+$G$31^2)^0.5,"LLD")</f>
        <v>LLD</v>
      </c>
      <c r="G24" s="12" t="str">
        <f>IF(Pd_Calculations!V29&gt;SUM($E$30:$G$30),F24/E24,"LLD")</f>
        <v>LLD</v>
      </c>
      <c r="H24" s="13" t="str">
        <f>IF(Pd_Calculations!Y29&gt;SUM($H$30:$J$30),Pd_Calculations!Y29-SUM($H$30:$J$30),"LLD")</f>
        <v>LLD</v>
      </c>
      <c r="I24" t="str">
        <f>IF(Pd_Calculations!Y29&gt;SUM($H$30:$J$30),(Pd_Calculations!Z29^2+$H$31^2+$I$31^2+$J$31^2)^0.5,"LLD")</f>
        <v>LLD</v>
      </c>
      <c r="J24" s="12" t="str">
        <f>IF(Pd_Calculations!Y29&gt;SUM($H$30:$J$30),I24/H24,"LLD")</f>
        <v>LLD</v>
      </c>
      <c r="K24" t="str">
        <f>IF(Pd_Calculations!AB29&gt;SUM($K$30:$M$30),Pd_Calculations!AB29-SUM($K$30:$M$30),"LLD")</f>
        <v>LLD</v>
      </c>
      <c r="L24" t="str">
        <f>IF(Pd_Calculations!AB29&gt;SUM($K$30:$M$30),(Pd_Calculations!AC29^2+$K$31^2+$L$31^2+$M$31^2)^0.5,"LLD")</f>
        <v>LLD</v>
      </c>
      <c r="M24" s="69" t="str">
        <f>IF(Pd_Calculations!AB29&gt;SUM($K$30:$M$30),L24/K24,"LLD")</f>
        <v>LLD</v>
      </c>
      <c r="O24" t="str">
        <f t="shared" si="0"/>
        <v>LLD</v>
      </c>
      <c r="P24" t="str">
        <f t="shared" si="1"/>
        <v>LLD</v>
      </c>
      <c r="Q24" t="str">
        <f t="shared" si="2"/>
        <v>LLD</v>
      </c>
      <c r="R24" t="str">
        <f t="shared" si="3"/>
        <v>LLD</v>
      </c>
      <c r="T24" t="str">
        <f t="shared" si="4"/>
        <v>LLD</v>
      </c>
      <c r="U24" t="str">
        <f t="shared" si="5"/>
        <v>LLD</v>
      </c>
      <c r="V24" s="12" t="str">
        <f t="shared" si="6"/>
        <v>LLD</v>
      </c>
    </row>
    <row r="25" spans="1:22" x14ac:dyDescent="0.25">
      <c r="A25" t="str">
        <f>Pd_Calculations!B30</f>
        <v>48G</v>
      </c>
      <c r="B25" t="str">
        <f>IF(Pd_Calculations!S30&gt;SUM($B$30:$D$30),Pd_Calculations!S30-SUM($B$30:$D$30),"LLD")</f>
        <v>LLD</v>
      </c>
      <c r="C25" t="str">
        <f>IF(Pd_Calculations!S30&gt;SUM($B$30:$D$30),(Pd_Calculations!T30^2+$B$31^2+$C$31^2+$D$31^2)^0.5,"LLD")</f>
        <v>LLD</v>
      </c>
      <c r="D25" s="12" t="str">
        <f>IF(Pd_Calculations!S30&gt;SUM($B$30:$D$30),C25/B25,"LLD")</f>
        <v>LLD</v>
      </c>
      <c r="E25" s="13" t="str">
        <f>IF(Pd_Calculations!V30&gt;SUM($E$30:$G$30),Pd_Calculations!V30-SUM($E$30:$G$30),"LLD")</f>
        <v>LLD</v>
      </c>
      <c r="F25" t="str">
        <f>IF(Pd_Calculations!V30&gt;SUM($E$30:$G$30),(Pd_Calculations!W30^2+$E$31^2+$F$31^2+$G$31^2)^0.5,"LLD")</f>
        <v>LLD</v>
      </c>
      <c r="G25" s="12" t="str">
        <f>IF(Pd_Calculations!V30&gt;SUM($E$30:$G$30),F25/E25,"LLD")</f>
        <v>LLD</v>
      </c>
      <c r="H25" s="13" t="str">
        <f>IF(Pd_Calculations!Y30&gt;SUM($H$30:$J$30),Pd_Calculations!Y30-SUM($H$30:$J$30),"LLD")</f>
        <v>LLD</v>
      </c>
      <c r="I25" t="str">
        <f>IF(Pd_Calculations!Y30&gt;SUM($H$30:$J$30),(Pd_Calculations!Z30^2+$H$31^2+$I$31^2+$J$31^2)^0.5,"LLD")</f>
        <v>LLD</v>
      </c>
      <c r="J25" s="12" t="str">
        <f>IF(Pd_Calculations!Y30&gt;SUM($H$30:$J$30),I25/H25,"LLD")</f>
        <v>LLD</v>
      </c>
      <c r="K25" t="str">
        <f>IF(Pd_Calculations!AB30&gt;SUM($K$30:$M$30),Pd_Calculations!AB30-SUM($K$30:$M$30),"LLD")</f>
        <v>LLD</v>
      </c>
      <c r="L25" t="str">
        <f>IF(Pd_Calculations!AB30&gt;SUM($K$30:$M$30),(Pd_Calculations!AC30^2+$K$31^2+$L$31^2+$M$31^2)^0.5,"LLD")</f>
        <v>LLD</v>
      </c>
      <c r="M25" s="69" t="str">
        <f>IF(Pd_Calculations!AB30&gt;SUM($K$30:$M$30),L25/K25,"LLD")</f>
        <v>LLD</v>
      </c>
      <c r="O25" t="str">
        <f t="shared" si="0"/>
        <v>LLD</v>
      </c>
      <c r="P25" t="str">
        <f t="shared" si="1"/>
        <v>LLD</v>
      </c>
      <c r="Q25" t="str">
        <f t="shared" si="2"/>
        <v>LLD</v>
      </c>
      <c r="R25" t="str">
        <f t="shared" si="3"/>
        <v>LLD</v>
      </c>
      <c r="T25" t="str">
        <f t="shared" si="4"/>
        <v>LLD</v>
      </c>
      <c r="U25" t="str">
        <f t="shared" si="5"/>
        <v>LLD</v>
      </c>
      <c r="V25" s="12" t="str">
        <f t="shared" si="6"/>
        <v>LLD</v>
      </c>
    </row>
    <row r="26" spans="1:22" x14ac:dyDescent="0.25">
      <c r="A26" t="str">
        <f>Pd_Calculations!B31</f>
        <v>49G</v>
      </c>
      <c r="B26" t="str">
        <f>IF(Pd_Calculations!S31&gt;SUM($B$30:$D$30),Pd_Calculations!S31-SUM($B$30:$D$30),"LLD")</f>
        <v>LLD</v>
      </c>
      <c r="C26" t="str">
        <f>IF(Pd_Calculations!S31&gt;SUM($B$30:$D$30),(Pd_Calculations!T31^2+$B$31^2+$C$31^2+$D$31^2)^0.5,"LLD")</f>
        <v>LLD</v>
      </c>
      <c r="D26" s="12" t="str">
        <f>IF(Pd_Calculations!S31&gt;SUM($B$30:$D$30),C26/B26,"LLD")</f>
        <v>LLD</v>
      </c>
      <c r="E26" s="13" t="str">
        <f>IF(Pd_Calculations!V31&gt;SUM($E$30:$G$30),Pd_Calculations!V31-SUM($E$30:$G$30),"LLD")</f>
        <v>LLD</v>
      </c>
      <c r="F26" t="str">
        <f>IF(Pd_Calculations!V31&gt;SUM($E$30:$G$30),(Pd_Calculations!W31^2+$E$31^2+$F$31^2+$G$31^2)^0.5,"LLD")</f>
        <v>LLD</v>
      </c>
      <c r="G26" s="12" t="str">
        <f>IF(Pd_Calculations!V31&gt;SUM($E$30:$G$30),F26/E26,"LLD")</f>
        <v>LLD</v>
      </c>
      <c r="H26" s="13" t="str">
        <f>IF(Pd_Calculations!Y31&gt;SUM($H$30:$J$30),Pd_Calculations!Y31-SUM($H$30:$J$30),"LLD")</f>
        <v>LLD</v>
      </c>
      <c r="I26" t="str">
        <f>IF(Pd_Calculations!Y31&gt;SUM($H$30:$J$30),(Pd_Calculations!Z31^2+$H$31^2+$I$31^2+$J$31^2)^0.5,"LLD")</f>
        <v>LLD</v>
      </c>
      <c r="J26" s="12" t="str">
        <f>IF(Pd_Calculations!Y31&gt;SUM($H$30:$J$30),I26/H26,"LLD")</f>
        <v>LLD</v>
      </c>
      <c r="K26" t="str">
        <f>IF(Pd_Calculations!AB31&gt;SUM($K$30:$M$30),Pd_Calculations!AB31-SUM($K$30:$M$30),"LLD")</f>
        <v>LLD</v>
      </c>
      <c r="L26" t="str">
        <f>IF(Pd_Calculations!AB31&gt;SUM($K$30:$M$30),(Pd_Calculations!AC31^2+$K$31^2+$L$31^2+$M$31^2)^0.5,"LLD")</f>
        <v>LLD</v>
      </c>
      <c r="M26" s="69" t="str">
        <f>IF(Pd_Calculations!AB31&gt;SUM($K$30:$M$30),L26/K26,"LLD")</f>
        <v>LLD</v>
      </c>
      <c r="O26" t="str">
        <f t="shared" si="0"/>
        <v>LLD</v>
      </c>
      <c r="P26" t="str">
        <f t="shared" si="1"/>
        <v>LLD</v>
      </c>
      <c r="Q26" t="str">
        <f t="shared" si="2"/>
        <v>LLD</v>
      </c>
      <c r="R26" t="str">
        <f t="shared" si="3"/>
        <v>LLD</v>
      </c>
      <c r="T26" t="str">
        <f t="shared" si="4"/>
        <v>LLD</v>
      </c>
      <c r="U26" t="str">
        <f t="shared" si="5"/>
        <v>LLD</v>
      </c>
      <c r="V26" s="12" t="str">
        <f t="shared" si="6"/>
        <v>LLD</v>
      </c>
    </row>
    <row r="27" spans="1:22" x14ac:dyDescent="0.25">
      <c r="A27" t="str">
        <f>Pd_Calculations!B32</f>
        <v>50G</v>
      </c>
      <c r="B27" t="str">
        <f>IF(Pd_Calculations!S32&gt;SUM($B$30:$D$30),Pd_Calculations!S32-SUM($B$30:$D$30),"LLD")</f>
        <v>LLD</v>
      </c>
      <c r="C27" t="str">
        <f>IF(Pd_Calculations!S32&gt;SUM($B$30:$D$30),(Pd_Calculations!T32^2+$B$31^2+$C$31^2+$D$31^2)^0.5,"LLD")</f>
        <v>LLD</v>
      </c>
      <c r="D27" s="12" t="str">
        <f>IF(Pd_Calculations!S32&gt;SUM($B$30:$D$30),C27/B27,"LLD")</f>
        <v>LLD</v>
      </c>
      <c r="E27" s="13" t="str">
        <f>IF(Pd_Calculations!V32&gt;SUM($E$30:$G$30),Pd_Calculations!V32-SUM($E$30:$G$30),"LLD")</f>
        <v>LLD</v>
      </c>
      <c r="F27" t="str">
        <f>IF(Pd_Calculations!V32&gt;SUM($E$30:$G$30),(Pd_Calculations!W32^2+$E$31^2+$F$31^2+$G$31^2)^0.5,"LLD")</f>
        <v>LLD</v>
      </c>
      <c r="G27" s="12" t="str">
        <f>IF(Pd_Calculations!V32&gt;SUM($E$30:$G$30),F27/E27,"LLD")</f>
        <v>LLD</v>
      </c>
      <c r="H27" s="13" t="str">
        <f>IF(Pd_Calculations!Y32&gt;SUM($H$30:$J$30),Pd_Calculations!Y32-SUM($H$30:$J$30),"LLD")</f>
        <v>LLD</v>
      </c>
      <c r="I27" t="str">
        <f>IF(Pd_Calculations!Y32&gt;SUM($H$30:$J$30),(Pd_Calculations!Z32^2+$H$31^2+$I$31^2+$J$31^2)^0.5,"LLD")</f>
        <v>LLD</v>
      </c>
      <c r="J27" s="12" t="str">
        <f>IF(Pd_Calculations!Y32&gt;SUM($H$30:$J$30),I27/H27,"LLD")</f>
        <v>LLD</v>
      </c>
      <c r="K27" t="str">
        <f>IF(Pd_Calculations!AB32&gt;SUM($K$30:$M$30),Pd_Calculations!AB32-SUM($K$30:$M$30),"LLD")</f>
        <v>LLD</v>
      </c>
      <c r="L27" t="str">
        <f>IF(Pd_Calculations!AB32&gt;SUM($K$30:$M$30),(Pd_Calculations!AC32^2+$K$31^2+$L$31^2+$M$31^2)^0.5,"LLD")</f>
        <v>LLD</v>
      </c>
      <c r="M27" s="69" t="str">
        <f>IF(Pd_Calculations!AB32&gt;SUM($K$30:$M$30),L27/K27,"LLD")</f>
        <v>LLD</v>
      </c>
      <c r="O27" t="str">
        <f t="shared" si="0"/>
        <v>LLD</v>
      </c>
      <c r="P27" t="str">
        <f t="shared" si="1"/>
        <v>LLD</v>
      </c>
      <c r="Q27" t="str">
        <f t="shared" si="2"/>
        <v>LLD</v>
      </c>
      <c r="R27" t="str">
        <f t="shared" si="3"/>
        <v>LLD</v>
      </c>
      <c r="T27" t="str">
        <f t="shared" si="4"/>
        <v>LLD</v>
      </c>
      <c r="U27" t="str">
        <f t="shared" si="5"/>
        <v>LLD</v>
      </c>
      <c r="V27" s="12" t="str">
        <f t="shared" si="6"/>
        <v>LLD</v>
      </c>
    </row>
    <row r="28" spans="1:22" x14ac:dyDescent="0.25">
      <c r="A28" t="str">
        <f>Pd_Calculations!B33</f>
        <v>51G</v>
      </c>
      <c r="B28" t="str">
        <f>IF(Pd_Calculations!S33&gt;SUM($B$30:$D$30),Pd_Calculations!S33-SUM($B$30:$D$30),"LLD")</f>
        <v>LLD</v>
      </c>
      <c r="C28" t="str">
        <f>IF(Pd_Calculations!S33&gt;SUM($B$30:$D$30),(Pd_Calculations!T33^2+$B$31^2+$C$31^2+$D$31^2)^0.5,"LLD")</f>
        <v>LLD</v>
      </c>
      <c r="D28" s="12" t="str">
        <f>IF(Pd_Calculations!S33&gt;SUM($B$30:$D$30),C28/B28,"LLD")</f>
        <v>LLD</v>
      </c>
      <c r="E28" s="13" t="str">
        <f>IF(Pd_Calculations!V33&gt;SUM($E$30:$G$30),Pd_Calculations!V33-SUM($E$30:$G$30),"LLD")</f>
        <v>LLD</v>
      </c>
      <c r="F28" t="str">
        <f>IF(Pd_Calculations!V33&gt;SUM($E$30:$G$30),(Pd_Calculations!W33^2+$E$31^2+$F$31^2+$G$31^2)^0.5,"LLD")</f>
        <v>LLD</v>
      </c>
      <c r="G28" s="12" t="str">
        <f>IF(Pd_Calculations!V33&gt;SUM($E$30:$G$30),F28/E28,"LLD")</f>
        <v>LLD</v>
      </c>
      <c r="H28" s="13" t="str">
        <f>IF(Pd_Calculations!Y33&gt;SUM($H$30:$J$30),Pd_Calculations!Y33-SUM($H$30:$J$30),"LLD")</f>
        <v>LLD</v>
      </c>
      <c r="I28" t="str">
        <f>IF(Pd_Calculations!Y33&gt;SUM($H$30:$J$30),(Pd_Calculations!Z33^2+$H$31^2+$I$31^2+$J$31^2)^0.5,"LLD")</f>
        <v>LLD</v>
      </c>
      <c r="J28" s="12" t="str">
        <f>IF(Pd_Calculations!Y33&gt;SUM($H$30:$J$30),I28/H28,"LLD")</f>
        <v>LLD</v>
      </c>
      <c r="K28" t="str">
        <f>IF(Pd_Calculations!AB33&gt;SUM($K$30:$M$30),Pd_Calculations!AB33-SUM($K$30:$M$30),"LLD")</f>
        <v>LLD</v>
      </c>
      <c r="L28" t="str">
        <f>IF(Pd_Calculations!AB33&gt;SUM($K$30:$M$30),(Pd_Calculations!AC33^2+$K$31^2+$L$31^2+$M$31^2)^0.5,"LLD")</f>
        <v>LLD</v>
      </c>
      <c r="M28" s="69" t="str">
        <f>IF(Pd_Calculations!AB33&gt;SUM($K$30:$M$30),L28/K28,"LLD")</f>
        <v>LLD</v>
      </c>
      <c r="O28" t="str">
        <f t="shared" si="0"/>
        <v>LLD</v>
      </c>
      <c r="P28" t="str">
        <f t="shared" si="1"/>
        <v>LLD</v>
      </c>
      <c r="Q28" t="str">
        <f t="shared" si="2"/>
        <v>LLD</v>
      </c>
      <c r="R28" t="str">
        <f t="shared" si="3"/>
        <v>LLD</v>
      </c>
      <c r="T28" t="str">
        <f t="shared" si="4"/>
        <v>LLD</v>
      </c>
      <c r="U28" t="str">
        <f t="shared" si="5"/>
        <v>LLD</v>
      </c>
      <c r="V28" s="12" t="str">
        <f t="shared" si="6"/>
        <v>LLD</v>
      </c>
    </row>
    <row r="29" spans="1:22" ht="15.75" thickBot="1" x14ac:dyDescent="0.3">
      <c r="A29" s="44" t="str">
        <f>Pd_Calculations!B34</f>
        <v>52G</v>
      </c>
      <c r="B29" s="44" t="str">
        <f>IF(Pd_Calculations!S34&gt;SUM($B$30:$D$30),Pd_Calculations!S34-SUM($B$30:$D$30),"LLD")</f>
        <v>LLD</v>
      </c>
      <c r="C29" s="44" t="str">
        <f>IF(Pd_Calculations!S34&gt;SUM($B$30:$D$30),(Pd_Calculations!T34^2+$B$31^2+$C$31^2+$D$31^2)^0.5,"LLD")</f>
        <v>LLD</v>
      </c>
      <c r="D29" s="65" t="str">
        <f>IF(Pd_Calculations!S34&gt;SUM($B$30:$D$30),C29/B29,"LLD")</f>
        <v>LLD</v>
      </c>
      <c r="E29" s="66">
        <f>IF(Pd_Calculations!V34&gt;SUM($E$30:$G$30),Pd_Calculations!V34-SUM($E$30:$G$30),"LLD")</f>
        <v>1.4528858152244957E-3</v>
      </c>
      <c r="F29" s="44">
        <f>IF(Pd_Calculations!V34&gt;SUM($E$30:$G$30),(Pd_Calculations!W34^2+$E$31^2+$F$31^2+$G$31^2)^0.5,"LLD")</f>
        <v>4.0000078451384667E-2</v>
      </c>
      <c r="G29" s="65">
        <f>IF(Pd_Calculations!V34&gt;SUM($E$30:$G$30),F29/E29,"LLD")</f>
        <v>27.531467395601197</v>
      </c>
      <c r="H29" s="66" t="str">
        <f>IF(Pd_Calculations!Y34&gt;SUM($H$30:$J$30),Pd_Calculations!Y34-SUM($H$30:$J$30),"LLD")</f>
        <v>LLD</v>
      </c>
      <c r="I29" s="44" t="str">
        <f>IF(Pd_Calculations!Y34&gt;SUM($H$30:$J$30),(Pd_Calculations!Z34^2+$H$31^2+$I$31^2+$J$31^2)^0.5,"LLD")</f>
        <v>LLD</v>
      </c>
      <c r="J29" s="65" t="str">
        <f>IF(Pd_Calculations!Y34&gt;SUM($H$30:$J$30),I29/H29,"LLD")</f>
        <v>LLD</v>
      </c>
      <c r="K29" t="str">
        <f>IF(Pd_Calculations!AB34&gt;SUM($K$30:$M$30),Pd_Calculations!AB34-SUM($K$30:$M$30),"LLD")</f>
        <v>LLD</v>
      </c>
      <c r="L29" s="44" t="str">
        <f>IF(Pd_Calculations!AB34&gt;SUM($K$30:$M$30),(Pd_Calculations!AC34^2+$K$31^2+$L$31^2+$M$31^2)^0.5,"LLD")</f>
        <v>LLD</v>
      </c>
      <c r="M29" s="70" t="str">
        <f>IF(Pd_Calculations!AB34&gt;SUM($K$30:$M$30),L29/K29,"LLD")</f>
        <v>LLD</v>
      </c>
      <c r="N29" s="44"/>
      <c r="O29" s="44" t="str">
        <f t="shared" si="0"/>
        <v>LLD</v>
      </c>
      <c r="P29" s="44">
        <f t="shared" si="1"/>
        <v>1.6000062761169279E-3</v>
      </c>
      <c r="Q29" s="44" t="str">
        <f t="shared" si="2"/>
        <v>LLD</v>
      </c>
      <c r="R29" s="44" t="str">
        <f t="shared" si="3"/>
        <v>LLD</v>
      </c>
      <c r="S29" s="44"/>
      <c r="T29" s="44">
        <f t="shared" si="4"/>
        <v>1.4528858152244957E-3</v>
      </c>
      <c r="U29" s="44">
        <f t="shared" si="5"/>
        <v>4.0000078451384667E-2</v>
      </c>
      <c r="V29" s="65">
        <f t="shared" si="6"/>
        <v>27.531467395601197</v>
      </c>
    </row>
    <row r="30" spans="1:22" ht="30.75" thickTop="1" x14ac:dyDescent="0.25">
      <c r="A30" s="41" t="s">
        <v>67</v>
      </c>
      <c r="B30">
        <v>7.0000000000000001E-3</v>
      </c>
      <c r="E30" s="36"/>
      <c r="G30">
        <v>3.0000000000000001E-3</v>
      </c>
      <c r="H30" s="36">
        <v>8.9999999999999993E-3</v>
      </c>
      <c r="I30">
        <v>1E-3</v>
      </c>
      <c r="K30" s="36">
        <v>4.0000000000000001E-3</v>
      </c>
      <c r="L30">
        <v>1.7399999999999999E-2</v>
      </c>
    </row>
    <row r="31" spans="1:22" ht="15.75" thickBot="1" x14ac:dyDescent="0.3">
      <c r="A31" s="44" t="s">
        <v>68</v>
      </c>
      <c r="B31" s="44">
        <v>4.4999999999999998E-2</v>
      </c>
      <c r="C31" s="44"/>
      <c r="D31" s="44"/>
      <c r="E31" s="67"/>
      <c r="F31" s="44"/>
      <c r="G31" s="44">
        <v>0.04</v>
      </c>
      <c r="H31" s="67">
        <v>5.5E-2</v>
      </c>
      <c r="I31" s="44">
        <v>5.0000000000000001E-3</v>
      </c>
      <c r="J31" s="44"/>
      <c r="K31" s="67">
        <v>2.5000000000000001E-2</v>
      </c>
      <c r="L31" s="44">
        <v>7.1999999999999995E-2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</row>
    <row r="32" spans="1:22" ht="15.75" thickTop="1" x14ac:dyDescent="0.25">
      <c r="B32" t="s">
        <v>56</v>
      </c>
      <c r="U32" t="s">
        <v>41</v>
      </c>
    </row>
    <row r="33" spans="2:21" x14ac:dyDescent="0.25">
      <c r="B33" t="s">
        <v>57</v>
      </c>
      <c r="N33" s="26"/>
      <c r="U33" t="s">
        <v>42</v>
      </c>
    </row>
    <row r="34" spans="2:21" x14ac:dyDescent="0.25">
      <c r="U3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ySplit="1" topLeftCell="A2" activePane="bottomLeft" state="frozen"/>
      <selection pane="bottomLeft" activeCell="K2" sqref="K2:K29"/>
    </sheetView>
  </sheetViews>
  <sheetFormatPr defaultRowHeight="15" x14ac:dyDescent="0.25"/>
  <cols>
    <col min="1" max="1" width="18.85546875" bestFit="1" customWidth="1"/>
    <col min="10" max="10" width="10.140625" bestFit="1" customWidth="1"/>
    <col min="13" max="13" width="9.85546875" bestFit="1" customWidth="1"/>
  </cols>
  <sheetData>
    <row r="1" spans="1:22" x14ac:dyDescent="0.25">
      <c r="A1" t="str">
        <f>Pd_Calculations!B5</f>
        <v>Sample ID</v>
      </c>
      <c r="B1" t="str">
        <f>Pd_Calculations!S5</f>
        <v>Pd105</v>
      </c>
      <c r="C1" t="str">
        <f>Pd_Calculations!T5</f>
        <v>±</v>
      </c>
      <c r="D1" t="str">
        <f>Pd_Calculations!U5</f>
        <v>%</v>
      </c>
      <c r="E1" s="13" t="str">
        <f>Pd_Calculations!V5</f>
        <v>Pd107</v>
      </c>
      <c r="F1" t="str">
        <f>Pd_Calculations!W5</f>
        <v>±</v>
      </c>
      <c r="G1" s="12" t="str">
        <f>Pd_Calculations!X5</f>
        <v>%</v>
      </c>
      <c r="H1" s="13" t="str">
        <f>Pd_Calculations!Y5</f>
        <v>Pd108</v>
      </c>
      <c r="I1" t="str">
        <f>Pd_Calculations!Z5</f>
        <v>±</v>
      </c>
      <c r="J1" t="str">
        <f>Pd_Calculations!AA5</f>
        <v>%</v>
      </c>
      <c r="K1" s="13" t="str">
        <f>Pd_Calculations!AB5</f>
        <v>Pd110</v>
      </c>
      <c r="L1" t="str">
        <f>Pd_Calculations!AC5</f>
        <v>±</v>
      </c>
      <c r="M1" s="68" t="str">
        <f>Pd_Calculations!AD5</f>
        <v>%</v>
      </c>
      <c r="O1" t="s">
        <v>54</v>
      </c>
      <c r="P1" t="s">
        <v>54</v>
      </c>
      <c r="Q1" t="s">
        <v>54</v>
      </c>
      <c r="R1" t="s">
        <v>54</v>
      </c>
      <c r="T1" t="s">
        <v>55</v>
      </c>
      <c r="U1" t="s">
        <v>33</v>
      </c>
      <c r="V1" t="s">
        <v>36</v>
      </c>
    </row>
    <row r="2" spans="1:22" s="79" customFormat="1" x14ac:dyDescent="0.25">
      <c r="A2" s="79" t="str">
        <f>Pd_Calculations!B7</f>
        <v>87G Trace</v>
      </c>
      <c r="B2" s="79">
        <f>IF(Pd_Calculations!S7&gt;SUM($B$30:$D$30),Pd_Calculations!S7-SUM($B$30:$D$30),"LLD")</f>
        <v>0.12505532532773042</v>
      </c>
      <c r="C2" s="79">
        <f>IF(Pd_Calculations!S7&gt;SUM($B$30:$D$30),(Pd_Calculations!T7^2+$B$31^2+$C$31^2+$D$31^2)^0.5,"LLD")</f>
        <v>5.6196405760174217E-3</v>
      </c>
      <c r="D2" s="80">
        <f>IF(Pd_Calculations!S7&gt;SUM($B$30:$D$30),C2/B2,"LLD")</f>
        <v>4.493723526999048E-2</v>
      </c>
      <c r="E2" s="81">
        <f>IF(Pd_Calculations!V7&gt;SUM($E$30:$G$30),Pd_Calculations!V7-SUM($E$30:$G$30),"LLD")</f>
        <v>0.29375425805373129</v>
      </c>
      <c r="F2" s="79">
        <f>IF(Pd_Calculations!V7&gt;SUM($E$30:$G$30),(Pd_Calculations!W7^2+$E$31^2+$F$31^2+$G$31^2)^0.5,"LLD")</f>
        <v>9.2227317713233815E-3</v>
      </c>
      <c r="G2" s="80">
        <f>IF(Pd_Calculations!V7&gt;SUM($E$30:$G$30),F2/E2,"LLD")</f>
        <v>3.1396078587689544E-2</v>
      </c>
      <c r="H2" s="81">
        <f>IF(Pd_Calculations!Y7&gt;SUM($H$30:$J$30),Pd_Calculations!Y7-SUM($H$30:$J$30),"LLD")</f>
        <v>0.28592258299349049</v>
      </c>
      <c r="I2" s="79">
        <f>IF(Pd_Calculations!Y7&gt;SUM($H$30:$J$30),(Pd_Calculations!Z7^2+$H$31^2+$I$31^2+$J$31^2)^0.5,"LLD")</f>
        <v>8.5416188449788742E-3</v>
      </c>
      <c r="J2" s="80">
        <f>IF(Pd_Calculations!Y7&gt;SUM($H$30:$J$30),I2/H2,"LLD")</f>
        <v>2.9873886684821039E-2</v>
      </c>
      <c r="K2">
        <f>IF(Pd_Calculations!AB7&gt;SUM($K$30:$M$30),Pd_Calculations!AB7-SUM($K$30:$M$30),"LLD")</f>
        <v>0.9522555166865917</v>
      </c>
      <c r="L2" s="79">
        <f>IF(Pd_Calculations!AB7&gt;SUM($K$30:$M$30),(Pd_Calculations!AC7^2+$K$31^2+$L$31^2+$M$31^2)^0.5,"LLD")</f>
        <v>2.0201562971110264E-2</v>
      </c>
      <c r="M2" s="82">
        <f>IF(Pd_Calculations!AB7&gt;SUM($K$30:$M$30),L2/K2,"LLD")</f>
        <v>2.1214435219448609E-2</v>
      </c>
      <c r="O2" s="79">
        <f t="shared" ref="O2:O29" si="0">IF(C2="LLD","LLD",C2^2)</f>
        <v>3.1580360203621419E-5</v>
      </c>
      <c r="P2" s="79">
        <f t="shared" ref="P2:P29" si="1">IF(F2="LLD","LLD",F2^2)</f>
        <v>8.5058781325777715E-5</v>
      </c>
      <c r="Q2" s="79">
        <f t="shared" ref="Q2:Q29" si="2">IF(I2="LLD","LLD",I2^2)</f>
        <v>7.295925249289823E-5</v>
      </c>
      <c r="R2" s="79">
        <f t="shared" ref="R2:R29" si="3">IF(L2="LLD","LLD",L2^2)</f>
        <v>4.0810314647573339E-4</v>
      </c>
      <c r="T2" s="79">
        <f t="shared" ref="T2:T29" si="4">IF(SUM(B2,E2,H2,K2)=0,"LLD",SUM(B2,E2,H2,K2))</f>
        <v>1.6569876830615438</v>
      </c>
      <c r="U2" s="79">
        <f t="shared" ref="U2:U29" si="5">IF(T2="LLD","LLD",SUM(O2:R2)^0.5)</f>
        <v>2.444793530133027E-2</v>
      </c>
      <c r="V2" s="80">
        <f>IF(T2="LLD","LLD",U2/T2)</f>
        <v>1.4754446005391475E-2</v>
      </c>
    </row>
    <row r="3" spans="1:22" s="83" customFormat="1" x14ac:dyDescent="0.25">
      <c r="A3" s="83" t="str">
        <f>Pd_Calculations!B8</f>
        <v>90G Trace</v>
      </c>
      <c r="B3" s="83" t="str">
        <f>IF(Pd_Calculations!S8&gt;SUM($B$30:$D$30),Pd_Calculations!S8-SUM($B$30:$D$30),"LLD")</f>
        <v>LLD</v>
      </c>
      <c r="C3" s="83" t="str">
        <f>IF(Pd_Calculations!S8&gt;SUM($B$30:$D$30),(Pd_Calculations!T8^2+$B$31^2+$C$31^2+$D$31^2)^0.5,"LLD")</f>
        <v>LLD</v>
      </c>
      <c r="D3" s="84" t="str">
        <f>IF(Pd_Calculations!S8&gt;SUM($B$30:$D$30),C3/B3,"LLD")</f>
        <v>LLD</v>
      </c>
      <c r="E3" s="85" t="str">
        <f>IF(Pd_Calculations!V8&gt;SUM($E$30:$G$30),Pd_Calculations!V8-SUM($E$30:$G$30),"LLD")</f>
        <v>LLD</v>
      </c>
      <c r="F3" s="83" t="str">
        <f>IF(Pd_Calculations!V8&gt;SUM($E$30:$G$30),(Pd_Calculations!W8^2+$E$31^2+$F$31^2+$G$31^2)^0.5,"LLD")</f>
        <v>LLD</v>
      </c>
      <c r="G3" s="84" t="str">
        <f>IF(Pd_Calculations!V8&gt;SUM($E$30:$G$30),F3/E3,"LLD")</f>
        <v>LLD</v>
      </c>
      <c r="H3" s="85">
        <f>IF(Pd_Calculations!Y8&gt;SUM($H$30:$J$30),Pd_Calculations!Y8-SUM($H$30:$J$30),"LLD")</f>
        <v>7.5566933287920844E-3</v>
      </c>
      <c r="I3" s="83">
        <f>IF(Pd_Calculations!Y8&gt;SUM($H$30:$J$30),(Pd_Calculations!Z8^2+$H$31^2+$I$31^2+$J$31^2)^0.5,"LLD")</f>
        <v>6.7147229993120845E-4</v>
      </c>
      <c r="J3" s="84">
        <f>IF(Pd_Calculations!Y8&gt;SUM($H$30:$J$30),I3/H3,"LLD")</f>
        <v>8.8857952905512627E-2</v>
      </c>
      <c r="K3">
        <f>IF(Pd_Calculations!AB8&gt;SUM($K$30:$M$30),Pd_Calculations!AB8-SUM($K$30:$M$30),"LLD")</f>
        <v>1.0080101481878099E-2</v>
      </c>
      <c r="L3" s="83">
        <f>IF(Pd_Calculations!AB8&gt;SUM($K$30:$M$30),(Pd_Calculations!AC8^2+$K$31^2+$L$31^2+$M$31^2)^0.5,"LLD")</f>
        <v>7.3372509717893001E-4</v>
      </c>
      <c r="M3" s="86">
        <f>IF(Pd_Calculations!AB8&gt;SUM($K$30:$M$30),L3/K3,"LLD")</f>
        <v>7.2789455393679647E-2</v>
      </c>
      <c r="O3" s="83" t="str">
        <f t="shared" si="0"/>
        <v>LLD</v>
      </c>
      <c r="P3" s="83" t="str">
        <f t="shared" si="1"/>
        <v>LLD</v>
      </c>
      <c r="Q3" s="83">
        <f t="shared" si="2"/>
        <v>4.5087504957490674E-7</v>
      </c>
      <c r="R3" s="83">
        <f t="shared" si="3"/>
        <v>5.3835251823023025E-7</v>
      </c>
      <c r="T3" s="83">
        <f t="shared" si="4"/>
        <v>1.7636794810670185E-2</v>
      </c>
      <c r="U3" s="83">
        <f t="shared" si="5"/>
        <v>9.9459919957998002E-4</v>
      </c>
      <c r="V3" s="84">
        <f t="shared" ref="V3:V29" si="6">IF(T3="LLD","LLD",U3/T3)</f>
        <v>5.6393421268259684E-2</v>
      </c>
    </row>
    <row r="4" spans="1:22" x14ac:dyDescent="0.25">
      <c r="A4" t="str">
        <f>Pd_Calculations!B9</f>
        <v>93G Trace</v>
      </c>
      <c r="B4" t="str">
        <f>IF(Pd_Calculations!S9&gt;SUM($B$30:$D$30),Pd_Calculations!S9-SUM($B$30:$D$30),"LLD")</f>
        <v>LLD</v>
      </c>
      <c r="C4" t="str">
        <f>IF(Pd_Calculations!S9&gt;SUM($B$30:$D$30),(Pd_Calculations!T9^2+$B$31^2+$C$31^2+$D$31^2)^0.5,"LLD")</f>
        <v>LLD</v>
      </c>
      <c r="D4" s="12" t="str">
        <f>IF(Pd_Calculations!S9&gt;SUM($B$30:$D$30),C4/B4,"LLD")</f>
        <v>LLD</v>
      </c>
      <c r="E4" s="13">
        <f>IF(Pd_Calculations!V9&gt;SUM($E$30:$G$30),Pd_Calculations!V9-SUM($E$30:$G$30),"LLD")</f>
        <v>6.8761930382504957E-3</v>
      </c>
      <c r="F4">
        <f>IF(Pd_Calculations!V9&gt;SUM($E$30:$G$30),(Pd_Calculations!W9^2+$E$31^2+$F$31^2+$G$31^2)^0.5,"LLD")</f>
        <v>6.1104608771688992E-4</v>
      </c>
      <c r="G4" s="12">
        <f>IF(Pd_Calculations!V9&gt;SUM($E$30:$G$30),F4/E4,"LLD")</f>
        <v>8.8864010116905895E-2</v>
      </c>
      <c r="H4" s="13">
        <f>IF(Pd_Calculations!Y9&gt;SUM($H$30:$J$30),Pd_Calculations!Y9-SUM($H$30:$J$30),"LLD")</f>
        <v>8.8582094540924135E-3</v>
      </c>
      <c r="I4">
        <f>IF(Pd_Calculations!Y9&gt;SUM($H$30:$J$30),(Pd_Calculations!Z9^2+$H$31^2+$I$31^2+$J$31^2)^0.5,"LLD")</f>
        <v>6.4373531027163422E-4</v>
      </c>
      <c r="J4" s="12">
        <f>IF(Pd_Calculations!Y9&gt;SUM($H$30:$J$30),I4/H4,"LLD")</f>
        <v>7.2671041885810708E-2</v>
      </c>
      <c r="K4">
        <f>IF(Pd_Calculations!AB9&gt;SUM($K$30:$M$30),Pd_Calculations!AB9-SUM($K$30:$M$30),"LLD")</f>
        <v>7.8774887692186317E-3</v>
      </c>
      <c r="L4">
        <f>IF(Pd_Calculations!AB9&gt;SUM($K$30:$M$30),(Pd_Calculations!AC9^2+$K$31^2+$L$31^2+$M$31^2)^0.5,"LLD")</f>
        <v>5.7283027187568101E-4</v>
      </c>
      <c r="M4" s="69">
        <f>IF(Pd_Calculations!AB9&gt;SUM($K$30:$M$30),L4/K4,"LLD")</f>
        <v>7.2717370809085913E-2</v>
      </c>
      <c r="O4" t="str">
        <f t="shared" si="0"/>
        <v>LLD</v>
      </c>
      <c r="P4">
        <f t="shared" si="1"/>
        <v>3.7337732131411713E-7</v>
      </c>
      <c r="Q4">
        <f t="shared" si="2"/>
        <v>4.1439514969051718E-7</v>
      </c>
      <c r="R4">
        <f t="shared" si="3"/>
        <v>3.2813452037716662E-7</v>
      </c>
      <c r="T4">
        <f t="shared" si="4"/>
        <v>2.3611891261561543E-2</v>
      </c>
      <c r="U4">
        <f t="shared" si="5"/>
        <v>1.0563649896611496E-3</v>
      </c>
      <c r="V4" s="12">
        <f t="shared" si="6"/>
        <v>4.4738686027274557E-2</v>
      </c>
    </row>
    <row r="5" spans="1:22" x14ac:dyDescent="0.25">
      <c r="A5" t="str">
        <f>Pd_Calculations!B10</f>
        <v>96G Trace</v>
      </c>
      <c r="B5" t="str">
        <f>IF(Pd_Calculations!S10&gt;SUM($B$30:$D$30),Pd_Calculations!S10-SUM($B$30:$D$30),"LLD")</f>
        <v>LLD</v>
      </c>
      <c r="C5" t="str">
        <f>IF(Pd_Calculations!S10&gt;SUM($B$30:$D$30),(Pd_Calculations!T10^2+$B$31^2+$C$31^2+$D$31^2)^0.5,"LLD")</f>
        <v>LLD</v>
      </c>
      <c r="D5" s="12" t="str">
        <f>IF(Pd_Calculations!S10&gt;SUM($B$30:$D$30),C5/B5,"LLD")</f>
        <v>LLD</v>
      </c>
      <c r="E5" s="13">
        <f>IF(Pd_Calculations!V10&gt;SUM($E$30:$G$30),Pd_Calculations!V10-SUM($E$30:$G$30),"LLD")</f>
        <v>4.7272810351648414E-3</v>
      </c>
      <c r="F5">
        <f>IF(Pd_Calculations!V10&gt;SUM($E$30:$G$30),(Pd_Calculations!W10^2+$E$31^2+$F$31^2+$G$31^2)^0.5,"LLD")</f>
        <v>5.9277337463069007E-4</v>
      </c>
      <c r="G5" s="12">
        <f>IF(Pd_Calculations!V10&gt;SUM($E$30:$G$30),F5/E5,"LLD")</f>
        <v>0.12539414733780893</v>
      </c>
      <c r="H5" s="13">
        <f>IF(Pd_Calculations!Y10&gt;SUM($H$30:$J$30),Pd_Calculations!Y10-SUM($H$30:$J$30),"LLD")</f>
        <v>1.4209738696705852E-2</v>
      </c>
      <c r="I5">
        <f>IF(Pd_Calculations!Y10&gt;SUM($H$30:$J$30),(Pd_Calculations!Z10^2+$H$31^2+$I$31^2+$J$31^2)^0.5,"LLD")</f>
        <v>9.5864805526647444E-4</v>
      </c>
      <c r="J5" s="12">
        <f>IF(Pd_Calculations!Y10&gt;SUM($H$30:$J$30),I5/H5,"LLD")</f>
        <v>6.7464157908034672E-2</v>
      </c>
      <c r="K5">
        <f>IF(Pd_Calculations!AB10&gt;SUM($K$30:$M$30),Pd_Calculations!AB10-SUM($K$30:$M$30),"LLD")</f>
        <v>5.4156570439921692E-3</v>
      </c>
      <c r="L5">
        <f>IF(Pd_Calculations!AB10&gt;SUM($K$30:$M$30),(Pd_Calculations!AC10^2+$K$31^2+$L$31^2+$M$31^2)^0.5,"LLD")</f>
        <v>5.5521788386019065E-4</v>
      </c>
      <c r="M5" s="69">
        <f>IF(Pd_Calculations!AB10&gt;SUM($K$30:$M$30),L5/K5,"LLD")</f>
        <v>0.10252087223213639</v>
      </c>
      <c r="O5" t="str">
        <f t="shared" si="0"/>
        <v>LLD</v>
      </c>
      <c r="P5">
        <f t="shared" si="1"/>
        <v>3.5138027367105645E-7</v>
      </c>
      <c r="Q5">
        <f t="shared" si="2"/>
        <v>9.1900609386619345E-7</v>
      </c>
      <c r="R5">
        <f t="shared" si="3"/>
        <v>3.0826689855818817E-7</v>
      </c>
      <c r="T5">
        <f t="shared" si="4"/>
        <v>2.4352676775862864E-2</v>
      </c>
      <c r="U5">
        <f t="shared" si="5"/>
        <v>1.2564446928119987E-3</v>
      </c>
      <c r="V5" s="12">
        <f t="shared" si="6"/>
        <v>5.159369971424755E-2</v>
      </c>
    </row>
    <row r="6" spans="1:22" s="14" customFormat="1" x14ac:dyDescent="0.25">
      <c r="A6" s="14" t="str">
        <f>Pd_Calculations!B11</f>
        <v>30G Trace Waste</v>
      </c>
      <c r="B6" s="14">
        <f>IF(Pd_Calculations!S11&gt;SUM($B$30:$D$30),Pd_Calculations!S11-SUM($B$30:$D$30),"LLD")</f>
        <v>0.19782340216072086</v>
      </c>
      <c r="C6" s="14">
        <f>IF(Pd_Calculations!S11&gt;SUM($B$30:$D$30),(Pd_Calculations!T11^2+$B$31^2+$C$31^2+$D$31^2)^0.5,"LLD")</f>
        <v>4.8954864337012209E-3</v>
      </c>
      <c r="D6" s="76">
        <f>IF(Pd_Calculations!S11&gt;SUM($B$30:$D$30),C6/B6,"LLD")</f>
        <v>2.4746750789999567E-2</v>
      </c>
      <c r="E6" s="77">
        <f>IF(Pd_Calculations!V11&gt;SUM($E$30:$G$30),Pd_Calculations!V11-SUM($E$30:$G$30),"LLD")</f>
        <v>0.25782581535003463</v>
      </c>
      <c r="F6" s="14">
        <f>IF(Pd_Calculations!V11&gt;SUM($E$30:$G$30),(Pd_Calculations!W11^2+$E$31^2+$F$31^2+$G$31^2)^0.5,"LLD")</f>
        <v>5.6473083516633445E-3</v>
      </c>
      <c r="G6" s="76">
        <f>IF(Pd_Calculations!V11&gt;SUM($E$30:$G$30),F6/E6,"LLD")</f>
        <v>2.1903579918854648E-2</v>
      </c>
      <c r="H6" s="77">
        <f>IF(Pd_Calculations!Y11&gt;SUM($H$30:$J$30),Pd_Calculations!Y11-SUM($H$30:$J$30),"LLD")</f>
        <v>0.23172723719104893</v>
      </c>
      <c r="I6" s="14">
        <f>IF(Pd_Calculations!Y11&gt;SUM($H$30:$J$30),(Pd_Calculations!Z11^2+$H$31^2+$I$31^2+$J$31^2)^0.5,"LLD")</f>
        <v>4.926870079055133E-3</v>
      </c>
      <c r="J6" s="76">
        <f>IF(Pd_Calculations!Y11&gt;SUM($H$30:$J$30),I6/H6,"LLD")</f>
        <v>2.1261506151705183E-2</v>
      </c>
      <c r="K6">
        <f>IF(Pd_Calculations!AB11&gt;SUM($K$30:$M$30),Pd_Calculations!AB11-SUM($K$30:$M$30),"LLD")</f>
        <v>0.7418591064748854</v>
      </c>
      <c r="L6" s="14">
        <f>IF(Pd_Calculations!AB11&gt;SUM($K$30:$M$30),(Pd_Calculations!AC11^2+$K$31^2+$L$31^2+$M$31^2)^0.5,"LLD")</f>
        <v>1.0699648683938755E-2</v>
      </c>
      <c r="M6" s="78">
        <f>IF(Pd_Calculations!AB11&gt;SUM($K$30:$M$30),L6/K6,"LLD")</f>
        <v>1.4422750345116883E-2</v>
      </c>
      <c r="O6" s="14">
        <f t="shared" si="0"/>
        <v>2.3965787422552697E-5</v>
      </c>
      <c r="P6" s="14">
        <f t="shared" si="1"/>
        <v>3.1892091618766561E-5</v>
      </c>
      <c r="Q6" s="14">
        <f t="shared" si="2"/>
        <v>2.4274048775888732E-5</v>
      </c>
      <c r="R6" s="14">
        <f t="shared" si="3"/>
        <v>1.1448248195971234E-4</v>
      </c>
      <c r="T6" s="14">
        <f t="shared" si="4"/>
        <v>1.4292355611766898</v>
      </c>
      <c r="U6" s="14">
        <f t="shared" si="5"/>
        <v>1.3950426867193718E-2</v>
      </c>
      <c r="V6" s="76">
        <f t="shared" si="6"/>
        <v>9.7607610992468796E-3</v>
      </c>
    </row>
    <row r="7" spans="1:22" s="72" customFormat="1" x14ac:dyDescent="0.25">
      <c r="A7" s="72" t="str">
        <f>Pd_Calculations!B12</f>
        <v>30G Trace Original</v>
      </c>
      <c r="B7" s="72">
        <f>IF(Pd_Calculations!S12&gt;SUM($B$30:$D$30),Pd_Calculations!S12-SUM($B$30:$D$30),"LLD")</f>
        <v>0.22664326367458759</v>
      </c>
      <c r="C7" s="72">
        <f>IF(Pd_Calculations!S12&gt;SUM($B$30:$D$30),(Pd_Calculations!T12^2+$B$31^2+$C$31^2+$D$31^2)^0.5,"LLD")</f>
        <v>4.3145111646575611E-3</v>
      </c>
      <c r="D7" s="73">
        <f>IF(Pd_Calculations!S12&gt;SUM($B$30:$D$30),C7/B7,"LLD")</f>
        <v>1.9036573576933211E-2</v>
      </c>
      <c r="E7" s="74">
        <f>IF(Pd_Calculations!V12&gt;SUM($E$30:$G$30),Pd_Calculations!V12-SUM($E$30:$G$30),"LLD")</f>
        <v>0.40288500428532736</v>
      </c>
      <c r="F7" s="72">
        <f>IF(Pd_Calculations!V12&gt;SUM($E$30:$G$30),(Pd_Calculations!W12^2+$E$31^2+$F$31^2+$G$31^2)^0.5,"LLD")</f>
        <v>6.2114158340233231E-3</v>
      </c>
      <c r="G7" s="73">
        <f>IF(Pd_Calculations!V12&gt;SUM($E$30:$G$30),F7/E7,"LLD")</f>
        <v>1.541734184185305E-2</v>
      </c>
      <c r="H7" s="74">
        <f>IF(Pd_Calculations!Y12&gt;SUM($H$30:$J$30),Pd_Calculations!Y12-SUM($H$30:$J$30),"LLD")</f>
        <v>0.31635132845452313</v>
      </c>
      <c r="I7" s="72">
        <f>IF(Pd_Calculations!Y12&gt;SUM($H$30:$J$30),(Pd_Calculations!Z12^2+$H$31^2+$I$31^2+$J$31^2)^0.5,"LLD")</f>
        <v>4.9017106961638766E-3</v>
      </c>
      <c r="J7" s="73">
        <f>IF(Pd_Calculations!Y12&gt;SUM($H$30:$J$30),I7/H7,"LLD")</f>
        <v>1.5494515923515455E-2</v>
      </c>
      <c r="K7">
        <f>IF(Pd_Calculations!AB12&gt;SUM($K$30:$M$30),Pd_Calculations!AB12-SUM($K$30:$M$30),"LLD")</f>
        <v>1.0388587848753637</v>
      </c>
      <c r="L7" s="72">
        <f>IF(Pd_Calculations!AB12&gt;SUM($K$30:$M$30),(Pd_Calculations!AC12^2+$K$31^2+$L$31^2+$M$31^2)^0.5,"LLD")</f>
        <v>1.1759379407628671E-2</v>
      </c>
      <c r="M7" s="75">
        <f>IF(Pd_Calculations!AB12&gt;SUM($K$30:$M$30),L7/K7,"LLD")</f>
        <v>1.1319516741671001E-2</v>
      </c>
      <c r="O7" s="72">
        <f t="shared" si="0"/>
        <v>1.8615006589954745E-5</v>
      </c>
      <c r="P7" s="72">
        <f t="shared" si="1"/>
        <v>3.8581686663155652E-5</v>
      </c>
      <c r="Q7" s="72">
        <f t="shared" si="2"/>
        <v>2.4026767748887356E-5</v>
      </c>
      <c r="R7" s="72">
        <f t="shared" si="3"/>
        <v>1.3828300405256121E-4</v>
      </c>
      <c r="T7" s="72">
        <f t="shared" si="4"/>
        <v>1.9847383812898018</v>
      </c>
      <c r="U7" s="72">
        <f t="shared" si="5"/>
        <v>1.4815750573445781E-2</v>
      </c>
      <c r="V7" s="73">
        <f t="shared" si="6"/>
        <v>7.4648380426933746E-3</v>
      </c>
    </row>
    <row r="8" spans="1:22" x14ac:dyDescent="0.25">
      <c r="A8" t="str">
        <f>Pd_Calculations!B13</f>
        <v>42G taper</v>
      </c>
      <c r="B8">
        <f>IF(Pd_Calculations!S13&gt;SUM($B$30:$D$30),Pd_Calculations!S13-SUM($B$30:$D$30),"LLD")</f>
        <v>2.3649385864581058E-2</v>
      </c>
      <c r="C8">
        <f>IF(Pd_Calculations!S13&gt;SUM($B$30:$D$30),(Pd_Calculations!T13^2+$B$31^2+$C$31^2+$D$31^2)^0.5,"LLD")</f>
        <v>8.744251508953243E-4</v>
      </c>
      <c r="D8" s="12">
        <f>IF(Pd_Calculations!S13&gt;SUM($B$30:$D$30),C8/B8,"LLD")</f>
        <v>3.6974539461716992E-2</v>
      </c>
      <c r="E8" s="13">
        <f>IF(Pd_Calculations!V13&gt;SUM($E$30:$G$30),Pd_Calculations!V13-SUM($E$30:$G$30),"LLD")</f>
        <v>9.2587124670224133E-2</v>
      </c>
      <c r="F8">
        <f>IF(Pd_Calculations!V13&gt;SUM($E$30:$G$30),(Pd_Calculations!W13^2+$E$31^2+$F$31^2+$G$31^2)^0.5,"LLD")</f>
        <v>1.8180078742204273E-3</v>
      </c>
      <c r="G8" s="12">
        <f>IF(Pd_Calculations!V13&gt;SUM($E$30:$G$30),F8/E8,"LLD")</f>
        <v>1.9635644596327936E-2</v>
      </c>
      <c r="H8" s="13">
        <f>IF(Pd_Calculations!Y13&gt;SUM($H$30:$J$30),Pd_Calculations!Y13-SUM($H$30:$J$30),"LLD")</f>
        <v>2.3854948181899312E-2</v>
      </c>
      <c r="I8">
        <f>IF(Pd_Calculations!Y13&gt;SUM($H$30:$J$30),(Pd_Calculations!Z13^2+$H$31^2+$I$31^2+$J$31^2)^0.5,"LLD")</f>
        <v>7.9231469758169739E-4</v>
      </c>
      <c r="J8" s="12">
        <f>IF(Pd_Calculations!Y13&gt;SUM($H$30:$J$30),I8/H8,"LLD")</f>
        <v>3.3213851128081298E-2</v>
      </c>
      <c r="K8">
        <f>IF(Pd_Calculations!AB13&gt;SUM($K$30:$M$30),Pd_Calculations!AB13-SUM($K$30:$M$30),"LLD")</f>
        <v>2.6870928110807435E-2</v>
      </c>
      <c r="L8">
        <f>IF(Pd_Calculations!AB13&gt;SUM($K$30:$M$30),(Pd_Calculations!AC13^2+$K$31^2+$L$31^2+$M$31^2)^0.5,"LLD")</f>
        <v>8.0190582145118886E-4</v>
      </c>
      <c r="M8" s="69">
        <f>IF(Pd_Calculations!AB13&gt;SUM($K$30:$M$30),L8/K8,"LLD")</f>
        <v>2.9842877705763497E-2</v>
      </c>
      <c r="O8">
        <f t="shared" si="0"/>
        <v>7.6461934451831071E-7</v>
      </c>
      <c r="P8">
        <f t="shared" si="1"/>
        <v>3.3051526307274772E-6</v>
      </c>
      <c r="Q8">
        <f t="shared" si="2"/>
        <v>6.2776258000397655E-7</v>
      </c>
      <c r="R8">
        <f t="shared" si="3"/>
        <v>6.4305294647730595E-7</v>
      </c>
      <c r="T8">
        <f t="shared" si="4"/>
        <v>0.16696238682751194</v>
      </c>
      <c r="U8">
        <f t="shared" si="5"/>
        <v>2.3109711165929941E-3</v>
      </c>
      <c r="V8" s="12">
        <f t="shared" si="6"/>
        <v>1.3841267847832383E-2</v>
      </c>
    </row>
    <row r="9" spans="1:22" x14ac:dyDescent="0.25">
      <c r="A9" t="str">
        <f>Pd_Calculations!B14</f>
        <v>70G</v>
      </c>
      <c r="B9">
        <f>IF(Pd_Calculations!S14&gt;SUM($B$30:$D$30),Pd_Calculations!S14-SUM($B$30:$D$30),"LLD")</f>
        <v>1.9026148777557008E-2</v>
      </c>
      <c r="C9">
        <f>IF(Pd_Calculations!S14&gt;SUM($B$30:$D$30),(Pd_Calculations!T14^2+$B$31^2+$C$31^2+$D$31^2)^0.5,"LLD")</f>
        <v>1.3873927966594635E-3</v>
      </c>
      <c r="D9" s="12">
        <f>IF(Pd_Calculations!S14&gt;SUM($B$30:$D$30),C9/B9,"LLD")</f>
        <v>7.2920316816612596E-2</v>
      </c>
      <c r="E9" s="13">
        <f>IF(Pd_Calculations!V14&gt;SUM($E$30:$G$30),Pd_Calculations!V14-SUM($E$30:$G$30),"LLD")</f>
        <v>8.9384633611149858E-3</v>
      </c>
      <c r="F9">
        <f>IF(Pd_Calculations!V14&gt;SUM($E$30:$G$30),(Pd_Calculations!W14^2+$E$31^2+$F$31^2+$G$31^2)^0.5,"LLD")</f>
        <v>9.1738995622424075E-4</v>
      </c>
      <c r="G9" s="12">
        <f>IF(Pd_Calculations!V14&gt;SUM($E$30:$G$30),F9/E9,"LLD")</f>
        <v>0.10263396728963102</v>
      </c>
      <c r="H9" s="13">
        <f>IF(Pd_Calculations!Y14&gt;SUM($H$30:$J$30),Pd_Calculations!Y14-SUM($H$30:$J$30),"LLD")</f>
        <v>1.7912090518377537E-2</v>
      </c>
      <c r="I9">
        <f>IF(Pd_Calculations!Y14&gt;SUM($H$30:$J$30),(Pd_Calculations!Z14^2+$H$31^2+$I$31^2+$J$31^2)^0.5,"LLD")</f>
        <v>1.2108606299402016E-3</v>
      </c>
      <c r="J9" s="12">
        <f>IF(Pd_Calculations!Y14&gt;SUM($H$30:$J$30),I9/H9,"LLD")</f>
        <v>6.7600184841511188E-2</v>
      </c>
      <c r="K9">
        <f>IF(Pd_Calculations!AB14&gt;SUM($K$30:$M$30),Pd_Calculations!AB14-SUM($K$30:$M$30),"LLD")</f>
        <v>4.5511387769086769E-3</v>
      </c>
      <c r="L9">
        <f>IF(Pd_Calculations!AB14&gt;SUM($K$30:$M$30),(Pd_Calculations!AC14^2+$K$31^2+$L$31^2+$M$31^2)^0.5,"LLD")</f>
        <v>5.7093187876305191E-4</v>
      </c>
      <c r="M9" s="69">
        <f>IF(Pd_Calculations!AB14&gt;SUM($K$30:$M$30),L9/K9,"LLD")</f>
        <v>0.12544813655426534</v>
      </c>
      <c r="O9">
        <f t="shared" si="0"/>
        <v>1.9248587722225676E-6</v>
      </c>
      <c r="P9">
        <f t="shared" si="1"/>
        <v>8.4160433178111436E-7</v>
      </c>
      <c r="Q9">
        <f t="shared" si="2"/>
        <v>1.4661834651391818E-6</v>
      </c>
      <c r="R9">
        <f t="shared" si="3"/>
        <v>3.2596321018790821E-7</v>
      </c>
      <c r="T9">
        <f t="shared" si="4"/>
        <v>5.0427841433958211E-2</v>
      </c>
      <c r="U9">
        <f t="shared" si="5"/>
        <v>2.1350901103538399E-3</v>
      </c>
      <c r="V9" s="12">
        <f t="shared" si="6"/>
        <v>4.2339510271325355E-2</v>
      </c>
    </row>
    <row r="10" spans="1:22" x14ac:dyDescent="0.25">
      <c r="A10" t="str">
        <f>Pd_Calculations!B15</f>
        <v>71G</v>
      </c>
      <c r="B10">
        <f>IF(Pd_Calculations!S15&gt;SUM($B$30:$D$30),Pd_Calculations!S15-SUM($B$30:$D$30),"LLD")</f>
        <v>9.1789995228509329E-3</v>
      </c>
      <c r="C10">
        <f>IF(Pd_Calculations!S15&gt;SUM($B$30:$D$30),(Pd_Calculations!T15^2+$B$31^2+$C$31^2+$D$31^2)^0.5,"LLD")</f>
        <v>8.1570499086048003E-4</v>
      </c>
      <c r="D10" s="12">
        <f>IF(Pd_Calculations!S15&gt;SUM($B$30:$D$30),C10/B10,"LLD")</f>
        <v>8.8866437875914361E-2</v>
      </c>
      <c r="E10" s="13" t="str">
        <f>IF(Pd_Calculations!V15&gt;SUM($E$30:$G$30),Pd_Calculations!V15-SUM($E$30:$G$30),"LLD")</f>
        <v>LLD</v>
      </c>
      <c r="F10" t="str">
        <f>IF(Pd_Calculations!V15&gt;SUM($E$30:$G$30),(Pd_Calculations!W15^2+$E$31^2+$F$31^2+$G$31^2)^0.5,"LLD")</f>
        <v>LLD</v>
      </c>
      <c r="G10" s="12" t="str">
        <f>IF(Pd_Calculations!V15&gt;SUM($E$30:$G$30),F10/E10,"LLD")</f>
        <v>LLD</v>
      </c>
      <c r="H10" s="13">
        <f>IF(Pd_Calculations!Y15&gt;SUM($H$30:$J$30),Pd_Calculations!Y15-SUM($H$30:$J$30),"LLD")</f>
        <v>9.2587841068306042E-3</v>
      </c>
      <c r="I10">
        <f>IF(Pd_Calculations!Y15&gt;SUM($H$30:$J$30),(Pd_Calculations!Z15^2+$H$31^2+$I$31^2+$J$31^2)^0.5,"LLD")</f>
        <v>7.3671091405789156E-4</v>
      </c>
      <c r="J10" s="12">
        <f>IF(Pd_Calculations!Y15&gt;SUM($H$30:$J$30),I10/H10,"LLD")</f>
        <v>7.9568861910754365E-2</v>
      </c>
      <c r="K10">
        <f>IF(Pd_Calculations!AB15&gt;SUM($K$30:$M$30),Pd_Calculations!AB15-SUM($K$30:$M$30),"LLD")</f>
        <v>3.2934858086690329E-3</v>
      </c>
      <c r="L10">
        <f>IF(Pd_Calculations!AB15&gt;SUM($K$30:$M$30),(Pd_Calculations!AC15^2+$K$31^2+$L$31^2+$M$31^2)^0.5,"LLD")</f>
        <v>4.1284261023867666E-4</v>
      </c>
      <c r="M10" s="69">
        <f>IF(Pd_Calculations!AB15&gt;SUM($K$30:$M$30),L10/K10,"LLD")</f>
        <v>0.1253512643509811</v>
      </c>
      <c r="O10">
        <f t="shared" si="0"/>
        <v>6.6537463211469578E-7</v>
      </c>
      <c r="P10" t="str">
        <f t="shared" si="1"/>
        <v>LLD</v>
      </c>
      <c r="Q10">
        <f t="shared" si="2"/>
        <v>5.4274297089201413E-7</v>
      </c>
      <c r="R10">
        <f t="shared" si="3"/>
        <v>1.7043902082868389E-7</v>
      </c>
      <c r="T10">
        <f t="shared" si="4"/>
        <v>2.1731269438350569E-2</v>
      </c>
      <c r="U10">
        <f t="shared" si="5"/>
        <v>1.1741195100309822E-3</v>
      </c>
      <c r="V10" s="12">
        <f t="shared" si="6"/>
        <v>5.4029034675670537E-2</v>
      </c>
    </row>
    <row r="11" spans="1:22" x14ac:dyDescent="0.25">
      <c r="A11" t="str">
        <f>Pd_Calculations!B16</f>
        <v>72G</v>
      </c>
      <c r="B11">
        <f>IF(Pd_Calculations!S16&gt;SUM($B$30:$D$30),Pd_Calculations!S16-SUM($B$30:$D$30),"LLD")</f>
        <v>2.5316520205571159E-2</v>
      </c>
      <c r="C11">
        <f>IF(Pd_Calculations!S16&gt;SUM($B$30:$D$30),(Pd_Calculations!T16^2+$B$31^2+$C$31^2+$D$31^2)^0.5,"LLD")</f>
        <v>1.5127203109347803E-3</v>
      </c>
      <c r="D11" s="12">
        <f>IF(Pd_Calculations!S16&gt;SUM($B$30:$D$30),C11/B11,"LLD")</f>
        <v>5.9752300025889445E-2</v>
      </c>
      <c r="E11" s="13" t="str">
        <f>IF(Pd_Calculations!V16&gt;SUM($E$30:$G$30),Pd_Calculations!V16-SUM($E$30:$G$30),"LLD")</f>
        <v>LLD</v>
      </c>
      <c r="F11" t="str">
        <f>IF(Pd_Calculations!V16&gt;SUM($E$30:$G$30),(Pd_Calculations!W16^2+$E$31^2+$F$31^2+$G$31^2)^0.5,"LLD")</f>
        <v>LLD</v>
      </c>
      <c r="G11" s="12" t="str">
        <f>IF(Pd_Calculations!V16&gt;SUM($E$30:$G$30),F11/E11,"LLD")</f>
        <v>LLD</v>
      </c>
      <c r="H11" s="13">
        <f>IF(Pd_Calculations!Y16&gt;SUM($H$30:$J$30),Pd_Calculations!Y16-SUM($H$30:$J$30),"LLD")</f>
        <v>1.134958817127745E-2</v>
      </c>
      <c r="I11">
        <f>IF(Pd_Calculations!Y16&gt;SUM($H$30:$J$30),(Pd_Calculations!Z16^2+$H$31^2+$I$31^2+$J$31^2)^0.5,"LLD")</f>
        <v>9.0402694642579434E-4</v>
      </c>
      <c r="J11" s="12">
        <f>IF(Pd_Calculations!Y16&gt;SUM($H$30:$J$30),I11/H11,"LLD")</f>
        <v>7.9652841387992127E-2</v>
      </c>
      <c r="K11">
        <f>IF(Pd_Calculations!AB16&gt;SUM($K$30:$M$30),Pd_Calculations!AB16-SUM($K$30:$M$30),"LLD")</f>
        <v>2.0186077969332702E-3</v>
      </c>
      <c r="L11">
        <f>IF(Pd_Calculations!AB16&gt;SUM($K$30:$M$30),(Pd_Calculations!AC16^2+$K$31^2+$L$31^2+$M$31^2)^0.5,"LLD")</f>
        <v>3.5742078005616994E-4</v>
      </c>
      <c r="M11" s="69">
        <f>IF(Pd_Calculations!AB16&gt;SUM($K$30:$M$30),L11/K11,"LLD")</f>
        <v>0.17706301372618016</v>
      </c>
      <c r="O11">
        <f t="shared" si="0"/>
        <v>2.2883227391146181E-6</v>
      </c>
      <c r="P11" t="str">
        <f t="shared" si="1"/>
        <v>LLD</v>
      </c>
      <c r="Q11">
        <f t="shared" si="2"/>
        <v>8.1726471986394599E-7</v>
      </c>
      <c r="R11">
        <f t="shared" si="3"/>
        <v>1.27749614015961E-7</v>
      </c>
      <c r="T11">
        <f t="shared" si="4"/>
        <v>3.8684716173781879E-2</v>
      </c>
      <c r="U11">
        <f t="shared" si="5"/>
        <v>1.7981482344330028E-3</v>
      </c>
      <c r="V11" s="12">
        <f t="shared" si="6"/>
        <v>4.6482135899750428E-2</v>
      </c>
    </row>
    <row r="12" spans="1:22" x14ac:dyDescent="0.25">
      <c r="A12" t="str">
        <f>Pd_Calculations!B17</f>
        <v>73G</v>
      </c>
      <c r="B12">
        <f>IF(Pd_Calculations!S17&gt;SUM($B$30:$D$30),Pd_Calculations!S17-SUM($B$30:$D$30),"LLD")</f>
        <v>1.4454466851294496E-2</v>
      </c>
      <c r="C12">
        <f>IF(Pd_Calculations!S17&gt;SUM($B$30:$D$30),(Pd_Calculations!T17^2+$B$31^2+$C$31^2+$D$31^2)^0.5,"LLD")</f>
        <v>1.1517027815596667E-3</v>
      </c>
      <c r="D12" s="12">
        <f>IF(Pd_Calculations!S17&gt;SUM($B$30:$D$30),C12/B12,"LLD")</f>
        <v>7.9677984211262959E-2</v>
      </c>
      <c r="E12" s="13" t="str">
        <f>IF(Pd_Calculations!V17&gt;SUM($E$30:$G$30),Pd_Calculations!V17-SUM($E$30:$G$30),"LLD")</f>
        <v>LLD</v>
      </c>
      <c r="F12" t="str">
        <f>IF(Pd_Calculations!V17&gt;SUM($E$30:$G$30),(Pd_Calculations!W17^2+$E$31^2+$F$31^2+$G$31^2)^0.5,"LLD")</f>
        <v>LLD</v>
      </c>
      <c r="G12" s="12" t="str">
        <f>IF(Pd_Calculations!V17&gt;SUM($E$30:$G$30),F12/E12,"LLD")</f>
        <v>LLD</v>
      </c>
      <c r="H12" s="13">
        <f>IF(Pd_Calculations!Y17&gt;SUM($H$30:$J$30),Pd_Calculations!Y17-SUM($H$30:$J$30),"LLD")</f>
        <v>9.3312679751508896E-3</v>
      </c>
      <c r="I12">
        <f>IF(Pd_Calculations!Y17&gt;SUM($H$30:$J$30),(Pd_Calculations!Z17^2+$H$31^2+$I$31^2+$J$31^2)^0.5,"LLD")</f>
        <v>8.2977699970717604E-4</v>
      </c>
      <c r="J12" s="12">
        <f>IF(Pd_Calculations!Y17&gt;SUM($H$30:$J$30),I12/H12,"LLD")</f>
        <v>8.8924356466545298E-2</v>
      </c>
      <c r="K12">
        <f>IF(Pd_Calculations!AB17&gt;SUM($K$30:$M$30),Pd_Calculations!AB17-SUM($K$30:$M$30),"LLD")</f>
        <v>2.0745433673071785E-3</v>
      </c>
      <c r="L12">
        <f>IF(Pd_Calculations!AB17&gt;SUM($K$30:$M$30),(Pd_Calculations!AC17^2+$K$31^2+$L$31^2+$M$31^2)^0.5,"LLD")</f>
        <v>3.6732763082145413E-4</v>
      </c>
      <c r="M12" s="69">
        <f>IF(Pd_Calculations!AB17&gt;SUM($K$30:$M$30),L12/K12,"LLD")</f>
        <v>0.17706432972681443</v>
      </c>
      <c r="O12">
        <f t="shared" si="0"/>
        <v>1.3264192970522733E-6</v>
      </c>
      <c r="P12" t="str">
        <f t="shared" si="1"/>
        <v>LLD</v>
      </c>
      <c r="Q12">
        <f t="shared" si="2"/>
        <v>6.8852986924304286E-7</v>
      </c>
      <c r="R12">
        <f t="shared" si="3"/>
        <v>1.349295883649025E-7</v>
      </c>
      <c r="T12">
        <f t="shared" si="4"/>
        <v>2.5860278193752567E-2</v>
      </c>
      <c r="U12">
        <f t="shared" si="5"/>
        <v>1.4662464849609083E-3</v>
      </c>
      <c r="V12" s="12">
        <f t="shared" si="6"/>
        <v>5.6698790089393943E-2</v>
      </c>
    </row>
    <row r="13" spans="1:22" x14ac:dyDescent="0.25">
      <c r="A13" t="str">
        <f>Pd_Calculations!B18</f>
        <v xml:space="preserve">74G </v>
      </c>
      <c r="B13">
        <f>IF(Pd_Calculations!S18&gt;SUM($B$30:$D$30),Pd_Calculations!S18-SUM($B$30:$D$30),"LLD")</f>
        <v>1.6291645145701455E-2</v>
      </c>
      <c r="C13">
        <f>IF(Pd_Calculations!S18&gt;SUM($B$30:$D$30),(Pd_Calculations!T18^2+$B$31^2+$C$31^2+$D$31^2)^0.5,"LLD")</f>
        <v>8.4234579482242282E-4</v>
      </c>
      <c r="D13" s="12">
        <f>IF(Pd_Calculations!S18&gt;SUM($B$30:$D$30),C13/B13,"LLD")</f>
        <v>5.1704158007926874E-2</v>
      </c>
      <c r="E13" s="13">
        <f>IF(Pd_Calculations!V18&gt;SUM($E$30:$G$30),Pd_Calculations!V18-SUM($E$30:$G$30),"LLD")</f>
        <v>1.0205062161531667E-2</v>
      </c>
      <c r="F13">
        <f>IF(Pd_Calculations!V18&gt;SUM($E$30:$G$30),(Pd_Calculations!W18^2+$E$31^2+$F$31^2+$G$31^2)^0.5,"LLD")</f>
        <v>6.4408646461606316E-4</v>
      </c>
      <c r="G13" s="12">
        <f>IF(Pd_Calculations!V18&gt;SUM($E$30:$G$30),F13/E13,"LLD")</f>
        <v>6.3114408753331186E-2</v>
      </c>
      <c r="H13" s="13">
        <f>IF(Pd_Calculations!Y18&gt;SUM($H$30:$J$30),Pd_Calculations!Y18-SUM($H$30:$J$30),"LLD")</f>
        <v>3.2866506806897532E-3</v>
      </c>
      <c r="I13">
        <f>IF(Pd_Calculations!Y18&gt;SUM($H$30:$J$30),(Pd_Calculations!Z18^2+$H$31^2+$I$31^2+$J$31^2)^0.5,"LLD")</f>
        <v>3.3649717704683748E-4</v>
      </c>
      <c r="J13" s="12">
        <f>IF(Pd_Calculations!Y18&gt;SUM($H$30:$J$30),I13/H13,"LLD")</f>
        <v>0.1023830062086849</v>
      </c>
      <c r="K13">
        <f>IF(Pd_Calculations!AB18&gt;SUM($K$30:$M$30),Pd_Calculations!AB18-SUM($K$30:$M$30),"LLD")</f>
        <v>5.8455501554023643E-3</v>
      </c>
      <c r="L13">
        <f>IF(Pd_Calculations!AB18&gt;SUM($K$30:$M$30),(Pd_Calculations!AC18^2+$K$31^2+$L$31^2+$M$31^2)^0.5,"LLD")</f>
        <v>4.2478621209500732E-4</v>
      </c>
      <c r="M13" s="69">
        <f>IF(Pd_Calculations!AB18&gt;SUM($K$30:$M$30),L13/K13,"LLD")</f>
        <v>7.2668303376445531E-2</v>
      </c>
      <c r="O13">
        <f t="shared" si="0"/>
        <v>7.0954643805501928E-7</v>
      </c>
      <c r="P13">
        <f t="shared" si="1"/>
        <v>4.1484737390161918E-7</v>
      </c>
      <c r="Q13">
        <f t="shared" si="2"/>
        <v>1.1323035016049068E-7</v>
      </c>
      <c r="R13">
        <f t="shared" si="3"/>
        <v>1.8044332598602455E-7</v>
      </c>
      <c r="T13">
        <f t="shared" si="4"/>
        <v>3.5628908143325241E-2</v>
      </c>
      <c r="U13">
        <f t="shared" si="5"/>
        <v>1.1908263887331159E-3</v>
      </c>
      <c r="V13" s="12">
        <f t="shared" si="6"/>
        <v>3.342303906543391E-2</v>
      </c>
    </row>
    <row r="14" spans="1:22" x14ac:dyDescent="0.25">
      <c r="A14" t="str">
        <f>Pd_Calculations!B19</f>
        <v xml:space="preserve">75G trace waste </v>
      </c>
      <c r="B14" t="e">
        <f>IF(Pd_Calculations!S19&gt;SUM($B$30:$D$30),Pd_Calculations!S19-SUM($B$30:$D$30),"LLD")</f>
        <v>#VALUE!</v>
      </c>
      <c r="C14" t="e">
        <f>IF(Pd_Calculations!S19&gt;SUM($B$30:$D$30),(Pd_Calculations!T19^2+$B$31^2+$C$31^2+$D$31^2)^0.5,"LLD")</f>
        <v>#VALUE!</v>
      </c>
      <c r="D14" s="12" t="e">
        <f>IF(Pd_Calculations!S19&gt;SUM($B$30:$D$30),C14/B14,"LLD")</f>
        <v>#VALUE!</v>
      </c>
      <c r="E14" s="13" t="e">
        <f>IF(Pd_Calculations!V19&gt;SUM($E$30:$G$30),Pd_Calculations!V19-SUM($E$30:$G$30),"LLD")</f>
        <v>#VALUE!</v>
      </c>
      <c r="F14" t="e">
        <f>IF(Pd_Calculations!V19&gt;SUM($E$30:$G$30),(Pd_Calculations!W19^2+$E$31^2+$F$31^2+$G$31^2)^0.5,"LLD")</f>
        <v>#VALUE!</v>
      </c>
      <c r="G14" s="12" t="e">
        <f>IF(Pd_Calculations!V19&gt;SUM($E$30:$G$30),F14/E14,"LLD")</f>
        <v>#VALUE!</v>
      </c>
      <c r="H14" s="13" t="e">
        <f>IF(Pd_Calculations!Y19&gt;SUM($H$30:$J$30),Pd_Calculations!Y19-SUM($H$30:$J$30),"LLD")</f>
        <v>#VALUE!</v>
      </c>
      <c r="I14" t="e">
        <f>IF(Pd_Calculations!Y19&gt;SUM($H$30:$J$30),(Pd_Calculations!Z19^2+$H$31^2+$I$31^2+$J$31^2)^0.5,"LLD")</f>
        <v>#VALUE!</v>
      </c>
      <c r="J14" s="12" t="e">
        <f>IF(Pd_Calculations!Y19&gt;SUM($H$30:$J$30),I14/H14,"LLD")</f>
        <v>#VALUE!</v>
      </c>
      <c r="K14" t="e">
        <f>IF(Pd_Calculations!AB19&gt;SUM($K$30:$M$30),Pd_Calculations!AB19-SUM($K$30:$M$30),"LLD")</f>
        <v>#VALUE!</v>
      </c>
      <c r="L14" t="e">
        <f>IF(Pd_Calculations!AB19&gt;SUM($K$30:$M$30),(Pd_Calculations!AC19^2+$K$31^2+$L$31^2+$M$31^2)^0.5,"LLD")</f>
        <v>#VALUE!</v>
      </c>
      <c r="M14" s="69" t="e">
        <f>IF(Pd_Calculations!AB19&gt;SUM($K$30:$M$30),L14/K14,"LLD")</f>
        <v>#VALUE!</v>
      </c>
      <c r="O14" t="e">
        <f t="shared" si="0"/>
        <v>#VALUE!</v>
      </c>
      <c r="P14" t="e">
        <f t="shared" si="1"/>
        <v>#VALUE!</v>
      </c>
      <c r="Q14" t="e">
        <f t="shared" si="2"/>
        <v>#VALUE!</v>
      </c>
      <c r="R14" t="e">
        <f t="shared" si="3"/>
        <v>#VALUE!</v>
      </c>
      <c r="T14" t="e">
        <f t="shared" si="4"/>
        <v>#VALUE!</v>
      </c>
      <c r="U14" t="e">
        <f t="shared" si="5"/>
        <v>#VALUE!</v>
      </c>
      <c r="V14" s="12" t="e">
        <f t="shared" si="6"/>
        <v>#VALUE!</v>
      </c>
    </row>
    <row r="15" spans="1:22" x14ac:dyDescent="0.25">
      <c r="A15" t="str">
        <f>Pd_Calculations!B20</f>
        <v>81G trace</v>
      </c>
      <c r="B15">
        <f>IF(Pd_Calculations!S20&gt;SUM($B$30:$D$30),Pd_Calculations!S20-SUM($B$30:$D$30),"LLD")</f>
        <v>1.086338855963497E-2</v>
      </c>
      <c r="C15">
        <f>IF(Pd_Calculations!S20&gt;SUM($B$30:$D$30),(Pd_Calculations!T20^2+$B$31^2+$C$31^2+$D$31^2)^0.5,"LLD")</f>
        <v>1.3669061771523201E-3</v>
      </c>
      <c r="D15" s="12">
        <f>IF(Pd_Calculations!S20&gt;SUM($B$30:$D$30),C15/B15,"LLD")</f>
        <v>0.12582686973301549</v>
      </c>
      <c r="E15" s="13">
        <f>IF(Pd_Calculations!V20&gt;SUM($E$30:$G$30),Pd_Calculations!V20-SUM($E$30:$G$30),"LLD")</f>
        <v>1.0207215527757574E-2</v>
      </c>
      <c r="F15">
        <f>IF(Pd_Calculations!V20&gt;SUM($E$30:$G$30),(Pd_Calculations!W20^2+$E$31^2+$F$31^2+$G$31^2)^0.5,"LLD")</f>
        <v>1.2846674480844601E-3</v>
      </c>
      <c r="G15" s="12">
        <f>IF(Pd_Calculations!V20&gt;SUM($E$30:$G$30),F15/E15,"LLD")</f>
        <v>0.12585875595464074</v>
      </c>
      <c r="H15" s="13" t="str">
        <f>IF(Pd_Calculations!Y20&gt;SUM($H$30:$J$30),Pd_Calculations!Y20-SUM($H$30:$J$30),"LLD")</f>
        <v>LLD</v>
      </c>
      <c r="I15" t="str">
        <f>IF(Pd_Calculations!Y20&gt;SUM($H$30:$J$30),(Pd_Calculations!Z20^2+$H$31^2+$I$31^2+$J$31^2)^0.5,"LLD")</f>
        <v>LLD</v>
      </c>
      <c r="J15" s="12" t="str">
        <f>IF(Pd_Calculations!Y20&gt;SUM($H$30:$J$30),I15/H15,"LLD")</f>
        <v>LLD</v>
      </c>
      <c r="K15">
        <f>IF(Pd_Calculations!AB20&gt;SUM($K$30:$M$30),Pd_Calculations!AB20-SUM($K$30:$M$30),"LLD")</f>
        <v>3.8978557484555545E-3</v>
      </c>
      <c r="L15">
        <f>IF(Pd_Calculations!AB20&gt;SUM($K$30:$M$30),(Pd_Calculations!AC20^2+$K$31^2+$L$31^2+$M$31^2)^0.5,"LLD")</f>
        <v>6.9136794763202734E-4</v>
      </c>
      <c r="M15" s="69">
        <f>IF(Pd_Calculations!AB20&gt;SUM($K$30:$M$30),L15/K15,"LLD")</f>
        <v>0.17737135293063827</v>
      </c>
      <c r="O15">
        <f t="shared" si="0"/>
        <v>1.86843249713717E-6</v>
      </c>
      <c r="P15">
        <f t="shared" si="1"/>
        <v>1.650370452167839E-6</v>
      </c>
      <c r="Q15" t="str">
        <f t="shared" si="2"/>
        <v>LLD</v>
      </c>
      <c r="R15">
        <f t="shared" si="3"/>
        <v>4.7798963901292172E-7</v>
      </c>
      <c r="T15">
        <f t="shared" si="4"/>
        <v>2.4968459835848097E-2</v>
      </c>
      <c r="U15">
        <f t="shared" si="5"/>
        <v>1.9991979862729781E-3</v>
      </c>
      <c r="V15" s="12">
        <f t="shared" si="6"/>
        <v>8.0068934944984432E-2</v>
      </c>
    </row>
    <row r="16" spans="1:22" x14ac:dyDescent="0.25">
      <c r="A16" t="str">
        <f>Pd_Calculations!B21</f>
        <v>82G trace</v>
      </c>
      <c r="B16">
        <f>IF(Pd_Calculations!S21&gt;SUM($B$30:$D$30),Pd_Calculations!S21-SUM($B$30:$D$30),"LLD")</f>
        <v>2.2590763798806439E-3</v>
      </c>
      <c r="C16">
        <f>IF(Pd_Calculations!S21&gt;SUM($B$30:$D$30),(Pd_Calculations!T21^2+$B$31^2+$C$31^2+$D$31^2)^0.5,"LLD")</f>
        <v>3.9989470923441971E-4</v>
      </c>
      <c r="D16" s="12">
        <f>IF(Pd_Calculations!S21&gt;SUM($B$30:$D$30),C16/B16,"LLD")</f>
        <v>0.17701690513693377</v>
      </c>
      <c r="E16" s="13">
        <f>IF(Pd_Calculations!V21&gt;SUM($E$30:$G$30),Pd_Calculations!V21-SUM($E$30:$G$30),"LLD")</f>
        <v>2.1226231001980219E-3</v>
      </c>
      <c r="F16">
        <f>IF(Pd_Calculations!V21&gt;SUM($E$30:$G$30),(Pd_Calculations!W21^2+$E$31^2+$F$31^2+$G$31^2)^0.5,"LLD")</f>
        <v>3.7578828490034507E-4</v>
      </c>
      <c r="G16" s="12">
        <f>IF(Pd_Calculations!V21&gt;SUM($E$30:$G$30),F16/E16,"LLD")</f>
        <v>0.17703957186996003</v>
      </c>
      <c r="H16" s="13" t="str">
        <f>IF(Pd_Calculations!Y21&gt;SUM($H$30:$J$30),Pd_Calculations!Y21-SUM($H$30:$J$30),"LLD")</f>
        <v>LLD</v>
      </c>
      <c r="I16" t="str">
        <f>IF(Pd_Calculations!Y21&gt;SUM($H$30:$J$30),(Pd_Calculations!Z21^2+$H$31^2+$I$31^2+$J$31^2)^0.5,"LLD")</f>
        <v>LLD</v>
      </c>
      <c r="J16" s="12" t="str">
        <f>IF(Pd_Calculations!Y21&gt;SUM($H$30:$J$30),I16/H16,"LLD")</f>
        <v>LLD</v>
      </c>
      <c r="K16">
        <f>IF(Pd_Calculations!AB21&gt;SUM($K$30:$M$30),Pd_Calculations!AB21-SUM($K$30:$M$30),"LLD")</f>
        <v>8.1057156385224739E-3</v>
      </c>
      <c r="L16">
        <f>IF(Pd_Calculations!AB21&gt;SUM($K$30:$M$30),(Pd_Calculations!AC21^2+$K$31^2+$L$31^2+$M$31^2)^0.5,"LLD")</f>
        <v>6.4531782579062833E-4</v>
      </c>
      <c r="M16" s="69">
        <f>IF(Pd_Calculations!AB21&gt;SUM($K$30:$M$30),L16/K16,"LLD")</f>
        <v>7.9612689930023031E-2</v>
      </c>
      <c r="O16">
        <f t="shared" si="0"/>
        <v>1.5991577847368108E-7</v>
      </c>
      <c r="P16">
        <f t="shared" si="1"/>
        <v>1.412168350683429E-7</v>
      </c>
      <c r="Q16" t="str">
        <f t="shared" si="2"/>
        <v>LLD</v>
      </c>
      <c r="R16">
        <f t="shared" si="3"/>
        <v>4.1643509628314373E-7</v>
      </c>
      <c r="T16">
        <f t="shared" si="4"/>
        <v>1.2487415118601139E-2</v>
      </c>
      <c r="U16">
        <f t="shared" si="5"/>
        <v>8.4709368420805007E-4</v>
      </c>
      <c r="V16" s="12">
        <f t="shared" si="6"/>
        <v>6.7835791167559334E-2</v>
      </c>
    </row>
    <row r="17" spans="1:22" x14ac:dyDescent="0.25">
      <c r="A17" t="str">
        <f>Pd_Calculations!B22</f>
        <v>83G Trace</v>
      </c>
      <c r="B17" t="e">
        <f>IF(Pd_Calculations!S22&gt;SUM($B$30:$D$30),Pd_Calculations!S22-SUM($B$30:$D$30),"LLD")</f>
        <v>#VALUE!</v>
      </c>
      <c r="C17" t="e">
        <f>IF(Pd_Calculations!S22&gt;SUM($B$30:$D$30),(Pd_Calculations!T22^2+$B$31^2+$C$31^2+$D$31^2)^0.5,"LLD")</f>
        <v>#VALUE!</v>
      </c>
      <c r="D17" s="12" t="e">
        <f>IF(Pd_Calculations!S22&gt;SUM($B$30:$D$30),C17/B17,"LLD")</f>
        <v>#VALUE!</v>
      </c>
      <c r="E17" s="13" t="e">
        <f>IF(Pd_Calculations!V22&gt;SUM($E$30:$G$30),Pd_Calculations!V22-SUM($E$30:$G$30),"LLD")</f>
        <v>#VALUE!</v>
      </c>
      <c r="F17" t="e">
        <f>IF(Pd_Calculations!V22&gt;SUM($E$30:$G$30),(Pd_Calculations!W22^2+$E$31^2+$F$31^2+$G$31^2)^0.5,"LLD")</f>
        <v>#VALUE!</v>
      </c>
      <c r="G17" s="12" t="e">
        <f>IF(Pd_Calculations!V22&gt;SUM($E$30:$G$30),F17/E17,"LLD")</f>
        <v>#VALUE!</v>
      </c>
      <c r="H17" s="13" t="e">
        <f>IF(Pd_Calculations!Y22&gt;SUM($H$30:$J$30),Pd_Calculations!Y22-SUM($H$30:$J$30),"LLD")</f>
        <v>#VALUE!</v>
      </c>
      <c r="I17" t="e">
        <f>IF(Pd_Calculations!Y22&gt;SUM($H$30:$J$30),(Pd_Calculations!Z22^2+$H$31^2+$I$31^2+$J$31^2)^0.5,"LLD")</f>
        <v>#VALUE!</v>
      </c>
      <c r="J17" s="12" t="e">
        <f>IF(Pd_Calculations!Y22&gt;SUM($H$30:$J$30),I17/H17,"LLD")</f>
        <v>#VALUE!</v>
      </c>
      <c r="K17" t="e">
        <f>IF(Pd_Calculations!AB22&gt;SUM($K$30:$M$30),Pd_Calculations!AB22-SUM($K$30:$M$30),"LLD")</f>
        <v>#VALUE!</v>
      </c>
      <c r="L17" t="e">
        <f>IF(Pd_Calculations!AB22&gt;SUM($K$30:$M$30),(Pd_Calculations!AC22^2+$K$31^2+$L$31^2+$M$31^2)^0.5,"LLD")</f>
        <v>#VALUE!</v>
      </c>
      <c r="M17" s="69" t="e">
        <f>IF(Pd_Calculations!AB22&gt;SUM($K$30:$M$30),L17/K17,"LLD")</f>
        <v>#VALUE!</v>
      </c>
      <c r="O17" t="e">
        <f t="shared" si="0"/>
        <v>#VALUE!</v>
      </c>
      <c r="P17" t="e">
        <f t="shared" si="1"/>
        <v>#VALUE!</v>
      </c>
      <c r="Q17" t="e">
        <f t="shared" si="2"/>
        <v>#VALUE!</v>
      </c>
      <c r="R17" t="e">
        <f t="shared" si="3"/>
        <v>#VALUE!</v>
      </c>
      <c r="T17" t="e">
        <f t="shared" si="4"/>
        <v>#VALUE!</v>
      </c>
      <c r="U17" t="e">
        <f t="shared" si="5"/>
        <v>#VALUE!</v>
      </c>
      <c r="V17" s="12" t="e">
        <f t="shared" si="6"/>
        <v>#VALUE!</v>
      </c>
    </row>
    <row r="18" spans="1:22" x14ac:dyDescent="0.25">
      <c r="A18" t="str">
        <f>Pd_Calculations!B23</f>
        <v>84G trace</v>
      </c>
      <c r="B18" t="str">
        <f>IF(Pd_Calculations!S23&gt;SUM($B$30:$D$30),Pd_Calculations!S23-SUM($B$30:$D$30),"LLD")</f>
        <v>LLD</v>
      </c>
      <c r="C18" t="str">
        <f>IF(Pd_Calculations!S23&gt;SUM($B$30:$D$30),(Pd_Calculations!T23^2+$B$31^2+$C$31^2+$D$31^2)^0.5,"LLD")</f>
        <v>LLD</v>
      </c>
      <c r="D18" s="12" t="str">
        <f>IF(Pd_Calculations!S23&gt;SUM($B$30:$D$30),C18/B18,"LLD")</f>
        <v>LLD</v>
      </c>
      <c r="E18" s="13">
        <f>IF(Pd_Calculations!V23&gt;SUM($E$30:$G$30),Pd_Calculations!V23-SUM($E$30:$G$30),"LLD")</f>
        <v>2.3425446628571434E-2</v>
      </c>
      <c r="F18">
        <f>IF(Pd_Calculations!V23&gt;SUM($E$30:$G$30),(Pd_Calculations!W23^2+$E$31^2+$F$31^2+$G$31^2)^0.5,"LLD")</f>
        <v>1.3300398863995697E-3</v>
      </c>
      <c r="G18" s="12">
        <f>IF(Pd_Calculations!V23&gt;SUM($E$30:$G$30),F18/E18,"LLD")</f>
        <v>5.6777567893939458E-2</v>
      </c>
      <c r="H18" s="13">
        <f>IF(Pd_Calculations!Y23&gt;SUM($H$30:$J$30),Pd_Calculations!Y23-SUM($H$30:$J$30),"LLD")</f>
        <v>1.0059224711369483E-2</v>
      </c>
      <c r="I18">
        <f>IF(Pd_Calculations!Y23&gt;SUM($H$30:$J$30),(Pd_Calculations!Z23^2+$H$31^2+$I$31^2+$J$31^2)^0.5,"LLD")</f>
        <v>8.0077538041477118E-4</v>
      </c>
      <c r="J18" s="12">
        <f>IF(Pd_Calculations!Y23&gt;SUM($H$30:$J$30),I18/H18,"LLD")</f>
        <v>7.9606073369619765E-2</v>
      </c>
      <c r="K18">
        <f>IF(Pd_Calculations!AB23&gt;SUM($K$30:$M$30),Pd_Calculations!AB23-SUM($K$30:$M$30),"LLD")</f>
        <v>1.7891071576378403E-3</v>
      </c>
      <c r="L18">
        <f>IF(Pd_Calculations!AB23&gt;SUM($K$30:$M$30),(Pd_Calculations!AC23^2+$K$31^2+$L$31^2+$M$31^2)^0.5,"LLD")</f>
        <v>3.1674707323447332E-4</v>
      </c>
      <c r="M18" s="69">
        <f>IF(Pd_Calculations!AB23&gt;SUM($K$30:$M$30),L18/K18,"LLD")</f>
        <v>0.17704197978430466</v>
      </c>
      <c r="O18" t="str">
        <f t="shared" si="0"/>
        <v>LLD</v>
      </c>
      <c r="P18">
        <f t="shared" si="1"/>
        <v>1.7690060994137804E-6</v>
      </c>
      <c r="Q18">
        <f t="shared" si="2"/>
        <v>6.4124120987842153E-7</v>
      </c>
      <c r="R18">
        <f t="shared" si="3"/>
        <v>1.003287084026048E-7</v>
      </c>
      <c r="T18">
        <f t="shared" si="4"/>
        <v>3.5273778497578755E-2</v>
      </c>
      <c r="U18">
        <f t="shared" si="5"/>
        <v>1.5844797309195239E-3</v>
      </c>
      <c r="V18" s="12">
        <f t="shared" si="6"/>
        <v>4.4919478388976246E-2</v>
      </c>
    </row>
    <row r="19" spans="1:22" s="87" customFormat="1" x14ac:dyDescent="0.25">
      <c r="A19" s="87" t="str">
        <f>Pd_Calculations!B24</f>
        <v>86G Trace</v>
      </c>
      <c r="B19" s="87">
        <f>IF(Pd_Calculations!S24&gt;SUM($B$30:$D$30),Pd_Calculations!S24-SUM($B$30:$D$30),"LLD")</f>
        <v>1.5211337905130996E-2</v>
      </c>
      <c r="C19" s="87">
        <f>IF(Pd_Calculations!S24&gt;SUM($B$30:$D$30),(Pd_Calculations!T24^2+$B$31^2+$C$31^2+$D$31^2)^0.5,"LLD")</f>
        <v>1.9216130226778535E-3</v>
      </c>
      <c r="D19" s="88">
        <f>IF(Pd_Calculations!S24&gt;SUM($B$30:$D$30),C19/B19,"LLD")</f>
        <v>0.12632767969934233</v>
      </c>
      <c r="E19" s="89" t="str">
        <f>IF(Pd_Calculations!V24&gt;SUM(0),Pd_Calculations!V24-SUM($E$30:$G$30),"LLD")</f>
        <v>LLD</v>
      </c>
      <c r="F19" s="87" t="str">
        <f>IF(Pd_Calculations!V24&gt;SUM($E$30:$G$30),(Pd_Calculations!W24^2+$E$31^2+$F$31^2+$G$31^2)^0.5,"LLD")</f>
        <v>LLD</v>
      </c>
      <c r="G19" s="88" t="str">
        <f>IF(Pd_Calculations!V24&gt;SUM($E$30:$G$30),F19/E19,"LLD")</f>
        <v>LLD</v>
      </c>
      <c r="H19" s="89">
        <f>IF(Pd_Calculations!Y24&gt;SUM($H$30:$J$30),Pd_Calculations!Y24-SUM($H$30:$J$30),"LLD")</f>
        <v>1.8412267257106912E-2</v>
      </c>
      <c r="I19" s="87">
        <f>IF(Pd_Calculations!Y24&gt;SUM($H$30:$J$30),(Pd_Calculations!Z24^2+$H$31^2+$I$31^2+$J$31^2)^0.5,"LLD")</f>
        <v>1.9087411743093608E-3</v>
      </c>
      <c r="J19" s="88">
        <f>IF(Pd_Calculations!Y24&gt;SUM($H$30:$J$30),I19/H19,"LLD")</f>
        <v>0.10366681884723403</v>
      </c>
      <c r="K19">
        <f>IF(Pd_Calculations!AB24&gt;SUM($K$30:$M$30),Pd_Calculations!AB24-SUM($K$30:$M$30),"LLD")</f>
        <v>2.728964382049455E-2</v>
      </c>
      <c r="L19" s="87">
        <f>IF(Pd_Calculations!AB24&gt;SUM($K$30:$M$30),(Pd_Calculations!AC24^2+$K$31^2+$L$31^2+$M$31^2)^0.5,"LLD")</f>
        <v>2.2148161865164499E-3</v>
      </c>
      <c r="M19" s="90">
        <f>IF(Pd_Calculations!AB24&gt;SUM($K$30:$M$30),L19/K19,"LLD")</f>
        <v>8.1159585705296772E-2</v>
      </c>
      <c r="O19" s="87">
        <f t="shared" si="0"/>
        <v>3.6925966089251167E-6</v>
      </c>
      <c r="P19" s="87" t="str">
        <f t="shared" si="1"/>
        <v>LLD</v>
      </c>
      <c r="Q19" s="87">
        <f t="shared" si="2"/>
        <v>3.6432928705038775E-6</v>
      </c>
      <c r="R19" s="87">
        <f t="shared" si="3"/>
        <v>4.9054107400552698E-6</v>
      </c>
      <c r="T19" s="87">
        <f t="shared" si="4"/>
        <v>6.0913248982732454E-2</v>
      </c>
      <c r="U19" s="87">
        <f t="shared" si="5"/>
        <v>3.4987569534742284E-3</v>
      </c>
      <c r="V19" s="88">
        <f t="shared" si="6"/>
        <v>5.74383572031439E-2</v>
      </c>
    </row>
    <row r="20" spans="1:22" x14ac:dyDescent="0.25">
      <c r="A20" t="str">
        <f>Pd_Calculations!B25</f>
        <v>24G Taper Waste</v>
      </c>
      <c r="B20">
        <f>IF(Pd_Calculations!S25&gt;SUM($B$30:$D$30),Pd_Calculations!S25-SUM($B$30:$D$30),"LLD")</f>
        <v>0.34030043249743197</v>
      </c>
      <c r="C20">
        <f>IF(Pd_Calculations!S25&gt;SUM($B$30:$D$30),(Pd_Calculations!T25^2+$B$31^2+$C$31^2+$D$31^2)^0.5,"LLD")</f>
        <v>5.3036070444600998E-3</v>
      </c>
      <c r="D20" s="12">
        <f>IF(Pd_Calculations!S25&gt;SUM($B$30:$D$30),C20/B20,"LLD")</f>
        <v>1.5585072888498672E-2</v>
      </c>
      <c r="E20" s="13">
        <f>IF(Pd_Calculations!V25&gt;SUM($E$30:$G$30),Pd_Calculations!V25-SUM($E$30:$G$30),"LLD")</f>
        <v>0.71432510501408453</v>
      </c>
      <c r="F20">
        <f>IF(Pd_Calculations!V25&gt;SUM($E$30:$G$30),(Pd_Calculations!W25^2+$E$31^2+$F$31^2+$G$31^2)^0.5,"LLD")</f>
        <v>9.0101616846323604E-3</v>
      </c>
      <c r="G20" s="12">
        <f>IF(Pd_Calculations!V25&gt;SUM($E$30:$G$30),F20/E20,"LLD")</f>
        <v>1.2613530759855773E-2</v>
      </c>
      <c r="H20" s="13">
        <f>IF(Pd_Calculations!Y25&gt;SUM($H$30:$J$30),Pd_Calculations!Y25-SUM($H$30:$J$30),"LLD")</f>
        <v>0.79898858618441859</v>
      </c>
      <c r="I20">
        <f>IF(Pd_Calculations!Y25&gt;SUM($H$30:$J$30),(Pd_Calculations!Z25^2+$H$31^2+$I$31^2+$J$31^2)^0.5,"LLD")</f>
        <v>9.1190082139931631E-3</v>
      </c>
      <c r="J20" s="12">
        <f>IF(Pd_Calculations!Y25&gt;SUM($H$30:$J$30),I20/H20,"LLD")</f>
        <v>1.141318958952983E-2</v>
      </c>
      <c r="K20">
        <f>IF(Pd_Calculations!AB25&gt;SUM($K$30:$M$30),Pd_Calculations!AB25-SUM($K$30:$M$30),"LLD")</f>
        <v>1.3639058611398589</v>
      </c>
      <c r="L20">
        <f>IF(Pd_Calculations!AB25&gt;SUM($K$30:$M$30),(Pd_Calculations!AC25^2+$K$31^2+$L$31^2+$M$31^2)^0.5,"LLD")</f>
        <v>1.4280601821428636E-2</v>
      </c>
      <c r="M20" s="69">
        <f>IF(Pd_Calculations!AB25&gt;SUM($K$30:$M$30),L20/K20,"LLD")</f>
        <v>1.0470372060351649E-2</v>
      </c>
      <c r="O20">
        <f t="shared" si="0"/>
        <v>2.8128247682046794E-5</v>
      </c>
      <c r="P20">
        <f t="shared" si="1"/>
        <v>8.1183013583217056E-5</v>
      </c>
      <c r="Q20">
        <f t="shared" si="2"/>
        <v>8.3156310806874772E-5</v>
      </c>
      <c r="R20">
        <f t="shared" si="3"/>
        <v>2.0393558838219087E-4</v>
      </c>
      <c r="T20">
        <f t="shared" si="4"/>
        <v>3.217519984835794</v>
      </c>
      <c r="U20">
        <f t="shared" si="5"/>
        <v>1.9909875952760968E-2</v>
      </c>
      <c r="V20" s="12">
        <f t="shared" si="6"/>
        <v>6.1879571988974194E-3</v>
      </c>
    </row>
    <row r="21" spans="1:22" x14ac:dyDescent="0.25">
      <c r="A21" t="str">
        <f>Pd_Calculations!B26</f>
        <v>24G Trace Original</v>
      </c>
      <c r="B21">
        <f>IF(Pd_Calculations!S26&gt;SUM($B$30:$D$30),Pd_Calculations!S26-SUM($B$30:$D$30),"LLD")</f>
        <v>0.3469007368487339</v>
      </c>
      <c r="C21">
        <f>IF(Pd_Calculations!S26&gt;SUM($B$30:$D$30),(Pd_Calculations!T26^2+$B$31^2+$C$31^2+$D$31^2)^0.5,"LLD")</f>
        <v>7.002070630242511E-3</v>
      </c>
      <c r="D21" s="12">
        <f>IF(Pd_Calculations!S26&gt;SUM($B$30:$D$30),C21/B21,"LLD")</f>
        <v>2.0184651937755222E-2</v>
      </c>
      <c r="E21" s="13">
        <f>IF(Pd_Calculations!V26&gt;SUM($E$30:$G$30),Pd_Calculations!V26-SUM($E$30:$G$30),"LLD")</f>
        <v>0.4151213758397112</v>
      </c>
      <c r="F21">
        <f>IF(Pd_Calculations!V26&gt;SUM($E$30:$G$30),(Pd_Calculations!W26^2+$E$31^2+$F$31^2+$G$31^2)^0.5,"LLD")</f>
        <v>7.7896465769662299E-3</v>
      </c>
      <c r="G21" s="12">
        <f>IF(Pd_Calculations!V26&gt;SUM($E$30:$G$30),F21/E21,"LLD")</f>
        <v>1.8764744555033484E-2</v>
      </c>
      <c r="H21" s="13">
        <f>IF(Pd_Calculations!Y26&gt;SUM($H$30:$J$30),Pd_Calculations!Y26-SUM($H$30:$J$30),"LLD")</f>
        <v>0.47799849489589086</v>
      </c>
      <c r="I21">
        <f>IF(Pd_Calculations!Y26&gt;SUM($H$30:$J$30),(Pd_Calculations!Z26^2+$H$31^2+$I$31^2+$J$31^2)^0.5,"LLD")</f>
        <v>8.0229849828624758E-3</v>
      </c>
      <c r="J21" s="12">
        <f>IF(Pd_Calculations!Y26&gt;SUM($H$30:$J$30),I21/H21,"LLD")</f>
        <v>1.6784540262223837E-2</v>
      </c>
      <c r="K21">
        <f>IF(Pd_Calculations!AB26&gt;SUM($K$30:$M$30),Pd_Calculations!AB26-SUM($K$30:$M$30),"LLD")</f>
        <v>0.85954949060953167</v>
      </c>
      <c r="L21">
        <f>IF(Pd_Calculations!AB26&gt;SUM($K$30:$M$30),(Pd_Calculations!AC26^2+$K$31^2+$L$31^2+$M$31^2)^0.5,"LLD")</f>
        <v>1.2191886467747591E-2</v>
      </c>
      <c r="M21" s="69">
        <f>IF(Pd_Calculations!AB26&gt;SUM($K$30:$M$30),L21/K21,"LLD")</f>
        <v>1.4184042455893922E-2</v>
      </c>
      <c r="O21">
        <f t="shared" si="0"/>
        <v>4.9028993110904757E-5</v>
      </c>
      <c r="P21">
        <f t="shared" si="1"/>
        <v>6.0678593794041705E-5</v>
      </c>
      <c r="Q21">
        <f t="shared" si="2"/>
        <v>6.4368288035236807E-5</v>
      </c>
      <c r="R21">
        <f t="shared" si="3"/>
        <v>1.4864209564244683E-4</v>
      </c>
      <c r="T21">
        <f t="shared" si="4"/>
        <v>2.0995700981938676</v>
      </c>
      <c r="U21">
        <f t="shared" si="5"/>
        <v>1.7964352773830461E-2</v>
      </c>
      <c r="V21" s="12">
        <f t="shared" si="6"/>
        <v>8.5562052866365833E-3</v>
      </c>
    </row>
    <row r="22" spans="1:22" x14ac:dyDescent="0.25">
      <c r="A22" t="str">
        <f>Pd_Calculations!B27</f>
        <v>53G</v>
      </c>
      <c r="B22">
        <f>IF(Pd_Calculations!S27&gt;SUM($B$30:$D$30),Pd_Calculations!S27-SUM($B$30:$D$30),"LLD")</f>
        <v>9.1332952961814279E-3</v>
      </c>
      <c r="C22">
        <f>IF(Pd_Calculations!S27&gt;SUM($B$30:$D$30),(Pd_Calculations!T27^2+$B$31^2+$C$31^2+$D$31^2)^0.5,"LLD")</f>
        <v>1.6262035711449747E-3</v>
      </c>
      <c r="D22" s="12">
        <f>IF(Pd_Calculations!S27&gt;SUM($B$30:$D$30),C22/B22,"LLD")</f>
        <v>0.17805222741729154</v>
      </c>
      <c r="E22" s="13">
        <f>IF(Pd_Calculations!V27&gt;SUM($E$30:$G$30),Pd_Calculations!V27-SUM($E$30:$G$30),"LLD")</f>
        <v>6.8652990219405935E-2</v>
      </c>
      <c r="F22">
        <f>IF(Pd_Calculations!V27&gt;SUM($E$30:$G$30),(Pd_Calculations!W27^2+$E$31^2+$F$31^2+$G$31^2)^0.5,"LLD")</f>
        <v>4.536747816912946E-3</v>
      </c>
      <c r="G22" s="12">
        <f>IF(Pd_Calculations!V27&gt;SUM($E$30:$G$30),F22/E22,"LLD")</f>
        <v>6.6082304680598711E-2</v>
      </c>
      <c r="H22" s="13">
        <f>IF(Pd_Calculations!Y27&gt;SUM($H$30:$J$30),Pd_Calculations!Y27-SUM($H$30:$J$30),"LLD")</f>
        <v>9.5811899200547057E-2</v>
      </c>
      <c r="I22">
        <f>IF(Pd_Calculations!Y27&gt;SUM($H$30:$J$30),(Pd_Calculations!Z27^2+$H$31^2+$I$31^2+$J$31^2)^0.5,"LLD")</f>
        <v>5.1175590671254682E-3</v>
      </c>
      <c r="J22" s="12">
        <f>IF(Pd_Calculations!Y27&gt;SUM($H$30:$J$30),I22/H22,"LLD")</f>
        <v>5.3412562633934811E-2</v>
      </c>
      <c r="K22">
        <f>IF(Pd_Calculations!AB27&gt;SUM($K$30:$M$30),Pd_Calculations!AB27-SUM($K$30:$M$30),"LLD")</f>
        <v>0.1245292995211473</v>
      </c>
      <c r="L22">
        <f>IF(Pd_Calculations!AB27&gt;SUM($K$30:$M$30),(Pd_Calculations!AC27^2+$K$31^2+$L$31^2+$M$31^2)^0.5,"LLD")</f>
        <v>5.7073670795374388E-3</v>
      </c>
      <c r="M22" s="69">
        <f>IF(Pd_Calculations!AB27&gt;SUM($K$30:$M$30),L22/K22,"LLD")</f>
        <v>4.5831519983521835E-2</v>
      </c>
      <c r="O22">
        <f t="shared" si="0"/>
        <v>2.644538054804669E-6</v>
      </c>
      <c r="P22">
        <f t="shared" si="1"/>
        <v>2.058208075426438E-5</v>
      </c>
      <c r="Q22">
        <f t="shared" si="2"/>
        <v>2.6189410805518092E-5</v>
      </c>
      <c r="R22">
        <f t="shared" si="3"/>
        <v>3.2574038980587716E-5</v>
      </c>
      <c r="T22">
        <f t="shared" si="4"/>
        <v>0.29812748423728175</v>
      </c>
      <c r="U22">
        <f t="shared" si="5"/>
        <v>9.0548367514370377E-3</v>
      </c>
      <c r="V22" s="12">
        <f t="shared" si="6"/>
        <v>3.0372364945159602E-2</v>
      </c>
    </row>
    <row r="23" spans="1:22" x14ac:dyDescent="0.25">
      <c r="A23" t="str">
        <f>Pd_Calculations!B28</f>
        <v>94G</v>
      </c>
      <c r="B23">
        <f>IF(Pd_Calculations!S28&gt;SUM($B$30:$D$30),Pd_Calculations!S28-SUM($B$30:$D$30),"LLD")</f>
        <v>9.4596285465085708E-2</v>
      </c>
      <c r="C23">
        <f>IF(Pd_Calculations!S28&gt;SUM($B$30:$D$30),(Pd_Calculations!T28^2+$B$31^2+$C$31^2+$D$31^2)^0.5,"LLD")</f>
        <v>7.6265721448607517E-3</v>
      </c>
      <c r="D23" s="12">
        <f>IF(Pd_Calculations!S28&gt;SUM($B$30:$D$30),C23/B23,"LLD")</f>
        <v>8.0622321556966664E-2</v>
      </c>
      <c r="E23" s="13">
        <f>IF(Pd_Calculations!V28&gt;SUM($E$30:$G$30),Pd_Calculations!V28-SUM($E$30:$G$30),"LLD")</f>
        <v>0.25183363008140353</v>
      </c>
      <c r="F23">
        <f>IF(Pd_Calculations!V28&gt;SUM($E$30:$G$30),(Pd_Calculations!W28^2+$E$31^2+$F$31^2+$G$31^2)^0.5,"LLD")</f>
        <v>1.4106923340347036E-2</v>
      </c>
      <c r="G23" s="12">
        <f>IF(Pd_Calculations!V28&gt;SUM($E$30:$G$30),F23/E23,"LLD")</f>
        <v>5.6016836733787573E-2</v>
      </c>
      <c r="H23" s="13">
        <f>IF(Pd_Calculations!Y28&gt;SUM($H$30:$J$30),Pd_Calculations!Y28-SUM($H$30:$J$30),"LLD")</f>
        <v>0.21628198727950765</v>
      </c>
      <c r="I23">
        <f>IF(Pd_Calculations!Y28&gt;SUM($H$30:$J$30),(Pd_Calculations!Z28^2+$H$31^2+$I$31^2+$J$31^2)^0.5,"LLD")</f>
        <v>1.2093085249114125E-2</v>
      </c>
      <c r="J23" s="12">
        <f>IF(Pd_Calculations!Y28&gt;SUM($H$30:$J$30),I23/H23,"LLD")</f>
        <v>5.5913510880986457E-2</v>
      </c>
      <c r="K23">
        <f>IF(Pd_Calculations!AB28&gt;SUM($K$30:$M$30),Pd_Calculations!AB28-SUM($K$30:$M$30),"LLD")</f>
        <v>0.15839494349358682</v>
      </c>
      <c r="L23">
        <f>IF(Pd_Calculations!AB28&gt;SUM($K$30:$M$30),(Pd_Calculations!AC28^2+$K$31^2+$L$31^2+$M$31^2)^0.5,"LLD")</f>
        <v>9.4067981196930828E-3</v>
      </c>
      <c r="M23" s="69">
        <f>IF(Pd_Calculations!AB28&gt;SUM($K$30:$M$30),L23/K23,"LLD")</f>
        <v>5.9388247580478795E-2</v>
      </c>
      <c r="O23">
        <f t="shared" si="0"/>
        <v>5.816460268076593E-5</v>
      </c>
      <c r="P23">
        <f t="shared" si="1"/>
        <v>1.9900528613042795E-4</v>
      </c>
      <c r="Q23">
        <f t="shared" si="2"/>
        <v>1.4624271084234165E-4</v>
      </c>
      <c r="R23">
        <f t="shared" si="3"/>
        <v>8.8487850864661316E-5</v>
      </c>
      <c r="T23">
        <f t="shared" si="4"/>
        <v>0.72110684631958366</v>
      </c>
      <c r="U23">
        <f t="shared" si="5"/>
        <v>2.2178828880673497E-2</v>
      </c>
      <c r="V23" s="12">
        <f t="shared" si="6"/>
        <v>3.075664722068687E-2</v>
      </c>
    </row>
    <row r="24" spans="1:22" x14ac:dyDescent="0.25">
      <c r="A24" t="str">
        <f>Pd_Calculations!B29</f>
        <v>47G</v>
      </c>
      <c r="B24">
        <f>IF(Pd_Calculations!S29&gt;SUM($B$30:$D$30),Pd_Calculations!S29-SUM($B$30:$D$30),"LLD")</f>
        <v>5.887475349096188E-4</v>
      </c>
      <c r="C24">
        <f>IF(Pd_Calculations!S29&gt;SUM($B$30:$D$30),(Pd_Calculations!T29^2+$B$31^2+$C$31^2+$D$31^2)^0.5,"LLD")</f>
        <v>2.641901448880923E-5</v>
      </c>
      <c r="D24" s="12">
        <f>IF(Pd_Calculations!S29&gt;SUM($B$30:$D$30),C24/B24,"LLD")</f>
        <v>4.487324858670521E-2</v>
      </c>
      <c r="E24" s="13">
        <f>IF(Pd_Calculations!V29&gt;SUM($E$30:$G$30),Pd_Calculations!V29-SUM($E$30:$G$30),"LLD")</f>
        <v>2.2127434537646271E-3</v>
      </c>
      <c r="F24">
        <f>IF(Pd_Calculations!V29&gt;SUM($E$30:$G$30),(Pd_Calculations!W29^2+$E$31^2+$F$31^2+$G$31^2)^0.5,"LLD")</f>
        <v>5.2212774915773559E-5</v>
      </c>
      <c r="G24" s="12">
        <f>IF(Pd_Calculations!V29&gt;SUM($E$30:$G$30),F24/E24,"LLD")</f>
        <v>2.3596397868420726E-2</v>
      </c>
      <c r="H24" s="13">
        <f>IF(Pd_Calculations!Y29&gt;SUM($H$30:$J$30),Pd_Calculations!Y29-SUM($H$30:$J$30),"LLD")</f>
        <v>2.1676071575546722E-3</v>
      </c>
      <c r="I24">
        <f>IF(Pd_Calculations!Y29&gt;SUM($H$30:$J$30),(Pd_Calculations!Z29^2+$H$31^2+$I$31^2+$J$31^2)^0.5,"LLD")</f>
        <v>4.7737857429312854E-5</v>
      </c>
      <c r="J24" s="12">
        <f>IF(Pd_Calculations!Y29&gt;SUM($H$30:$J$30),I24/H24,"LLD")</f>
        <v>2.2023297562445327E-2</v>
      </c>
      <c r="K24">
        <f>IF(Pd_Calculations!AB29&gt;SUM($K$30:$M$30),Pd_Calculations!AB29-SUM($K$30:$M$30),"LLD")</f>
        <v>3.6440023663191798E-3</v>
      </c>
      <c r="L24">
        <f>IF(Pd_Calculations!AB29&gt;SUM($K$30:$M$30),(Pd_Calculations!AC29^2+$K$31^2+$L$31^2+$M$31^2)^0.5,"LLD")</f>
        <v>6.2068861240758088E-5</v>
      </c>
      <c r="M24" s="69">
        <f>IF(Pd_Calculations!AB29&gt;SUM($K$30:$M$30),L24/K24,"LLD")</f>
        <v>1.7033156129219004E-2</v>
      </c>
      <c r="O24">
        <f t="shared" si="0"/>
        <v>6.9796432655991195E-10</v>
      </c>
      <c r="P24">
        <f t="shared" si="1"/>
        <v>2.7261738644052324E-9</v>
      </c>
      <c r="Q24">
        <f t="shared" si="2"/>
        <v>2.2789030319414005E-9</v>
      </c>
      <c r="R24">
        <f t="shared" si="3"/>
        <v>3.8525435357244813E-9</v>
      </c>
      <c r="T24">
        <f t="shared" si="4"/>
        <v>8.613100512548098E-3</v>
      </c>
      <c r="U24">
        <f t="shared" si="5"/>
        <v>9.775267136314499E-5</v>
      </c>
      <c r="V24" s="12">
        <f t="shared" si="6"/>
        <v>1.1349301128058688E-2</v>
      </c>
    </row>
    <row r="25" spans="1:22" x14ac:dyDescent="0.25">
      <c r="A25" t="str">
        <f>Pd_Calculations!B30</f>
        <v>48G</v>
      </c>
      <c r="B25">
        <f>IF(Pd_Calculations!S30&gt;SUM($B$30:$D$30),Pd_Calculations!S30-SUM($B$30:$D$30),"LLD")</f>
        <v>1.4644012988887818E-4</v>
      </c>
      <c r="C25">
        <f>IF(Pd_Calculations!S30&gt;SUM($B$30:$D$30),(Pd_Calculations!T30^2+$B$31^2+$C$31^2+$D$31^2)^0.5,"LLD")</f>
        <v>1.2993607678452425E-5</v>
      </c>
      <c r="D25" s="12">
        <f>IF(Pd_Calculations!S30&gt;SUM($B$30:$D$30),C25/B25,"LLD")</f>
        <v>8.8729828963633434E-2</v>
      </c>
      <c r="E25" s="13">
        <f>IF(Pd_Calculations!V30&gt;SUM($E$30:$G$30),Pd_Calculations!V30-SUM($E$30:$G$30),"LLD")</f>
        <v>2.0639222644248576E-3</v>
      </c>
      <c r="F25">
        <f>IF(Pd_Calculations!V30&gt;SUM($E$30:$G$30),(Pd_Calculations!W30^2+$E$31^2+$F$31^2+$G$31^2)^0.5,"LLD")</f>
        <v>5.0104499925708483E-5</v>
      </c>
      <c r="G25" s="12">
        <f>IF(Pd_Calculations!V30&gt;SUM($E$30:$G$30),F25/E25,"LLD")</f>
        <v>2.4276350320621615E-2</v>
      </c>
      <c r="H25" s="13">
        <f>IF(Pd_Calculations!Y30&gt;SUM($H$30:$J$30),Pd_Calculations!Y30-SUM($H$30:$J$30),"LLD")</f>
        <v>7.3856499493325778E-4</v>
      </c>
      <c r="I25">
        <f>IF(Pd_Calculations!Y30&gt;SUM($H$30:$J$30),(Pd_Calculations!Z30^2+$H$31^2+$I$31^2+$J$31^2)^0.5,"LLD")</f>
        <v>2.6700350913431266E-5</v>
      </c>
      <c r="J25" s="12">
        <f>IF(Pd_Calculations!Y30&gt;SUM($H$30:$J$30),I25/H25,"LLD")</f>
        <v>3.6151660445055495E-2</v>
      </c>
      <c r="K25">
        <f>IF(Pd_Calculations!AB30&gt;SUM($K$30:$M$30),Pd_Calculations!AB30-SUM($K$30:$M$30),"LLD")</f>
        <v>1.2347766744717603E-3</v>
      </c>
      <c r="L25">
        <f>IF(Pd_Calculations!AB30&gt;SUM($K$30:$M$30),(Pd_Calculations!AC30^2+$K$31^2+$L$31^2+$M$31^2)^0.5,"LLD")</f>
        <v>3.3329178790535503E-5</v>
      </c>
      <c r="M25" s="69">
        <f>IF(Pd_Calculations!AB30&gt;SUM($K$30:$M$30),L25/K25,"LLD")</f>
        <v>2.6992070290600353E-2</v>
      </c>
      <c r="O25">
        <f t="shared" si="0"/>
        <v>1.688338405015378E-10</v>
      </c>
      <c r="P25">
        <f t="shared" si="1"/>
        <v>2.5104609128053212E-9</v>
      </c>
      <c r="Q25">
        <f t="shared" si="2"/>
        <v>7.1290873890036982E-10</v>
      </c>
      <c r="R25">
        <f t="shared" si="3"/>
        <v>1.1108341588514815E-9</v>
      </c>
      <c r="T25">
        <f t="shared" si="4"/>
        <v>4.1837040637187541E-3</v>
      </c>
      <c r="U25">
        <f t="shared" si="5"/>
        <v>6.7104676819568327E-5</v>
      </c>
      <c r="V25" s="12">
        <f t="shared" si="6"/>
        <v>1.6039537165523421E-2</v>
      </c>
    </row>
    <row r="26" spans="1:22" x14ac:dyDescent="0.25">
      <c r="A26" t="str">
        <f>Pd_Calculations!B31</f>
        <v>49G</v>
      </c>
      <c r="B26">
        <f>IF(Pd_Calculations!S31&gt;SUM($B$30:$D$30),Pd_Calculations!S31-SUM($B$30:$D$30),"LLD")</f>
        <v>1.5314514100252559E-4</v>
      </c>
      <c r="C26">
        <f>IF(Pd_Calculations!S31&gt;SUM($B$30:$D$30),(Pd_Calculations!T31^2+$B$31^2+$C$31^2+$D$31^2)^0.5,"LLD")</f>
        <v>1.3588542231627021E-5</v>
      </c>
      <c r="D26" s="12">
        <f>IF(Pd_Calculations!S31&gt;SUM($B$30:$D$30),C26/B26,"LLD")</f>
        <v>8.8729829380632633E-2</v>
      </c>
      <c r="E26" s="13">
        <f>IF(Pd_Calculations!V31&gt;SUM($E$30:$G$30),Pd_Calculations!V31-SUM($E$30:$G$30),"LLD")</f>
        <v>1.3310271870612981E-3</v>
      </c>
      <c r="F26">
        <f>IF(Pd_Calculations!V31&gt;SUM($E$30:$G$30),(Pd_Calculations!W31^2+$E$31^2+$F$31^2+$G$31^2)^0.5,"LLD")</f>
        <v>4.0220428856406074E-5</v>
      </c>
      <c r="G26" s="12">
        <f>IF(Pd_Calculations!V31&gt;SUM($E$30:$G$30),F26/E26,"LLD")</f>
        <v>3.0217586272754164E-2</v>
      </c>
      <c r="H26" s="13">
        <f>IF(Pd_Calculations!Y31&gt;SUM($H$30:$J$30),Pd_Calculations!Y31-SUM($H$30:$J$30),"LLD")</f>
        <v>6.1790516233172854E-4</v>
      </c>
      <c r="I26">
        <f>IF(Pd_Calculations!Y31&gt;SUM($H$30:$J$30),(Pd_Calculations!Z31^2+$H$31^2+$I$31^2+$J$31^2)^0.5,"LLD")</f>
        <v>2.4865924281838268E-5</v>
      </c>
      <c r="J26" s="12">
        <f>IF(Pd_Calculations!Y31&gt;SUM($H$30:$J$30),I26/H26,"LLD")</f>
        <v>4.0242298976762306E-2</v>
      </c>
      <c r="K26">
        <f>IF(Pd_Calculations!AB31&gt;SUM($K$30:$M$30),Pd_Calculations!AB31-SUM($K$30:$M$30),"LLD")</f>
        <v>1.5385857385086569E-3</v>
      </c>
      <c r="L26">
        <f>IF(Pd_Calculations!AB31&gt;SUM($K$30:$M$30),(Pd_Calculations!AC31^2+$K$31^2+$L$31^2+$M$31^2)^0.5,"LLD")</f>
        <v>3.8363395271344625E-5</v>
      </c>
      <c r="M26" s="69">
        <f>IF(Pd_Calculations!AB31&gt;SUM($K$30:$M$30),L26/K26,"LLD")</f>
        <v>2.4934193988129686E-2</v>
      </c>
      <c r="O26">
        <f t="shared" si="0"/>
        <v>1.8464847998071106E-10</v>
      </c>
      <c r="P26">
        <f t="shared" si="1"/>
        <v>1.6176828973932224E-9</v>
      </c>
      <c r="Q26">
        <f t="shared" si="2"/>
        <v>6.1831419039011395E-10</v>
      </c>
      <c r="R26">
        <f t="shared" si="3"/>
        <v>1.4717500967454271E-9</v>
      </c>
      <c r="T26">
        <f t="shared" si="4"/>
        <v>3.6406632289042091E-3</v>
      </c>
      <c r="U26">
        <f t="shared" si="5"/>
        <v>6.2389066866795455E-5</v>
      </c>
      <c r="V26" s="12">
        <f t="shared" si="6"/>
        <v>1.7136731124008337E-2</v>
      </c>
    </row>
    <row r="27" spans="1:22" x14ac:dyDescent="0.25">
      <c r="A27" t="str">
        <f>Pd_Calculations!B32</f>
        <v>50G</v>
      </c>
      <c r="B27">
        <f>IF(Pd_Calculations!S32&gt;SUM($B$30:$D$30),Pd_Calculations!S32-SUM($B$30:$D$30),"LLD")</f>
        <v>9.1825087772546058E-4</v>
      </c>
      <c r="C27">
        <f>IF(Pd_Calculations!S32&gt;SUM($B$30:$D$30),(Pd_Calculations!T32^2+$B$31^2+$C$31^2+$D$31^2)^0.5,"LLD")</f>
        <v>3.3241230028789706E-5</v>
      </c>
      <c r="D27" s="12">
        <f>IF(Pd_Calculations!S32&gt;SUM($B$30:$D$30),C27/B27,"LLD")</f>
        <v>3.6200597064638143E-2</v>
      </c>
      <c r="E27" s="13">
        <f>IF(Pd_Calculations!V32&gt;SUM($E$30:$G$30),Pd_Calculations!V32-SUM($E$30:$G$30),"LLD")</f>
        <v>2.1397104341605161E-3</v>
      </c>
      <c r="F27">
        <f>IF(Pd_Calculations!V32&gt;SUM($E$30:$G$30),(Pd_Calculations!W32^2+$E$31^2+$F$31^2+$G$31^2)^0.5,"LLD")</f>
        <v>5.1198615938925697E-5</v>
      </c>
      <c r="G27" s="12">
        <f>IF(Pd_Calculations!V32&gt;SUM($E$30:$G$30),F27/E27,"LLD")</f>
        <v>2.3927824588569957E-2</v>
      </c>
      <c r="H27" s="13">
        <f>IF(Pd_Calculations!Y32&gt;SUM($H$30:$J$30),Pd_Calculations!Y32-SUM($H$30:$J$30),"LLD")</f>
        <v>2.9639436364636384E-3</v>
      </c>
      <c r="I27">
        <f>IF(Pd_Calculations!Y32&gt;SUM($H$30:$J$30),(Pd_Calculations!Z32^2+$H$31^2+$I$31^2+$J$31^2)^0.5,"LLD")</f>
        <v>5.6969682441685163E-5</v>
      </c>
      <c r="J27" s="12">
        <f>IF(Pd_Calculations!Y32&gt;SUM($H$30:$J$30),I27/H27,"LLD")</f>
        <v>1.9220906140326351E-2</v>
      </c>
      <c r="K27">
        <f>IF(Pd_Calculations!AB32&gt;SUM($K$30:$M$30),Pd_Calculations!AB32-SUM($K$30:$M$30),"LLD")</f>
        <v>1.2124661424780588E-3</v>
      </c>
      <c r="L27">
        <f>IF(Pd_Calculations!AB32&gt;SUM($K$30:$M$30),(Pd_Calculations!AC32^2+$K$31^2+$L$31^2+$M$31^2)^0.5,"LLD")</f>
        <v>3.3050028923741546E-5</v>
      </c>
      <c r="M27" s="69">
        <f>IF(Pd_Calculations!AB32&gt;SUM($K$30:$M$30),L27/K27,"LLD")</f>
        <v>2.7258516972847868E-2</v>
      </c>
      <c r="O27">
        <f t="shared" si="0"/>
        <v>1.1049793738269105E-9</v>
      </c>
      <c r="P27">
        <f t="shared" si="1"/>
        <v>2.6212982740616164E-9</v>
      </c>
      <c r="Q27">
        <f t="shared" si="2"/>
        <v>3.2455447175064507E-9</v>
      </c>
      <c r="R27">
        <f t="shared" si="3"/>
        <v>1.0923044118601526E-9</v>
      </c>
      <c r="T27">
        <f t="shared" si="4"/>
        <v>7.2343710908276742E-3</v>
      </c>
      <c r="U27">
        <f t="shared" si="5"/>
        <v>8.9800483168272157E-5</v>
      </c>
      <c r="V27" s="12">
        <f t="shared" si="6"/>
        <v>1.2413032458637426E-2</v>
      </c>
    </row>
    <row r="28" spans="1:22" x14ac:dyDescent="0.25">
      <c r="A28" t="str">
        <f>Pd_Calculations!B33</f>
        <v>51G</v>
      </c>
      <c r="B28">
        <f>IF(Pd_Calculations!S33&gt;SUM($B$30:$D$30),Pd_Calculations!S33-SUM($B$30:$D$30),"LLD")</f>
        <v>1.0410834939447145E-3</v>
      </c>
      <c r="C28">
        <f>IF(Pd_Calculations!S33&gt;SUM($B$30:$D$30),(Pd_Calculations!T33^2+$B$31^2+$C$31^2+$D$31^2)^0.5,"LLD")</f>
        <v>3.5710150487402591E-5</v>
      </c>
      <c r="D28" s="12">
        <f>IF(Pd_Calculations!S33&gt;SUM($B$30:$D$30),C28/B28,"LLD")</f>
        <v>3.4300947709866331E-2</v>
      </c>
      <c r="E28" s="13">
        <f>IF(Pd_Calculations!V33&gt;SUM($E$30:$G$30),Pd_Calculations!V33-SUM($E$30:$G$30),"LLD")</f>
        <v>1.187813940997091E-3</v>
      </c>
      <c r="F28">
        <f>IF(Pd_Calculations!V33&gt;SUM($E$30:$G$30),(Pd_Calculations!W33^2+$E$31^2+$F$31^2+$G$31^2)^0.5,"LLD")</f>
        <v>3.732886569035016E-5</v>
      </c>
      <c r="G28" s="12">
        <f>IF(Pd_Calculations!V33&gt;SUM($E$30:$G$30),F28/E28,"LLD")</f>
        <v>3.1426525991953801E-2</v>
      </c>
      <c r="H28" s="13">
        <f>IF(Pd_Calculations!Y33&gt;SUM($H$30:$J$30),Pd_Calculations!Y33-SUM($H$30:$J$30),"LLD")</f>
        <v>4.0805155307353132E-3</v>
      </c>
      <c r="I28">
        <f>IF(Pd_Calculations!Y33&gt;SUM($H$30:$J$30),(Pd_Calculations!Z33^2+$H$31^2+$I$31^2+$J$31^2)^0.5,"LLD")</f>
        <v>6.9094949332779582E-5</v>
      </c>
      <c r="J28" s="12">
        <f>IF(Pd_Calculations!Y33&gt;SUM($H$30:$J$30),I28/H28,"LLD")</f>
        <v>1.6932897035274511E-2</v>
      </c>
      <c r="K28">
        <f>IF(Pd_Calculations!AB33&gt;SUM($K$30:$M$30),Pd_Calculations!AB33-SUM($K$30:$M$30),"LLD")</f>
        <v>2.1078760322752856E-3</v>
      </c>
      <c r="L28">
        <f>IF(Pd_Calculations!AB33&gt;SUM($K$30:$M$30),(Pd_Calculations!AC33^2+$K$31^2+$L$31^2+$M$31^2)^0.5,"LLD")</f>
        <v>4.5171980049565582E-5</v>
      </c>
      <c r="M28" s="69">
        <f>IF(Pd_Calculations!AB33&gt;SUM($K$30:$M$30),L28/K28,"LLD")</f>
        <v>2.1430093306201693E-2</v>
      </c>
      <c r="O28">
        <f t="shared" si="0"/>
        <v>1.2752148478329395E-9</v>
      </c>
      <c r="P28">
        <f t="shared" si="1"/>
        <v>1.3934442137282013E-9</v>
      </c>
      <c r="Q28">
        <f t="shared" si="2"/>
        <v>4.7741120232993779E-9</v>
      </c>
      <c r="R28">
        <f t="shared" si="3"/>
        <v>2.0405077815983508E-9</v>
      </c>
      <c r="T28">
        <f t="shared" si="4"/>
        <v>8.4172889979524032E-3</v>
      </c>
      <c r="U28">
        <f t="shared" si="5"/>
        <v>9.7382128064952804E-5</v>
      </c>
      <c r="V28" s="12">
        <f t="shared" si="6"/>
        <v>1.1569298391517989E-2</v>
      </c>
    </row>
    <row r="29" spans="1:22" ht="15.75" thickBot="1" x14ac:dyDescent="0.3">
      <c r="A29" s="44" t="str">
        <f>Pd_Calculations!B34</f>
        <v>52G</v>
      </c>
      <c r="B29" s="44">
        <f>IF(Pd_Calculations!S34&gt;SUM($B$30:$D$30),Pd_Calculations!S34-SUM($B$30:$D$30),"LLD")</f>
        <v>9.0269343459230169E-4</v>
      </c>
      <c r="C29" s="44">
        <f>IF(Pd_Calculations!S34&gt;SUM($B$30:$D$30),(Pd_Calculations!T34^2+$B$31^2+$C$31^2+$D$31^2)^0.5,"LLD")</f>
        <v>3.3321092285874399E-5</v>
      </c>
      <c r="D29" s="65">
        <f>IF(Pd_Calculations!S34&gt;SUM($B$30:$D$30),C29/B29,"LLD")</f>
        <v>3.6912966250744646E-2</v>
      </c>
      <c r="E29" s="66">
        <f>IF(Pd_Calculations!V34&gt;SUM($E$30:$G$30),Pd_Calculations!V34-SUM($E$30:$G$30),"LLD")</f>
        <v>4.4528858152244957E-3</v>
      </c>
      <c r="F29" s="44">
        <f>IF(Pd_Calculations!V34&gt;SUM($E$30:$G$30),(Pd_Calculations!W34^2+$E$31^2+$F$31^2+$G$31^2)^0.5,"LLD")</f>
        <v>7.9221947261202806E-5</v>
      </c>
      <c r="G29" s="65">
        <f>IF(Pd_Calculations!V34&gt;SUM($E$30:$G$30),F29/E29,"LLD")</f>
        <v>1.7791147257884214E-2</v>
      </c>
      <c r="H29" s="66">
        <f>IF(Pd_Calculations!Y34&gt;SUM($H$30:$J$30),Pd_Calculations!Y34-SUM($H$30:$J$30),"LLD")</f>
        <v>9.4089104063699053E-4</v>
      </c>
      <c r="I29" s="44">
        <f>IF(Pd_Calculations!Y34&gt;SUM($H$30:$J$30),(Pd_Calculations!Z34^2+$H$31^2+$I$31^2+$J$31^2)^0.5,"LLD")</f>
        <v>3.0705475149309314E-5</v>
      </c>
      <c r="J29" s="65">
        <f>IF(Pd_Calculations!Y34&gt;SUM($H$30:$J$30),I29/H29,"LLD")</f>
        <v>3.2634464378065997E-2</v>
      </c>
      <c r="K29">
        <f>IF(Pd_Calculations!AB34&gt;SUM($K$30:$M$30),Pd_Calculations!AB34-SUM($K$30:$M$30),"LLD")</f>
        <v>5.3982063604484896E-3</v>
      </c>
      <c r="L29" s="44">
        <f>IF(Pd_Calculations!AB34&gt;SUM($K$30:$M$30),(Pd_Calculations!AC34^2+$K$31^2+$L$31^2+$M$31^2)^0.5,"LLD")</f>
        <v>8.0055498194011684E-5</v>
      </c>
      <c r="M29" s="70">
        <f>IF(Pd_Calculations!AB34&gt;SUM($K$30:$M$30),L29/K29,"LLD")</f>
        <v>1.4830018129829437E-2</v>
      </c>
      <c r="N29" s="44"/>
      <c r="O29" s="44">
        <f t="shared" si="0"/>
        <v>1.1102951911237584E-9</v>
      </c>
      <c r="P29" s="44">
        <f t="shared" si="1"/>
        <v>6.2761169278567988E-9</v>
      </c>
      <c r="Q29" s="44">
        <f t="shared" si="2"/>
        <v>9.4282620414485188E-10</v>
      </c>
      <c r="R29" s="44">
        <f t="shared" si="3"/>
        <v>6.4088827910914083E-9</v>
      </c>
      <c r="S29" s="44"/>
      <c r="T29" s="44">
        <f t="shared" si="4"/>
        <v>1.1694676650902278E-2</v>
      </c>
      <c r="U29" s="44">
        <f t="shared" si="5"/>
        <v>1.2140066356580106E-4</v>
      </c>
      <c r="V29" s="65">
        <f t="shared" si="6"/>
        <v>1.0380848243156398E-2</v>
      </c>
    </row>
    <row r="30" spans="1:22" ht="30.75" thickTop="1" x14ac:dyDescent="0.25">
      <c r="A30" s="41" t="s">
        <v>67</v>
      </c>
      <c r="B30">
        <v>0</v>
      </c>
      <c r="E30" s="36"/>
      <c r="G30">
        <v>0</v>
      </c>
      <c r="H30" s="36">
        <v>0</v>
      </c>
      <c r="I30">
        <v>0</v>
      </c>
      <c r="K30" s="36">
        <v>0</v>
      </c>
      <c r="L30">
        <v>0</v>
      </c>
    </row>
    <row r="31" spans="1:22" ht="15.75" thickBot="1" x14ac:dyDescent="0.3">
      <c r="A31" s="44" t="s">
        <v>68</v>
      </c>
      <c r="B31" s="44">
        <v>0</v>
      </c>
      <c r="C31" s="44"/>
      <c r="D31" s="44"/>
      <c r="E31" s="67"/>
      <c r="F31" s="44"/>
      <c r="G31" s="44">
        <v>0</v>
      </c>
      <c r="H31" s="67">
        <v>0</v>
      </c>
      <c r="I31" s="44">
        <v>0</v>
      </c>
      <c r="J31" s="44"/>
      <c r="K31" s="67">
        <v>0</v>
      </c>
      <c r="L31" s="44">
        <v>0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</row>
    <row r="32" spans="1:22" ht="15.75" thickTop="1" x14ac:dyDescent="0.25">
      <c r="B32" t="s">
        <v>56</v>
      </c>
      <c r="U32" t="s">
        <v>41</v>
      </c>
    </row>
    <row r="33" spans="2:21" x14ac:dyDescent="0.25">
      <c r="B33" t="s">
        <v>57</v>
      </c>
      <c r="N33" s="26"/>
      <c r="U33" t="s">
        <v>42</v>
      </c>
    </row>
    <row r="34" spans="2:21" x14ac:dyDescent="0.25">
      <c r="U3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0" sqref="O10"/>
    </sheetView>
  </sheetViews>
  <sheetFormatPr defaultRowHeight="15" x14ac:dyDescent="0.25"/>
  <cols>
    <col min="1" max="1" width="17" bestFit="1" customWidth="1"/>
  </cols>
  <sheetData>
    <row r="1" spans="1:15" x14ac:dyDescent="0.25">
      <c r="A1" t="str">
        <f>PPB_Pd_Aliquot_Sent!A1</f>
        <v>Sample ID</v>
      </c>
      <c r="B1" s="27" t="str">
        <f>PPB_Pd_Aliquot_Sent!B1</f>
        <v>Pd105</v>
      </c>
      <c r="C1" t="str">
        <f>PPB_Pd_Aliquot_Sent!C1</f>
        <v>±</v>
      </c>
      <c r="D1" t="str">
        <f>PPB_Pd_Aliquot_Sent!D1</f>
        <v>%</v>
      </c>
      <c r="E1" s="27" t="str">
        <f>PPB_Pd_Aliquot_Sent!E1</f>
        <v>Pd107</v>
      </c>
      <c r="F1" t="str">
        <f>PPB_Pd_Aliquot_Sent!F1</f>
        <v>±</v>
      </c>
      <c r="G1" t="str">
        <f>PPB_Pd_Aliquot_Sent!G1</f>
        <v>%</v>
      </c>
      <c r="H1" s="27" t="str">
        <f>PPB_Pd_Aliquot_Sent!H1</f>
        <v>Pd108</v>
      </c>
      <c r="I1" t="str">
        <f>PPB_Pd_Aliquot_Sent!I1</f>
        <v>±</v>
      </c>
      <c r="J1" t="str">
        <f>PPB_Pd_Aliquot_Sent!J1</f>
        <v>%</v>
      </c>
      <c r="K1" s="27" t="str">
        <f>PPB_Pd_Aliquot_Sent!K1</f>
        <v>Pd110</v>
      </c>
      <c r="L1" t="str">
        <f>PPB_Pd_Aliquot_Sent!L1</f>
        <v>±</v>
      </c>
      <c r="M1" t="str">
        <f>PPB_Pd_Aliquot_Sent!M1</f>
        <v>%</v>
      </c>
    </row>
    <row r="2" spans="1:15" x14ac:dyDescent="0.25">
      <c r="A2" t="str">
        <f>PPB_Pd_Aliquot_Sent!A2</f>
        <v>87G Trace</v>
      </c>
      <c r="B2" s="27">
        <f>PPB_Pd_Aliquot_Sent!B2</f>
        <v>0.11805532532773041</v>
      </c>
      <c r="C2">
        <f>PPB_Pd_Aliquot_Sent!C2</f>
        <v>4.5349535391265273E-2</v>
      </c>
      <c r="D2" s="12">
        <f>PPB_Pd_Aliquot_Sent!D2</f>
        <v>0.38413799009381044</v>
      </c>
      <c r="E2" s="27">
        <f>PPB_Pd_Aliquot_Sent!E2</f>
        <v>0.29075425805373128</v>
      </c>
      <c r="F2">
        <f>PPB_Pd_Aliquot_Sent!F2</f>
        <v>4.1049467491378958E-2</v>
      </c>
      <c r="G2" s="12">
        <f>PPB_Pd_Aliquot_Sent!G2</f>
        <v>0.14118268728430119</v>
      </c>
      <c r="H2" s="27">
        <f>PPB_Pd_Aliquot_Sent!H2</f>
        <v>0.27592258299349048</v>
      </c>
      <c r="I2">
        <f>PPB_Pd_Aliquot_Sent!I2</f>
        <v>5.5883443455936911E-2</v>
      </c>
      <c r="J2" s="12">
        <f>PPB_Pd_Aliquot_Sent!J2</f>
        <v>0.2025330541982325</v>
      </c>
      <c r="K2" s="27">
        <f>PPB_Pd_Aliquot_Sent!K2</f>
        <v>0.93085551668659172</v>
      </c>
      <c r="L2">
        <f>PPB_Pd_Aliquot_Sent!L2</f>
        <v>7.8848609033233638E-2</v>
      </c>
      <c r="M2" s="12">
        <f>PPB_Pd_Aliquot_Sent!M2</f>
        <v>8.4705529074906957E-2</v>
      </c>
    </row>
    <row r="3" spans="1:15" x14ac:dyDescent="0.25">
      <c r="A3" t="str">
        <f>PPB_Pd_Aliquot_Sent!A3</f>
        <v>90G Trace</v>
      </c>
      <c r="B3" s="27" t="str">
        <f>PPB_Pd_Aliquot_Sent!B3</f>
        <v>LLD</v>
      </c>
      <c r="C3" t="str">
        <f>PPB_Pd_Aliquot_Sent!C3</f>
        <v>LLD</v>
      </c>
      <c r="D3" s="12" t="str">
        <f>PPB_Pd_Aliquot_Sent!D3</f>
        <v>LLD</v>
      </c>
      <c r="E3" s="27" t="str">
        <f>PPB_Pd_Aliquot_Sent!E3</f>
        <v>LLD</v>
      </c>
      <c r="F3" t="str">
        <f>PPB_Pd_Aliquot_Sent!F3</f>
        <v>LLD</v>
      </c>
      <c r="G3" s="12" t="str">
        <f>PPB_Pd_Aliquot_Sent!G3</f>
        <v>LLD</v>
      </c>
      <c r="H3" s="27" t="str">
        <f>PPB_Pd_Aliquot_Sent!H3</f>
        <v>LLD</v>
      </c>
      <c r="I3" t="str">
        <f>PPB_Pd_Aliquot_Sent!I3</f>
        <v>LLD</v>
      </c>
      <c r="J3" s="12" t="str">
        <f>PPB_Pd_Aliquot_Sent!J3</f>
        <v>LLD</v>
      </c>
      <c r="K3" s="27" t="str">
        <f>PPB_Pd_Aliquot_Sent!K3</f>
        <v>LLD</v>
      </c>
      <c r="L3" t="str">
        <f>PPB_Pd_Aliquot_Sent!L3</f>
        <v>LLD</v>
      </c>
      <c r="M3" s="12" t="str">
        <f>PPB_Pd_Aliquot_Sent!M3</f>
        <v>LLD</v>
      </c>
    </row>
    <row r="4" spans="1:15" x14ac:dyDescent="0.25">
      <c r="A4" t="str">
        <f>PPB_Pd_Aliquot_Sent!A4</f>
        <v>93G Trace</v>
      </c>
      <c r="B4" s="27" t="str">
        <f>IF(PPB_Pd_Aliquot_Sent!B4="LLD","LLD",PPB_Pd_Aliquot_Sent!B4*12)</f>
        <v>LLD</v>
      </c>
      <c r="C4" t="str">
        <f>IF(PPB_Pd_Aliquot_Sent!C4="LLD","LLD",PPB_Pd_Aliquot_Sent!C4*12)</f>
        <v>LLD</v>
      </c>
      <c r="D4" s="12" t="str">
        <f>IF(PPB_Pd_Aliquot_Sent!D4="LLD","LLD",PPB_Pd_Aliquot_Sent!D4*12)</f>
        <v>LLD</v>
      </c>
      <c r="E4" s="27">
        <f>IF(PPB_Pd_Aliquot_Sent!E4="LLD","LLD",PPB_Pd_Aliquot_Sent!E4*12)</f>
        <v>4.6514316459005944E-2</v>
      </c>
      <c r="F4">
        <f>IF(PPB_Pd_Aliquot_Sent!F4="LLD","LLD",PPB_Pd_Aliquot_Sent!F4*12)</f>
        <v>0.48005600333114179</v>
      </c>
      <c r="G4" s="12">
        <f>IF(PPB_Pd_Aliquot_Sent!G4="LLD","LLD",PPB_Pd_Aliquot_Sent!G4*12)</f>
        <v>123.8472900069531</v>
      </c>
      <c r="H4" s="27" t="str">
        <f>IF(PPB_Pd_Aliquot_Sent!H4="LLD","LLD",PPB_Pd_Aliquot_Sent!H4*12)</f>
        <v>LLD</v>
      </c>
      <c r="I4" t="str">
        <f>IF(PPB_Pd_Aliquot_Sent!I4="LLD","LLD",PPB_Pd_Aliquot_Sent!I4*12)</f>
        <v>LLD</v>
      </c>
      <c r="J4" s="12" t="str">
        <f>IF(PPB_Pd_Aliquot_Sent!J4="LLD","LLD",PPB_Pd_Aliquot_Sent!J4*12)</f>
        <v>LLD</v>
      </c>
      <c r="K4" s="27" t="str">
        <f>IF(PPB_Pd_Aliquot_Sent!K4="LLD","LLD",PPB_Pd_Aliquot_Sent!K4*12)</f>
        <v>LLD</v>
      </c>
      <c r="L4" t="str">
        <f>IF(PPB_Pd_Aliquot_Sent!L4="LLD","LLD",PPB_Pd_Aliquot_Sent!L4*12)</f>
        <v>LLD</v>
      </c>
      <c r="M4" s="12" t="str">
        <f>IF(PPB_Pd_Aliquot_Sent!M4="LLD","LLD",PPB_Pd_Aliquot_Sent!M4*12)</f>
        <v>LLD</v>
      </c>
    </row>
    <row r="5" spans="1:15" x14ac:dyDescent="0.25">
      <c r="A5" t="str">
        <f>PPB_Pd_Aliquot_Sent!A5</f>
        <v>96G Trace</v>
      </c>
      <c r="B5" s="27" t="str">
        <f>IF(PPB_Pd_Aliquot_Sent!B5="LLD","LLD",PPB_Pd_Aliquot_Sent!B5*144)</f>
        <v>LLD</v>
      </c>
      <c r="C5" t="str">
        <f>IF(PPB_Pd_Aliquot_Sent!C5="LLD","LLD",PPB_Pd_Aliquot_Sent!C5*144)</f>
        <v>LLD</v>
      </c>
      <c r="D5" s="12" t="str">
        <f>IF(PPB_Pd_Aliquot_Sent!D5="LLD","LLD",PPB_Pd_Aliquot_Sent!D5*144)</f>
        <v>LLD</v>
      </c>
      <c r="E5" s="27">
        <f>IF(PPB_Pd_Aliquot_Sent!E5="LLD","LLD",PPB_Pd_Aliquot_Sent!E5*144)</f>
        <v>0.24872846906373713</v>
      </c>
      <c r="F5">
        <f>IF(PPB_Pd_Aliquot_Sent!F5="LLD","LLD",PPB_Pd_Aliquot_Sent!F5*144)</f>
        <v>5.760632449771018</v>
      </c>
      <c r="G5" s="12">
        <f>IF(PPB_Pd_Aliquot_Sent!G5="LLD","LLD",PPB_Pd_Aliquot_Sent!G5*144)</f>
        <v>3335.0869560269666</v>
      </c>
      <c r="H5" s="27">
        <f>IF(PPB_Pd_Aliquot_Sent!H5="LLD","LLD",PPB_Pd_Aliquot_Sent!H5*144)</f>
        <v>0.60620237232564289</v>
      </c>
      <c r="I5">
        <f>IF(PPB_Pd_Aliquot_Sent!I5="LLD","LLD",PPB_Pd_Aliquot_Sent!I5*144)</f>
        <v>7.9538579639293543</v>
      </c>
      <c r="J5" s="12">
        <f>IF(PPB_Pd_Aliquot_Sent!J5="LLD","LLD",PPB_Pd_Aliquot_Sent!J5*144)</f>
        <v>1889.3946957214462</v>
      </c>
      <c r="K5" s="27" t="str">
        <f>IF(PPB_Pd_Aliquot_Sent!K5="LLD","LLD",PPB_Pd_Aliquot_Sent!K5*144)</f>
        <v>LLD</v>
      </c>
      <c r="L5" t="str">
        <f>IF(PPB_Pd_Aliquot_Sent!L5="LLD","LLD",PPB_Pd_Aliquot_Sent!L5*144)</f>
        <v>LLD</v>
      </c>
      <c r="M5" s="12" t="str">
        <f>IF(PPB_Pd_Aliquot_Sent!M5="LLD","LLD",PPB_Pd_Aliquot_Sent!M5*144)</f>
        <v>LLD</v>
      </c>
    </row>
    <row r="6" spans="1:15" x14ac:dyDescent="0.25">
      <c r="A6" t="str">
        <f>PPB_Pd_Aliquot_Sent!A6</f>
        <v>30G Trace Waste</v>
      </c>
      <c r="B6" s="27">
        <f>PPB_Pd_Aliquot_Sent!B6</f>
        <v>0.19082340216072086</v>
      </c>
      <c r="C6">
        <f>PPB_Pd_Aliquot_Sent!C6</f>
        <v>4.5265503282550086E-2</v>
      </c>
      <c r="D6" s="12">
        <f>PPB_Pd_Aliquot_Sent!D6</f>
        <v>0.23721148858055288</v>
      </c>
      <c r="E6" s="27">
        <f>PPB_Pd_Aliquot_Sent!E6</f>
        <v>0.25482581535003462</v>
      </c>
      <c r="F6">
        <f>PPB_Pd_Aliquot_Sent!F6</f>
        <v>4.0396684166138765E-2</v>
      </c>
      <c r="G6" s="12">
        <f>PPB_Pd_Aliquot_Sent!G6</f>
        <v>0.15852665520033341</v>
      </c>
      <c r="H6" s="27">
        <f>PPB_Pd_Aliquot_Sent!H6</f>
        <v>0.22172723719104892</v>
      </c>
      <c r="I6">
        <f>PPB_Pd_Aliquot_Sent!I6</f>
        <v>5.5446136463922248E-2</v>
      </c>
      <c r="J6" s="12">
        <f>PPB_Pd_Aliquot_Sent!J6</f>
        <v>0.25006461617589937</v>
      </c>
      <c r="K6" s="27">
        <f>PPB_Pd_Aliquot_Sent!K6</f>
        <v>0.72045910647488542</v>
      </c>
      <c r="L6">
        <f>PPB_Pd_Aliquot_Sent!L6</f>
        <v>7.6964163621517465E-2</v>
      </c>
      <c r="M6" s="12">
        <f>PPB_Pd_Aliquot_Sent!M6</f>
        <v>0.1068265539706942</v>
      </c>
    </row>
    <row r="7" spans="1:15" x14ac:dyDescent="0.25">
      <c r="A7" t="str">
        <f>PPB_Pd_Aliquot_Sent!A7</f>
        <v>30G Trace Original</v>
      </c>
      <c r="B7" s="27">
        <f>PPB_Pd_Aliquot_Sent!B7</f>
        <v>0.21964326367458759</v>
      </c>
      <c r="C7">
        <f>PPB_Pd_Aliquot_Sent!C7</f>
        <v>4.5206360244880971E-2</v>
      </c>
      <c r="D7" s="12">
        <f>PPB_Pd_Aliquot_Sent!D7</f>
        <v>0.20581719415650479</v>
      </c>
      <c r="E7" s="27">
        <f>PPB_Pd_Aliquot_Sent!E7</f>
        <v>0.39988500428532736</v>
      </c>
      <c r="F7">
        <f>PPB_Pd_Aliquot_Sent!F7</f>
        <v>4.047939829917381E-2</v>
      </c>
      <c r="G7" s="12">
        <f>PPB_Pd_Aliquot_Sent!G7</f>
        <v>0.1012275975977604</v>
      </c>
      <c r="H7" s="27">
        <f>PPB_Pd_Aliquot_Sent!H7</f>
        <v>0.30635132845452312</v>
      </c>
      <c r="I7">
        <f>PPB_Pd_Aliquot_Sent!I7</f>
        <v>5.5443906497909104E-2</v>
      </c>
      <c r="J7" s="12">
        <f>PPB_Pd_Aliquot_Sent!J7</f>
        <v>0.18098144629439586</v>
      </c>
      <c r="K7" s="27">
        <f>PPB_Pd_Aliquot_Sent!K7</f>
        <v>1.0174587848753636</v>
      </c>
      <c r="L7">
        <f>PPB_Pd_Aliquot_Sent!L7</f>
        <v>7.7118629422809115E-2</v>
      </c>
      <c r="M7" s="12">
        <f>PPB_Pd_Aliquot_Sent!M7</f>
        <v>7.5795334974925771E-2</v>
      </c>
    </row>
    <row r="9" spans="1:15" x14ac:dyDescent="0.25">
      <c r="B9">
        <f>B7/(B7-B2)</f>
        <v>2.1620998245347569</v>
      </c>
      <c r="C9" t="e">
        <f>(((D7/B3)^2)+((B7/(B3^2))^2)*D3^2)^0.5</f>
        <v>#VALUE!</v>
      </c>
      <c r="D9" s="12" t="e">
        <f>C9/B9</f>
        <v>#VALUE!</v>
      </c>
      <c r="E9">
        <f>E7/(E7-E2)</f>
        <v>3.6642744422978266</v>
      </c>
      <c r="H9">
        <f>H7/(H7-H2)</f>
        <v>10.067826452025102</v>
      </c>
      <c r="K9">
        <f>K7/(K7-K2)</f>
        <v>11.748503331970994</v>
      </c>
      <c r="O9" t="s">
        <v>69</v>
      </c>
    </row>
    <row r="12" spans="1:15" x14ac:dyDescent="0.25">
      <c r="B12" t="s">
        <v>45</v>
      </c>
    </row>
    <row r="17" spans="2:2" x14ac:dyDescent="0.25">
      <c r="B17" t="s">
        <v>46</v>
      </c>
    </row>
    <row r="18" spans="2:2" x14ac:dyDescent="0.25">
      <c r="B18" t="s">
        <v>47</v>
      </c>
    </row>
    <row r="20" spans="2:2" x14ac:dyDescent="0.25">
      <c r="B20" t="s">
        <v>48</v>
      </c>
    </row>
    <row r="21" spans="2:2" x14ac:dyDescent="0.25">
      <c r="B21" t="s">
        <v>49</v>
      </c>
    </row>
    <row r="23" spans="2:2" x14ac:dyDescent="0.25">
      <c r="B23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Pd_Calculations</vt:lpstr>
      <vt:lpstr>PPB_Pd_Aliquot_Sent</vt:lpstr>
      <vt:lpstr>Pd_Aliquot_Data_Mine</vt:lpstr>
      <vt:lpstr>PPB_Pd_to_Stock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2016-02-29T16:04:06Z</dcterms:modified>
</cp:coreProperties>
</file>