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chool\Research\Calculations\Mass_Spec\Elements\"/>
    </mc:Choice>
  </mc:AlternateContent>
  <bookViews>
    <workbookView xWindow="0" yWindow="0" windowWidth="19170" windowHeight="7560" activeTab="1"/>
  </bookViews>
  <sheets>
    <sheet name="Pm_Calculations" sheetId="1" r:id="rId1"/>
    <sheet name="PPB_Pm_Aliquot_Sent" sheetId="2" r:id="rId2"/>
    <sheet name="PPB_Pm_to_Stock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13" i="1"/>
  <c r="K6" i="1"/>
  <c r="K7" i="1"/>
  <c r="K8" i="1"/>
  <c r="K9" i="1"/>
  <c r="K10" i="1"/>
  <c r="K11" i="1"/>
  <c r="J2" i="1" l="1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36" i="1" l="1"/>
  <c r="M34" i="1" l="1"/>
  <c r="B29" i="2" l="1"/>
  <c r="M6" i="1"/>
  <c r="M14" i="1"/>
  <c r="M16" i="1"/>
  <c r="M18" i="1"/>
  <c r="M20" i="1"/>
  <c r="M22" i="1"/>
  <c r="M24" i="1"/>
  <c r="M26" i="1"/>
  <c r="M28" i="1"/>
  <c r="M30" i="1"/>
  <c r="M32" i="1"/>
  <c r="M7" i="1"/>
  <c r="M9" i="1"/>
  <c r="M11" i="1"/>
  <c r="M10" i="1"/>
  <c r="M33" i="1"/>
  <c r="M29" i="1"/>
  <c r="M25" i="1"/>
  <c r="M21" i="1"/>
  <c r="M17" i="1"/>
  <c r="M13" i="1"/>
  <c r="M8" i="1"/>
  <c r="M31" i="1"/>
  <c r="M27" i="1"/>
  <c r="M23" i="1"/>
  <c r="M19" i="1"/>
  <c r="M15" i="1"/>
  <c r="C17" i="2" l="1"/>
  <c r="F17" i="2" s="1"/>
  <c r="D17" i="2"/>
  <c r="B17" i="2"/>
  <c r="H17" i="2" s="1"/>
  <c r="B13" i="2"/>
  <c r="B9" i="2"/>
  <c r="H9" i="2" s="1"/>
  <c r="H29" i="2"/>
  <c r="C14" i="2"/>
  <c r="F14" i="2" s="1"/>
  <c r="B14" i="2"/>
  <c r="H14" i="2" s="1"/>
  <c r="D14" i="2"/>
  <c r="B22" i="2"/>
  <c r="B4" i="2"/>
  <c r="H4" i="2" s="1"/>
  <c r="B12" i="2"/>
  <c r="H12" i="2" s="1"/>
  <c r="B20" i="2"/>
  <c r="B28" i="2"/>
  <c r="B7" i="2"/>
  <c r="B3" i="2"/>
  <c r="B25" i="2"/>
  <c r="H25" i="2" s="1"/>
  <c r="B21" i="2"/>
  <c r="B10" i="2"/>
  <c r="H10" i="2" s="1"/>
  <c r="B18" i="2"/>
  <c r="C26" i="2"/>
  <c r="F26" i="2" s="1"/>
  <c r="D26" i="2"/>
  <c r="B26" i="2"/>
  <c r="H26" i="2" s="1"/>
  <c r="B8" i="2"/>
  <c r="H8" i="2" s="1"/>
  <c r="B16" i="2"/>
  <c r="H16" i="2" s="1"/>
  <c r="B24" i="2"/>
  <c r="B6" i="2"/>
  <c r="H6" i="2" s="1"/>
  <c r="B5" i="2"/>
  <c r="B27" i="2"/>
  <c r="B23" i="2"/>
  <c r="B19" i="2"/>
  <c r="B15" i="2"/>
  <c r="B11" i="2"/>
  <c r="B2" i="2"/>
  <c r="N19" i="1"/>
  <c r="O19" i="1" s="1"/>
  <c r="N22" i="1"/>
  <c r="O22" i="1" s="1"/>
  <c r="H11" i="2" l="1"/>
  <c r="H5" i="2"/>
  <c r="H24" i="2"/>
  <c r="H18" i="2"/>
  <c r="H3" i="2"/>
  <c r="H28" i="2"/>
  <c r="J14" i="2"/>
  <c r="I14" i="2"/>
  <c r="H2" i="2"/>
  <c r="H15" i="2"/>
  <c r="H19" i="2"/>
  <c r="H23" i="2"/>
  <c r="H27" i="2"/>
  <c r="I26" i="2"/>
  <c r="J26" i="2"/>
  <c r="H21" i="2"/>
  <c r="H7" i="2"/>
  <c r="H20" i="2"/>
  <c r="H22" i="2"/>
  <c r="H13" i="2"/>
  <c r="J17" i="2"/>
  <c r="I17" i="2"/>
  <c r="B6" i="4"/>
  <c r="B3" i="4"/>
  <c r="B4" i="4"/>
  <c r="B2" i="4"/>
  <c r="B5" i="4"/>
  <c r="B7" i="4"/>
  <c r="B9" i="4" s="1"/>
  <c r="A1" i="2" l="1"/>
  <c r="C1" i="2"/>
  <c r="C1" i="4" s="1"/>
  <c r="D1" i="2"/>
  <c r="D1" i="4" s="1"/>
  <c r="B1" i="2"/>
  <c r="B1" i="4" s="1"/>
  <c r="A7" i="4" l="1"/>
  <c r="A5" i="4"/>
  <c r="A3" i="4"/>
  <c r="A1" i="4"/>
  <c r="A6" i="4"/>
  <c r="A4" i="4"/>
  <c r="A2" i="4"/>
  <c r="F27" i="1" l="1"/>
  <c r="F28" i="1"/>
  <c r="F29" i="1"/>
  <c r="F30" i="1"/>
  <c r="F31" i="1"/>
  <c r="F32" i="1"/>
  <c r="F33" i="1"/>
  <c r="F34" i="1"/>
  <c r="F7" i="1"/>
  <c r="F8" i="1"/>
  <c r="F9" i="1"/>
  <c r="F10" i="1"/>
  <c r="F11" i="1"/>
  <c r="F13" i="1"/>
  <c r="F14" i="1"/>
  <c r="F15" i="1"/>
  <c r="F16" i="1"/>
  <c r="F17" i="1"/>
  <c r="F18" i="1"/>
  <c r="F20" i="1"/>
  <c r="F21" i="1"/>
  <c r="F23" i="1"/>
  <c r="F24" i="1"/>
  <c r="F25" i="1"/>
  <c r="F26" i="1"/>
  <c r="F6" i="1"/>
  <c r="N34" i="1" l="1"/>
  <c r="C29" i="2" s="1"/>
  <c r="N26" i="1"/>
  <c r="C21" i="2" s="1"/>
  <c r="D21" i="2" s="1"/>
  <c r="N24" i="1"/>
  <c r="C19" i="2" s="1"/>
  <c r="N21" i="1"/>
  <c r="C16" i="2" s="1"/>
  <c r="N18" i="1"/>
  <c r="C13" i="2" s="1"/>
  <c r="N16" i="1"/>
  <c r="C11" i="2" s="1"/>
  <c r="N14" i="1"/>
  <c r="C9" i="2" s="1"/>
  <c r="N11" i="1"/>
  <c r="C7" i="2" s="1"/>
  <c r="D7" i="2" s="1"/>
  <c r="N9" i="1"/>
  <c r="C5" i="2" s="1"/>
  <c r="N7" i="1"/>
  <c r="C3" i="2" s="1"/>
  <c r="N33" i="1"/>
  <c r="C28" i="2" s="1"/>
  <c r="N31" i="1"/>
  <c r="N29" i="1"/>
  <c r="C24" i="2" s="1"/>
  <c r="N27" i="1"/>
  <c r="C22" i="2" s="1"/>
  <c r="N6" i="1"/>
  <c r="C2" i="2" s="1"/>
  <c r="D2" i="2" s="1"/>
  <c r="N25" i="1"/>
  <c r="C20" i="2" s="1"/>
  <c r="D20" i="2" s="1"/>
  <c r="N23" i="1"/>
  <c r="C18" i="2" s="1"/>
  <c r="N20" i="1"/>
  <c r="C15" i="2" s="1"/>
  <c r="N17" i="1"/>
  <c r="C12" i="2" s="1"/>
  <c r="N15" i="1"/>
  <c r="C10" i="2" s="1"/>
  <c r="N13" i="1"/>
  <c r="C8" i="2" s="1"/>
  <c r="N10" i="1"/>
  <c r="C6" i="2" s="1"/>
  <c r="D6" i="2" s="1"/>
  <c r="N8" i="1"/>
  <c r="C4" i="2" s="1"/>
  <c r="N32" i="1"/>
  <c r="C27" i="2" s="1"/>
  <c r="N30" i="1"/>
  <c r="C25" i="2" s="1"/>
  <c r="N28" i="1"/>
  <c r="C23" i="2" s="1"/>
  <c r="G26" i="1"/>
  <c r="G6" i="1"/>
  <c r="G25" i="1"/>
  <c r="G23" i="1"/>
  <c r="G20" i="1"/>
  <c r="G17" i="1"/>
  <c r="G15" i="1"/>
  <c r="G13" i="1"/>
  <c r="G10" i="1"/>
  <c r="G8" i="1"/>
  <c r="G34" i="1"/>
  <c r="G32" i="1"/>
  <c r="G30" i="1"/>
  <c r="G28" i="1"/>
  <c r="G24" i="1"/>
  <c r="G21" i="1"/>
  <c r="G18" i="1"/>
  <c r="G16" i="1"/>
  <c r="G14" i="1"/>
  <c r="G11" i="1"/>
  <c r="G9" i="1"/>
  <c r="G7" i="1"/>
  <c r="G33" i="1"/>
  <c r="G31" i="1"/>
  <c r="G29" i="1"/>
  <c r="G27" i="1"/>
  <c r="F16" i="2" l="1"/>
  <c r="I16" i="2" s="1"/>
  <c r="J16" i="2" s="1"/>
  <c r="D16" i="2"/>
  <c r="F25" i="2"/>
  <c r="I25" i="2" s="1"/>
  <c r="J25" i="2" s="1"/>
  <c r="D25" i="2"/>
  <c r="F12" i="2"/>
  <c r="I12" i="2" s="1"/>
  <c r="J12" i="2" s="1"/>
  <c r="D12" i="2"/>
  <c r="F9" i="2"/>
  <c r="I9" i="2" s="1"/>
  <c r="J9" i="2" s="1"/>
  <c r="D9" i="2"/>
  <c r="F23" i="2"/>
  <c r="I23" i="2" s="1"/>
  <c r="J23" i="2" s="1"/>
  <c r="D23" i="2"/>
  <c r="F27" i="2"/>
  <c r="I27" i="2" s="1"/>
  <c r="J27" i="2" s="1"/>
  <c r="D27" i="2"/>
  <c r="F10" i="2"/>
  <c r="I10" i="2" s="1"/>
  <c r="J10" i="2" s="1"/>
  <c r="D10" i="2"/>
  <c r="F15" i="2"/>
  <c r="I15" i="2" s="1"/>
  <c r="J15" i="2" s="1"/>
  <c r="D15" i="2"/>
  <c r="F22" i="2"/>
  <c r="I22" i="2" s="1"/>
  <c r="J22" i="2" s="1"/>
  <c r="D22" i="2"/>
  <c r="F3" i="2"/>
  <c r="I3" i="2" s="1"/>
  <c r="J3" i="2" s="1"/>
  <c r="D3" i="2"/>
  <c r="F11" i="2"/>
  <c r="I11" i="2" s="1"/>
  <c r="J11" i="2" s="1"/>
  <c r="D11" i="2"/>
  <c r="D4" i="2"/>
  <c r="F4" i="2"/>
  <c r="I4" i="2" s="1"/>
  <c r="J4" i="2" s="1"/>
  <c r="F8" i="2"/>
  <c r="I8" i="2" s="1"/>
  <c r="J8" i="2" s="1"/>
  <c r="D8" i="2"/>
  <c r="F18" i="2"/>
  <c r="I18" i="2" s="1"/>
  <c r="J18" i="2" s="1"/>
  <c r="D18" i="2"/>
  <c r="F24" i="2"/>
  <c r="I24" i="2" s="1"/>
  <c r="J24" i="2" s="1"/>
  <c r="D24" i="2"/>
  <c r="F28" i="2"/>
  <c r="I28" i="2" s="1"/>
  <c r="J28" i="2" s="1"/>
  <c r="D28" i="2"/>
  <c r="F5" i="2"/>
  <c r="I5" i="2" s="1"/>
  <c r="J5" i="2" s="1"/>
  <c r="D5" i="2"/>
  <c r="D5" i="4" s="1"/>
  <c r="F13" i="2"/>
  <c r="I13" i="2" s="1"/>
  <c r="J13" i="2" s="1"/>
  <c r="D13" i="2"/>
  <c r="F19" i="2"/>
  <c r="I19" i="2" s="1"/>
  <c r="J19" i="2" s="1"/>
  <c r="D19" i="2"/>
  <c r="F29" i="2"/>
  <c r="I29" i="2" s="1"/>
  <c r="J29" i="2" s="1"/>
  <c r="D29" i="2"/>
  <c r="F2" i="2"/>
  <c r="I2" i="2" s="1"/>
  <c r="J2" i="2" s="1"/>
  <c r="F6" i="2"/>
  <c r="I6" i="2" s="1"/>
  <c r="J6" i="2" s="1"/>
  <c r="F20" i="2"/>
  <c r="I20" i="2" s="1"/>
  <c r="J20" i="2" s="1"/>
  <c r="F7" i="2"/>
  <c r="I7" i="2" s="1"/>
  <c r="J7" i="2" s="1"/>
  <c r="F21" i="2"/>
  <c r="I21" i="2" s="1"/>
  <c r="J21" i="2" s="1"/>
  <c r="O28" i="1"/>
  <c r="O32" i="1"/>
  <c r="O10" i="1"/>
  <c r="O15" i="1"/>
  <c r="O20" i="1"/>
  <c r="O25" i="1"/>
  <c r="O27" i="1"/>
  <c r="O31" i="1"/>
  <c r="O7" i="1"/>
  <c r="O11" i="1"/>
  <c r="O16" i="1"/>
  <c r="O21" i="1"/>
  <c r="O26" i="1"/>
  <c r="O30" i="1"/>
  <c r="C4" i="4"/>
  <c r="O8" i="1"/>
  <c r="O13" i="1"/>
  <c r="O17" i="1"/>
  <c r="O23" i="1"/>
  <c r="D2" i="4"/>
  <c r="O6" i="1"/>
  <c r="O29" i="1"/>
  <c r="O33" i="1"/>
  <c r="O9" i="1"/>
  <c r="O14" i="1"/>
  <c r="O18" i="1"/>
  <c r="O24" i="1"/>
  <c r="O34" i="1"/>
  <c r="D6" i="4" l="1"/>
  <c r="C2" i="4"/>
  <c r="D3" i="4"/>
  <c r="C5" i="4"/>
  <c r="D4" i="4"/>
  <c r="C3" i="4"/>
  <c r="C7" i="4"/>
  <c r="D7" i="4"/>
  <c r="C6" i="4"/>
  <c r="C9" i="4" l="1"/>
  <c r="D9" i="4" s="1"/>
</calcChain>
</file>

<file path=xl/sharedStrings.xml><?xml version="1.0" encoding="utf-8"?>
<sst xmlns="http://schemas.openxmlformats.org/spreadsheetml/2006/main" count="104" uniqueCount="64">
  <si>
    <t>Sample ID</t>
  </si>
  <si>
    <t>Total aliquot (g)</t>
  </si>
  <si>
    <t>Total dilution mass (g)</t>
  </si>
  <si>
    <t>DF initial</t>
  </si>
  <si>
    <t>87G Trace</t>
  </si>
  <si>
    <t>90G Trace</t>
  </si>
  <si>
    <t>93G Trace</t>
  </si>
  <si>
    <t>96G Trace</t>
  </si>
  <si>
    <t>30G Trace Waste</t>
  </si>
  <si>
    <t>30G Trace Original</t>
  </si>
  <si>
    <t>86G Trace</t>
  </si>
  <si>
    <t>24G Taper Waste</t>
  </si>
  <si>
    <t>24G Trace Original</t>
  </si>
  <si>
    <t>47G</t>
  </si>
  <si>
    <t>48G</t>
  </si>
  <si>
    <t>49G</t>
  </si>
  <si>
    <t>50G</t>
  </si>
  <si>
    <t>51G</t>
  </si>
  <si>
    <t>52G</t>
  </si>
  <si>
    <t>42G taper</t>
  </si>
  <si>
    <t>70G</t>
  </si>
  <si>
    <t>71G</t>
  </si>
  <si>
    <t>72G</t>
  </si>
  <si>
    <t>73G</t>
  </si>
  <si>
    <t xml:space="preserve">74G </t>
  </si>
  <si>
    <t xml:space="preserve">75G trace waste </t>
  </si>
  <si>
    <t>**</t>
  </si>
  <si>
    <t>81G trace</t>
  </si>
  <si>
    <t>82G trace</t>
  </si>
  <si>
    <t>83G Trace</t>
  </si>
  <si>
    <t>84G trace</t>
  </si>
  <si>
    <t>53G</t>
  </si>
  <si>
    <t>94G</t>
  </si>
  <si>
    <t>±</t>
  </si>
  <si>
    <t>Avg (ppb/cps)</t>
  </si>
  <si>
    <t>g</t>
  </si>
  <si>
    <t>%</t>
  </si>
  <si>
    <t>Assumed Mass Error =</t>
  </si>
  <si>
    <t xml:space="preserve">Assumed Count Time = </t>
  </si>
  <si>
    <t>seconds</t>
  </si>
  <si>
    <t>ppb</t>
  </si>
  <si>
    <t>You may question, as I did, why the % error decreases…I plugged in the standard error propagation formula, and these are the results</t>
  </si>
  <si>
    <t>If you see an error in my calculations please let me know.</t>
  </si>
  <si>
    <t>These results are before background is subtracted out</t>
  </si>
  <si>
    <t>Some of the % errors drastically increase because the numbers are near the LLD</t>
  </si>
  <si>
    <t>In order to go up to original solutions 93G Trace and 96G Trace had to be multiplied by constants</t>
  </si>
  <si>
    <t>Vial 30G Trace Original is the original stock solution</t>
  </si>
  <si>
    <t>% of STD</t>
  </si>
  <si>
    <t>% of Prop</t>
  </si>
  <si>
    <t>Vial 87G basically vial 30G after 4 TBP contacts</t>
  </si>
  <si>
    <t>±^2</t>
  </si>
  <si>
    <t>± (ppb)</t>
  </si>
  <si>
    <t>Fissiogenic Ratio</t>
  </si>
  <si>
    <t>Pm given at about 51</t>
  </si>
  <si>
    <t>Background (Sm) (ppb)</t>
  </si>
  <si>
    <t>Sum Pm</t>
  </si>
  <si>
    <t>Background subtracted Pm values reported above.</t>
  </si>
  <si>
    <t>Lower limits of detection were determined based on the background Sm levels within each sample (see Mass_Contamination.xlsx File)</t>
  </si>
  <si>
    <t>Pm147</t>
  </si>
  <si>
    <t>Sm Background on mass 147 (background and fission)</t>
  </si>
  <si>
    <t>Assumed Constant response with no Sm (subtracted in PPB_Pm_Aliquot_Sent) - Terrible approximation</t>
  </si>
  <si>
    <t>Sm Response</t>
  </si>
  <si>
    <t>MS-B (ppb/cps)</t>
  </si>
  <si>
    <t>MS - B (ppb/cps)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</si>
</sst>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2" applyNumberFormat="0" applyFont="0" applyFill="0" applyAlignment="0" applyProtection="0"/>
  </cellStyleXfs>
  <cellXfs count="63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ont="1" applyFill="1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2" fillId="0" borderId="0" xfId="0" applyFont="1" applyAlignment="1">
      <alignment horizontal="center"/>
    </xf>
    <xf numFmtId="2" fontId="0" fillId="0" borderId="0" xfId="0" applyNumberFormat="1" applyBorder="1"/>
    <xf numFmtId="10" fontId="0" fillId="0" borderId="0" xfId="0" applyNumberFormat="1" applyBorder="1"/>
    <xf numFmtId="10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4" borderId="0" xfId="0" applyNumberFormat="1" applyFill="1" applyBorder="1"/>
    <xf numFmtId="9" fontId="0" fillId="4" borderId="0" xfId="0" applyNumberFormat="1" applyFill="1" applyBorder="1"/>
    <xf numFmtId="0" fontId="0" fillId="4" borderId="0" xfId="0" applyFill="1"/>
    <xf numFmtId="10" fontId="0" fillId="4" borderId="0" xfId="0" applyNumberFormat="1" applyFill="1"/>
    <xf numFmtId="10" fontId="0" fillId="4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Border="1"/>
    <xf numFmtId="0" fontId="0" fillId="0" borderId="2" xfId="1" applyFont="1"/>
    <xf numFmtId="0" fontId="0" fillId="3" borderId="1" xfId="0" applyFill="1" applyBorder="1"/>
    <xf numFmtId="2" fontId="0" fillId="3" borderId="0" xfId="0" applyNumberFormat="1" applyFill="1" applyBorder="1"/>
    <xf numFmtId="10" fontId="0" fillId="3" borderId="0" xfId="0" applyNumberFormat="1" applyFill="1"/>
    <xf numFmtId="10" fontId="0" fillId="3" borderId="0" xfId="0" applyNumberFormat="1" applyFill="1" applyBorder="1"/>
    <xf numFmtId="0" fontId="0" fillId="0" borderId="0" xfId="0" applyAlignment="1">
      <alignment wrapText="1"/>
    </xf>
    <xf numFmtId="0" fontId="0" fillId="0" borderId="3" xfId="0" applyBorder="1"/>
    <xf numFmtId="0" fontId="0" fillId="3" borderId="3" xfId="0" applyFill="1" applyBorder="1"/>
    <xf numFmtId="11" fontId="0" fillId="0" borderId="3" xfId="0" applyNumberFormat="1" applyBorder="1"/>
    <xf numFmtId="0" fontId="0" fillId="4" borderId="3" xfId="0" applyFill="1" applyBorder="1"/>
    <xf numFmtId="0" fontId="0" fillId="0" borderId="4" xfId="0" applyBorder="1" applyAlignment="1">
      <alignment horizontal="center"/>
    </xf>
    <xf numFmtId="0" fontId="0" fillId="0" borderId="4" xfId="0" applyFill="1" applyBorder="1"/>
    <xf numFmtId="0" fontId="0" fillId="3" borderId="4" xfId="0" applyFill="1" applyBorder="1"/>
    <xf numFmtId="0" fontId="0" fillId="0" borderId="4" xfId="0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5" xfId="0" applyFill="1" applyBorder="1" applyAlignment="1">
      <alignment wrapText="1"/>
    </xf>
    <xf numFmtId="11" fontId="0" fillId="3" borderId="5" xfId="0" applyNumberFormat="1" applyFill="1" applyBorder="1"/>
    <xf numFmtId="0" fontId="0" fillId="3" borderId="7" xfId="0" applyFill="1" applyBorder="1"/>
    <xf numFmtId="0" fontId="0" fillId="0" borderId="6" xfId="0" applyFill="1" applyBorder="1"/>
    <xf numFmtId="0" fontId="2" fillId="0" borderId="5" xfId="0" applyFon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7" xfId="0" applyFill="1" applyBorder="1"/>
    <xf numFmtId="0" fontId="0" fillId="0" borderId="5" xfId="0" applyBorder="1"/>
    <xf numFmtId="0" fontId="2" fillId="0" borderId="5" xfId="0" applyFont="1" applyBorder="1"/>
    <xf numFmtId="0" fontId="0" fillId="0" borderId="8" xfId="0" applyBorder="1" applyAlignment="1">
      <alignment wrapText="1"/>
    </xf>
    <xf numFmtId="0" fontId="0" fillId="0" borderId="9" xfId="0" applyBorder="1"/>
    <xf numFmtId="10" fontId="0" fillId="0" borderId="10" xfId="0" applyNumberFormat="1" applyBorder="1"/>
    <xf numFmtId="0" fontId="0" fillId="0" borderId="6" xfId="0" applyBorder="1"/>
    <xf numFmtId="0" fontId="0" fillId="0" borderId="11" xfId="0" applyBorder="1"/>
    <xf numFmtId="0" fontId="0" fillId="0" borderId="8" xfId="0" applyBorder="1"/>
    <xf numFmtId="0" fontId="0" fillId="0" borderId="13" xfId="0" applyBorder="1"/>
    <xf numFmtId="10" fontId="0" fillId="0" borderId="13" xfId="0" applyNumberFormat="1" applyBorder="1"/>
    <xf numFmtId="0" fontId="0" fillId="0" borderId="12" xfId="0" applyBorder="1"/>
    <xf numFmtId="0" fontId="0" fillId="0" borderId="14" xfId="0" applyBorder="1"/>
    <xf numFmtId="0" fontId="0" fillId="5" borderId="0" xfId="0" applyFill="1"/>
    <xf numFmtId="10" fontId="0" fillId="5" borderId="13" xfId="0" applyNumberFormat="1" applyFill="1" applyBorder="1"/>
    <xf numFmtId="10" fontId="0" fillId="5" borderId="0" xfId="0" applyNumberFormat="1" applyFill="1"/>
  </cellXfs>
  <cellStyles count="2">
    <cellStyle name="Normal" xfId="0" builtinId="0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>
      <pane ySplit="1" topLeftCell="A2" activePane="bottomLeft" state="frozen"/>
      <selection activeCell="G1" sqref="G1"/>
      <selection pane="bottomLeft" activeCell="E39" sqref="E39"/>
    </sheetView>
  </sheetViews>
  <sheetFormatPr defaultRowHeight="15" x14ac:dyDescent="0.25"/>
  <cols>
    <col min="1" max="1" width="8.140625" customWidth="1"/>
    <col min="2" max="2" width="14.42578125" customWidth="1"/>
    <col min="4" max="4" width="14.28515625" customWidth="1"/>
    <col min="6" max="6" width="5.5703125" bestFit="1" customWidth="1"/>
    <col min="7" max="7" width="8.42578125" bestFit="1" customWidth="1"/>
    <col min="8" max="8" width="13.5703125" customWidth="1"/>
    <col min="9" max="9" width="13.42578125" bestFit="1" customWidth="1"/>
    <col min="10" max="10" width="12" bestFit="1" customWidth="1"/>
    <col min="11" max="11" width="13.42578125" bestFit="1" customWidth="1"/>
    <col min="12" max="12" width="11" customWidth="1"/>
    <col min="13" max="13" width="13.42578125" bestFit="1" customWidth="1"/>
    <col min="14" max="14" width="12" bestFit="1" customWidth="1"/>
    <col min="15" max="15" width="13.42578125" bestFit="1" customWidth="1"/>
    <col min="17" max="17" width="13.42578125" bestFit="1" customWidth="1"/>
    <col min="18" max="18" width="12" bestFit="1" customWidth="1"/>
    <col min="19" max="19" width="13.42578125" bestFit="1" customWidth="1"/>
    <col min="20" max="20" width="12" bestFit="1" customWidth="1"/>
    <col min="26" max="26" width="12" bestFit="1" customWidth="1"/>
  </cols>
  <sheetData>
    <row r="1" spans="2:22" x14ac:dyDescent="0.25">
      <c r="H1" s="30"/>
      <c r="J1" s="5">
        <v>147</v>
      </c>
      <c r="K1" s="5"/>
      <c r="L1" s="34"/>
      <c r="M1" s="5" t="s">
        <v>40</v>
      </c>
      <c r="N1" s="5"/>
      <c r="O1" s="5"/>
    </row>
    <row r="2" spans="2:22" x14ac:dyDescent="0.25">
      <c r="C2" t="s">
        <v>38</v>
      </c>
      <c r="E2">
        <v>40</v>
      </c>
      <c r="F2" t="s">
        <v>39</v>
      </c>
      <c r="H2" s="30" t="s">
        <v>61</v>
      </c>
      <c r="I2" s="5" t="s">
        <v>34</v>
      </c>
      <c r="J2" s="13">
        <f>AVERAGE(J12,J35)</f>
        <v>1.04468893397165E-5</v>
      </c>
      <c r="K2" s="5"/>
      <c r="L2" s="34"/>
    </row>
    <row r="3" spans="2:22" x14ac:dyDescent="0.25">
      <c r="C3" t="s">
        <v>37</v>
      </c>
      <c r="E3">
        <v>2.0000000000000001E-4</v>
      </c>
      <c r="F3" t="s">
        <v>35</v>
      </c>
      <c r="H3" s="30"/>
      <c r="I3" s="7" t="s">
        <v>33</v>
      </c>
      <c r="J3" s="13">
        <f>_xlfn.STDEV.S(J12,J35)*$B$36+$B$37*((K35^2+K12^2)^0.5)</f>
        <v>8.8510661021088055E-8</v>
      </c>
      <c r="K3" s="7"/>
      <c r="L3" s="34"/>
      <c r="M3" s="5"/>
      <c r="N3" s="5"/>
      <c r="O3" s="5"/>
      <c r="P3" s="5"/>
      <c r="Q3" s="5"/>
      <c r="R3" s="5"/>
      <c r="S3" s="5"/>
      <c r="T3" s="5"/>
    </row>
    <row r="4" spans="2:22" x14ac:dyDescent="0.25">
      <c r="H4" s="30"/>
      <c r="I4" s="5" t="s">
        <v>34</v>
      </c>
      <c r="J4" s="13"/>
      <c r="K4" s="5"/>
      <c r="L4" s="34"/>
      <c r="M4" s="22" t="s">
        <v>43</v>
      </c>
      <c r="N4" s="5"/>
      <c r="P4" s="5"/>
      <c r="Q4" s="5"/>
      <c r="R4" s="5"/>
      <c r="S4" s="5"/>
      <c r="T4" s="5"/>
      <c r="V4" s="5"/>
    </row>
    <row r="5" spans="2:22" ht="45.75" thickBot="1" x14ac:dyDescent="0.3">
      <c r="B5" s="1" t="s">
        <v>0</v>
      </c>
      <c r="C5" s="2" t="s">
        <v>1</v>
      </c>
      <c r="D5" s="2" t="s">
        <v>2</v>
      </c>
      <c r="E5" s="2" t="s">
        <v>3</v>
      </c>
      <c r="F5" s="7" t="s">
        <v>33</v>
      </c>
      <c r="G5" s="7" t="s">
        <v>36</v>
      </c>
      <c r="H5" s="44"/>
      <c r="I5" s="45" t="s">
        <v>33</v>
      </c>
      <c r="J5" s="46"/>
      <c r="K5" s="45"/>
      <c r="L5" s="47"/>
      <c r="M5" s="48" t="s">
        <v>58</v>
      </c>
      <c r="N5" s="49" t="s">
        <v>33</v>
      </c>
      <c r="O5" s="49" t="s">
        <v>36</v>
      </c>
    </row>
    <row r="6" spans="2:22" ht="15.75" thickTop="1" x14ac:dyDescent="0.25">
      <c r="B6" s="6" t="s">
        <v>4</v>
      </c>
      <c r="C6" s="3">
        <v>1.34E-2</v>
      </c>
      <c r="D6" s="3">
        <v>5.0464000000000002</v>
      </c>
      <c r="E6" s="3">
        <v>376.597014925373</v>
      </c>
      <c r="F6" s="8">
        <f>(((1/C6)^2)*($E$3^2)+((D6/(C6^2))^2)*($E$3^2))^0.5</f>
        <v>5.6208707851070203</v>
      </c>
      <c r="G6" s="9">
        <f>F6/E6</f>
        <v>1.4925425753098069E-2</v>
      </c>
      <c r="H6" s="30"/>
      <c r="I6" t="s">
        <v>4</v>
      </c>
      <c r="J6">
        <v>4032.66</v>
      </c>
      <c r="K6">
        <f>(J6/$E$2)^0.5</f>
        <v>10.040742004453655</v>
      </c>
      <c r="L6" s="35"/>
      <c r="M6">
        <f t="shared" ref="M6:M11" si="0">$J$2*J6*E6</f>
        <v>15.865562533715504</v>
      </c>
      <c r="N6">
        <f t="shared" ref="N6:N11" si="1">((J6*E6*$J$3)^2+($J$2*E6*K6)^2+($J$2*J6*F6)^2)^0.5</f>
        <v>0.27514288200917369</v>
      </c>
      <c r="O6" s="10">
        <f>N6/M6</f>
        <v>1.7342144750586343E-2</v>
      </c>
    </row>
    <row r="7" spans="2:22" x14ac:dyDescent="0.25">
      <c r="B7" s="6" t="s">
        <v>5</v>
      </c>
      <c r="C7" s="3">
        <v>3.9E-2</v>
      </c>
      <c r="D7" s="3">
        <v>4.9492000000000003</v>
      </c>
      <c r="E7" s="3">
        <v>126.90256410256411</v>
      </c>
      <c r="F7" s="8">
        <f t="shared" ref="F7:F11" si="2">(((1/C7)^2)*($E$3^2)+((D7/(C7^2))^2)*($E$3^2))^0.5</f>
        <v>0.65080258498519816</v>
      </c>
      <c r="G7" s="9">
        <f t="shared" ref="G7:G11" si="3">F7/E7</f>
        <v>5.1283643446259448E-3</v>
      </c>
      <c r="H7" s="30"/>
      <c r="I7" t="s">
        <v>5</v>
      </c>
      <c r="J7">
        <v>297.59999999999997</v>
      </c>
      <c r="K7">
        <f t="shared" ref="K7:K11" si="4">(J7/$E$2)^0.5</f>
        <v>2.7276363393971712</v>
      </c>
      <c r="L7" s="37"/>
      <c r="M7">
        <f t="shared" si="0"/>
        <v>0.39453934432587617</v>
      </c>
      <c r="N7">
        <f t="shared" si="1"/>
        <v>5.3239099620961241E-3</v>
      </c>
      <c r="O7" s="10">
        <f t="shared" ref="O7:O34" si="5">N7/M7</f>
        <v>1.3493989987722882E-2</v>
      </c>
    </row>
    <row r="8" spans="2:22" x14ac:dyDescent="0.25">
      <c r="B8" s="6" t="s">
        <v>6</v>
      </c>
      <c r="C8" s="3">
        <v>5.0299999999999997E-2</v>
      </c>
      <c r="D8" s="3">
        <v>4.9884000000000004</v>
      </c>
      <c r="E8" s="3">
        <v>99.172962226640166</v>
      </c>
      <c r="F8" s="8">
        <f t="shared" si="2"/>
        <v>0.39434593954365693</v>
      </c>
      <c r="G8" s="9">
        <f t="shared" si="3"/>
        <v>3.9763452728421821E-3</v>
      </c>
      <c r="H8" s="30"/>
      <c r="I8" t="s">
        <v>6</v>
      </c>
      <c r="J8">
        <v>12</v>
      </c>
      <c r="K8">
        <f t="shared" si="4"/>
        <v>0.54772255750516607</v>
      </c>
      <c r="L8" s="37"/>
      <c r="M8">
        <f t="shared" si="0"/>
        <v>1.2432587542483131E-2</v>
      </c>
      <c r="N8">
        <f t="shared" si="1"/>
        <v>5.7927412292607401E-4</v>
      </c>
      <c r="O8" s="10">
        <f t="shared" si="5"/>
        <v>4.659320684022121E-2</v>
      </c>
    </row>
    <row r="9" spans="2:22" x14ac:dyDescent="0.25">
      <c r="B9" s="6" t="s">
        <v>7</v>
      </c>
      <c r="C9" s="3">
        <v>3.6399999999999995E-2</v>
      </c>
      <c r="D9" s="3">
        <v>4.9635000000000007</v>
      </c>
      <c r="E9" s="3">
        <v>136.35989010989016</v>
      </c>
      <c r="F9" s="8">
        <f t="shared" si="2"/>
        <v>0.74925031224172078</v>
      </c>
      <c r="G9" s="9">
        <f t="shared" si="3"/>
        <v>5.4946532417847541E-3</v>
      </c>
      <c r="H9" s="30"/>
      <c r="I9" t="s">
        <v>7</v>
      </c>
      <c r="J9">
        <v>0.8</v>
      </c>
      <c r="K9">
        <f t="shared" si="4"/>
        <v>0.1414213562373095</v>
      </c>
      <c r="L9" s="37"/>
      <c r="M9">
        <f t="shared" si="0"/>
        <v>1.1396293458831399E-3</v>
      </c>
      <c r="N9">
        <f t="shared" si="1"/>
        <v>2.0178833901600006E-4</v>
      </c>
      <c r="O9" s="10">
        <f t="shared" si="5"/>
        <v>0.17706488495136724</v>
      </c>
    </row>
    <row r="10" spans="2:22" x14ac:dyDescent="0.25">
      <c r="B10" s="6" t="s">
        <v>8</v>
      </c>
      <c r="C10" s="3">
        <v>2.8899999999999999E-2</v>
      </c>
      <c r="D10" s="3">
        <v>4.9984000000000002</v>
      </c>
      <c r="E10" s="3">
        <v>172.95501730103808</v>
      </c>
      <c r="F10" s="8">
        <f t="shared" si="2"/>
        <v>1.1969405411901297</v>
      </c>
      <c r="G10" s="9">
        <f t="shared" si="3"/>
        <v>6.9205308979662979E-3</v>
      </c>
      <c r="H10" s="30"/>
      <c r="I10" t="s">
        <v>8</v>
      </c>
      <c r="J10">
        <v>11162.580000000002</v>
      </c>
      <c r="K10">
        <f t="shared" si="4"/>
        <v>16.705223733910302</v>
      </c>
      <c r="L10" s="37"/>
      <c r="M10">
        <f t="shared" si="0"/>
        <v>20.169017551828858</v>
      </c>
      <c r="N10">
        <f t="shared" si="1"/>
        <v>0.22269704743010477</v>
      </c>
      <c r="O10" s="10">
        <f t="shared" si="5"/>
        <v>1.1041541654561719E-2</v>
      </c>
    </row>
    <row r="11" spans="2:22" x14ac:dyDescent="0.25">
      <c r="B11" s="6" t="s">
        <v>9</v>
      </c>
      <c r="C11" s="3">
        <v>4.4299999999999999E-2</v>
      </c>
      <c r="D11" s="3">
        <v>4.9031000000000002</v>
      </c>
      <c r="E11" s="3">
        <v>110.67945823927766</v>
      </c>
      <c r="F11" s="8">
        <f t="shared" si="2"/>
        <v>0.499701921883555</v>
      </c>
      <c r="G11" s="9">
        <f t="shared" si="3"/>
        <v>4.5148569556895607E-3</v>
      </c>
      <c r="H11" s="30"/>
      <c r="I11" t="s">
        <v>9</v>
      </c>
      <c r="J11">
        <v>12813.779999999999</v>
      </c>
      <c r="K11">
        <f t="shared" si="4"/>
        <v>17.898170297547175</v>
      </c>
      <c r="L11" s="37"/>
      <c r="M11">
        <f t="shared" si="0"/>
        <v>14.816010679192642</v>
      </c>
      <c r="N11">
        <f t="shared" si="1"/>
        <v>0.14373609530418763</v>
      </c>
      <c r="O11" s="10">
        <f t="shared" si="5"/>
        <v>9.7014033275534955E-3</v>
      </c>
    </row>
    <row r="12" spans="2:22" s="11" customFormat="1" ht="30" x14ac:dyDescent="0.25">
      <c r="B12" s="25"/>
      <c r="C12" s="25"/>
      <c r="D12" s="25"/>
      <c r="E12" s="25"/>
      <c r="F12" s="26"/>
      <c r="G12" s="28"/>
      <c r="H12" s="31" t="s">
        <v>61</v>
      </c>
      <c r="I12" s="12" t="s">
        <v>63</v>
      </c>
      <c r="J12" s="11">
        <v>1.06345955256765E-5</v>
      </c>
      <c r="K12" s="11">
        <v>7.9725531406736302E-8</v>
      </c>
      <c r="L12" s="36"/>
      <c r="O12" s="27"/>
    </row>
    <row r="13" spans="2:22" x14ac:dyDescent="0.25">
      <c r="B13" s="6" t="s">
        <v>19</v>
      </c>
      <c r="C13" s="3">
        <v>9.3700000000000006E-2</v>
      </c>
      <c r="D13" s="3">
        <v>5.0049000000000001</v>
      </c>
      <c r="E13" s="3">
        <v>53.414087513340448</v>
      </c>
      <c r="F13" s="8">
        <f t="shared" ref="F13:F18" si="6">(((1/C13)^2)*($E$3^2)+((D13/(C13^2))^2)*($E$3^2))^0.5</f>
        <v>0.11403083782205169</v>
      </c>
      <c r="G13" s="9">
        <f t="shared" ref="G13:G18" si="7">F13/E13</f>
        <v>2.1348457519483393E-3</v>
      </c>
      <c r="H13" s="32"/>
      <c r="I13" t="s">
        <v>19</v>
      </c>
      <c r="J13">
        <v>633.6</v>
      </c>
      <c r="K13">
        <f>(J13/$E$2)^0.5</f>
        <v>3.9799497484264799</v>
      </c>
      <c r="L13" s="37"/>
      <c r="M13">
        <f t="shared" ref="M13:M34" si="8">$J$2*J13*E13</f>
        <v>0.35355580852445606</v>
      </c>
      <c r="N13">
        <f t="shared" ref="N13:N34" si="9">((J13*E13*$J$3)^2+($J$2*E13*K13)^2+($J$2*J13*F13)^2)^0.5</f>
        <v>3.8045776629480098E-3</v>
      </c>
      <c r="O13" s="10">
        <f t="shared" si="5"/>
        <v>1.0760897066933185E-2</v>
      </c>
    </row>
    <row r="14" spans="2:22" x14ac:dyDescent="0.25">
      <c r="B14" s="6" t="s">
        <v>20</v>
      </c>
      <c r="C14" s="3">
        <v>2.87E-2</v>
      </c>
      <c r="D14" s="3">
        <v>4.9332000000000003</v>
      </c>
      <c r="E14" s="3">
        <v>171.88850174216029</v>
      </c>
      <c r="F14" s="8">
        <f t="shared" si="6"/>
        <v>1.1978495510797849</v>
      </c>
      <c r="G14" s="9">
        <f t="shared" si="7"/>
        <v>6.968759044026154E-3</v>
      </c>
      <c r="H14" s="32"/>
      <c r="I14" t="s">
        <v>20</v>
      </c>
      <c r="J14">
        <v>16.8</v>
      </c>
      <c r="K14">
        <f t="shared" ref="K14:K34" si="10">(J14/$E$2)^0.5</f>
        <v>0.64807406984078608</v>
      </c>
      <c r="L14" s="37"/>
      <c r="M14">
        <f t="shared" si="8"/>
        <v>3.0167762628696259E-2</v>
      </c>
      <c r="N14">
        <f t="shared" si="9"/>
        <v>1.2098894351702451E-3</v>
      </c>
      <c r="O14" s="10">
        <f t="shared" si="5"/>
        <v>4.0105375067469237E-2</v>
      </c>
    </row>
    <row r="15" spans="2:22" x14ac:dyDescent="0.25">
      <c r="B15" s="6" t="s">
        <v>21</v>
      </c>
      <c r="C15" s="3">
        <v>4.0600000000000004E-2</v>
      </c>
      <c r="D15" s="3">
        <v>5.0502000000000002</v>
      </c>
      <c r="E15" s="3">
        <v>124.38916256157634</v>
      </c>
      <c r="F15" s="8">
        <f t="shared" si="6"/>
        <v>0.61277429625328761</v>
      </c>
      <c r="G15" s="9">
        <f t="shared" si="7"/>
        <v>4.9262675592815098E-3</v>
      </c>
      <c r="H15" s="30"/>
      <c r="I15" t="s">
        <v>21</v>
      </c>
      <c r="J15">
        <v>12.8</v>
      </c>
      <c r="K15">
        <f t="shared" si="10"/>
        <v>0.56568542494923801</v>
      </c>
      <c r="L15" s="37"/>
      <c r="M15">
        <f t="shared" si="8"/>
        <v>1.6633341649162171E-2</v>
      </c>
      <c r="N15">
        <f t="shared" si="9"/>
        <v>7.5295508878531756E-4</v>
      </c>
      <c r="O15" s="10">
        <f t="shared" si="5"/>
        <v>4.5267818377508304E-2</v>
      </c>
    </row>
    <row r="16" spans="2:22" x14ac:dyDescent="0.25">
      <c r="B16" s="6" t="s">
        <v>22</v>
      </c>
      <c r="C16" s="3">
        <v>3.2599999999999997E-2</v>
      </c>
      <c r="D16" s="3">
        <v>4.9707999999999997</v>
      </c>
      <c r="E16" s="3">
        <v>152.47852760736197</v>
      </c>
      <c r="F16" s="8">
        <f t="shared" si="6"/>
        <v>0.93547120688552143</v>
      </c>
      <c r="G16" s="9">
        <f t="shared" si="7"/>
        <v>6.1351012602534798E-3</v>
      </c>
      <c r="H16" s="30"/>
      <c r="I16" t="s">
        <v>22</v>
      </c>
      <c r="J16">
        <v>12.8</v>
      </c>
      <c r="K16">
        <f t="shared" si="10"/>
        <v>0.56568542494923801</v>
      </c>
      <c r="L16" s="37"/>
      <c r="M16">
        <f t="shared" si="8"/>
        <v>2.0389456698841828E-2</v>
      </c>
      <c r="N16">
        <f t="shared" si="9"/>
        <v>9.2599267818922716E-4</v>
      </c>
      <c r="O16" s="10">
        <f t="shared" si="5"/>
        <v>4.5415269855710566E-2</v>
      </c>
    </row>
    <row r="17" spans="2:15" x14ac:dyDescent="0.25">
      <c r="B17" s="6" t="s">
        <v>23</v>
      </c>
      <c r="C17" s="3">
        <v>3.2399999999999998E-2</v>
      </c>
      <c r="D17" s="3">
        <v>5.0772000000000004</v>
      </c>
      <c r="E17" s="3">
        <v>156.70370370370372</v>
      </c>
      <c r="F17" s="8">
        <f t="shared" si="6"/>
        <v>0.96732650868068526</v>
      </c>
      <c r="G17" s="9">
        <f t="shared" si="7"/>
        <v>6.1729651936607184E-3</v>
      </c>
      <c r="H17" s="30"/>
      <c r="I17" t="s">
        <v>23</v>
      </c>
      <c r="J17">
        <v>19.2</v>
      </c>
      <c r="K17">
        <f t="shared" si="10"/>
        <v>0.69282032302755092</v>
      </c>
      <c r="L17" s="37"/>
      <c r="M17">
        <f t="shared" si="8"/>
        <v>3.1431672032953259E-2</v>
      </c>
      <c r="N17">
        <f t="shared" si="9"/>
        <v>1.1810829179285428E-3</v>
      </c>
      <c r="O17" s="10">
        <f t="shared" si="5"/>
        <v>3.75762039222821E-2</v>
      </c>
    </row>
    <row r="18" spans="2:15" x14ac:dyDescent="0.25">
      <c r="B18" s="6" t="s">
        <v>24</v>
      </c>
      <c r="C18" s="3">
        <v>6.7900000000000002E-2</v>
      </c>
      <c r="D18" s="3">
        <v>4.9969000000000001</v>
      </c>
      <c r="E18" s="3">
        <v>73.592047128129607</v>
      </c>
      <c r="F18" s="8">
        <f t="shared" si="6"/>
        <v>0.21678598240630462</v>
      </c>
      <c r="G18" s="9">
        <f t="shared" si="7"/>
        <v>2.9457800246929259E-3</v>
      </c>
      <c r="H18" s="30"/>
      <c r="I18" t="s">
        <v>24</v>
      </c>
      <c r="J18">
        <v>18.399999999999999</v>
      </c>
      <c r="K18">
        <f t="shared" si="10"/>
        <v>0.67823299831252681</v>
      </c>
      <c r="L18" s="37"/>
      <c r="M18">
        <f t="shared" si="8"/>
        <v>1.4146066696406195E-2</v>
      </c>
      <c r="N18">
        <f t="shared" si="9"/>
        <v>5.3664806580092051E-4</v>
      </c>
      <c r="O18" s="10">
        <f t="shared" si="5"/>
        <v>3.7936203562312892E-2</v>
      </c>
    </row>
    <row r="19" spans="2:15" s="19" customFormat="1" x14ac:dyDescent="0.25">
      <c r="B19" s="15" t="s">
        <v>25</v>
      </c>
      <c r="C19" s="16" t="s">
        <v>26</v>
      </c>
      <c r="D19" s="15">
        <v>5.5175000000000001</v>
      </c>
      <c r="E19" s="16" t="s">
        <v>26</v>
      </c>
      <c r="F19" s="17"/>
      <c r="G19" s="18"/>
      <c r="H19" s="33"/>
      <c r="I19" s="19" t="s">
        <v>25</v>
      </c>
      <c r="J19" s="19">
        <v>3.2</v>
      </c>
      <c r="K19" s="19">
        <f t="shared" si="10"/>
        <v>0.28284271247461901</v>
      </c>
      <c r="L19" s="38"/>
      <c r="M19" s="19" t="e">
        <f t="shared" si="8"/>
        <v>#VALUE!</v>
      </c>
      <c r="N19" s="19" t="e">
        <f t="shared" si="9"/>
        <v>#VALUE!</v>
      </c>
      <c r="O19" s="20" t="e">
        <f t="shared" si="5"/>
        <v>#VALUE!</v>
      </c>
    </row>
    <row r="20" spans="2:15" x14ac:dyDescent="0.25">
      <c r="B20" s="6" t="s">
        <v>27</v>
      </c>
      <c r="C20" s="3">
        <v>1.6500000000000001E-2</v>
      </c>
      <c r="D20" s="3">
        <v>4.8581000000000003</v>
      </c>
      <c r="E20" s="3">
        <v>294.43030303030304</v>
      </c>
      <c r="F20" s="8">
        <f>(((1/C20)^2)*($E$3^2)+((D20/(C20^2))^2)*($E$3^2))^0.5</f>
        <v>3.5688727420627053</v>
      </c>
      <c r="G20" s="9">
        <f>F20/E20</f>
        <v>1.2121282032900648E-2</v>
      </c>
      <c r="H20" s="30"/>
      <c r="I20" t="s">
        <v>27</v>
      </c>
      <c r="J20">
        <v>1.6</v>
      </c>
      <c r="K20">
        <f t="shared" si="10"/>
        <v>0.2</v>
      </c>
      <c r="L20" s="37"/>
      <c r="M20">
        <f t="shared" si="8"/>
        <v>4.9214092704268344E-3</v>
      </c>
      <c r="N20">
        <f t="shared" si="9"/>
        <v>6.1946659866625789E-4</v>
      </c>
      <c r="O20" s="10">
        <f t="shared" si="5"/>
        <v>0.12587179090930015</v>
      </c>
    </row>
    <row r="21" spans="2:15" x14ac:dyDescent="0.25">
      <c r="B21" s="6" t="s">
        <v>28</v>
      </c>
      <c r="C21" s="3">
        <v>4.0399999999999998E-2</v>
      </c>
      <c r="D21" s="3">
        <v>4.9471999999999996</v>
      </c>
      <c r="E21" s="3">
        <v>122.45544554455445</v>
      </c>
      <c r="F21" s="8">
        <f>(((1/C21)^2)*($E$3^2)+((D21/(C21^2))^2)*($E$3^2))^0.5</f>
        <v>0.6062352900703305</v>
      </c>
      <c r="G21" s="9">
        <f>F21/E21</f>
        <v>4.9506601145782167E-3</v>
      </c>
      <c r="H21" s="30"/>
      <c r="I21" t="s">
        <v>28</v>
      </c>
      <c r="J21">
        <v>5.6</v>
      </c>
      <c r="K21">
        <f t="shared" si="10"/>
        <v>0.37416573867739411</v>
      </c>
      <c r="L21" s="37"/>
      <c r="M21">
        <f t="shared" si="8"/>
        <v>7.1639595364379853E-3</v>
      </c>
      <c r="N21">
        <f t="shared" si="9"/>
        <v>4.8379683336753512E-4</v>
      </c>
      <c r="O21" s="10">
        <f t="shared" si="5"/>
        <v>6.7532044382272602E-2</v>
      </c>
    </row>
    <row r="22" spans="2:15" s="19" customFormat="1" x14ac:dyDescent="0.25">
      <c r="B22" s="15" t="s">
        <v>29</v>
      </c>
      <c r="C22" s="16" t="s">
        <v>26</v>
      </c>
      <c r="D22" s="15">
        <v>4.9318</v>
      </c>
      <c r="E22" s="16" t="s">
        <v>26</v>
      </c>
      <c r="F22" s="17"/>
      <c r="G22" s="21"/>
      <c r="H22" s="33"/>
      <c r="I22" s="19" t="s">
        <v>29</v>
      </c>
      <c r="J22" s="19">
        <v>4</v>
      </c>
      <c r="K22" s="19">
        <f t="shared" si="10"/>
        <v>0.31622776601683794</v>
      </c>
      <c r="L22" s="38"/>
      <c r="M22" s="19" t="e">
        <f t="shared" si="8"/>
        <v>#VALUE!</v>
      </c>
      <c r="N22" s="19" t="e">
        <f t="shared" si="9"/>
        <v>#VALUE!</v>
      </c>
      <c r="O22" s="20" t="e">
        <f t="shared" si="5"/>
        <v>#VALUE!</v>
      </c>
    </row>
    <row r="23" spans="2:15" x14ac:dyDescent="0.25">
      <c r="B23" s="6" t="s">
        <v>30</v>
      </c>
      <c r="C23" s="3">
        <v>3.6400000000000002E-2</v>
      </c>
      <c r="D23" s="3">
        <v>4.9192</v>
      </c>
      <c r="E23" s="3">
        <v>135.14285714285714</v>
      </c>
      <c r="F23" s="8">
        <f t="shared" ref="F23:F34" si="11">(((1/C23)^2)*($E$3^2)+((D23/(C23^2))^2)*($E$3^2))^0.5</f>
        <v>0.7425634993450424</v>
      </c>
      <c r="G23" s="9">
        <f t="shared" ref="G23:G34" si="12">F23/E23</f>
        <v>5.4946559148153244E-3</v>
      </c>
      <c r="H23" s="30"/>
      <c r="I23" t="s">
        <v>30</v>
      </c>
      <c r="J23">
        <v>2.4</v>
      </c>
      <c r="K23">
        <f t="shared" si="10"/>
        <v>0.2449489742783178</v>
      </c>
      <c r="L23" s="37"/>
      <c r="M23">
        <f t="shared" si="8"/>
        <v>3.388373936698906E-3</v>
      </c>
      <c r="N23">
        <f t="shared" si="9"/>
        <v>3.4751306114004288E-4</v>
      </c>
      <c r="O23" s="10">
        <f t="shared" si="5"/>
        <v>0.10256042208806637</v>
      </c>
    </row>
    <row r="24" spans="2:15" x14ac:dyDescent="0.25">
      <c r="B24" s="3" t="s">
        <v>10</v>
      </c>
      <c r="C24" s="3">
        <v>1.21E-2</v>
      </c>
      <c r="D24" s="3">
        <v>4.9885000000000002</v>
      </c>
      <c r="E24" s="3">
        <v>412.27272727272731</v>
      </c>
      <c r="F24" s="8">
        <f t="shared" si="11"/>
        <v>6.8144452902538699</v>
      </c>
      <c r="G24" s="9">
        <f t="shared" si="12"/>
        <v>1.6528974243173664E-2</v>
      </c>
      <c r="H24" s="30"/>
      <c r="I24" t="s">
        <v>10</v>
      </c>
      <c r="J24">
        <v>549.6</v>
      </c>
      <c r="K24">
        <f t="shared" si="10"/>
        <v>3.7067505985701277</v>
      </c>
      <c r="L24" s="37"/>
      <c r="M24">
        <f t="shared" si="8"/>
        <v>2.367109370756876</v>
      </c>
      <c r="N24">
        <f t="shared" si="9"/>
        <v>4.6775236285111696E-2</v>
      </c>
      <c r="O24" s="10">
        <f t="shared" si="5"/>
        <v>1.9760487987150105E-2</v>
      </c>
    </row>
    <row r="25" spans="2:15" x14ac:dyDescent="0.25">
      <c r="B25" s="3" t="s">
        <v>11</v>
      </c>
      <c r="C25" s="3">
        <v>4.9700000000000001E-2</v>
      </c>
      <c r="D25" s="3">
        <v>4.8765000000000001</v>
      </c>
      <c r="E25" s="3">
        <v>98.118712273641847</v>
      </c>
      <c r="F25" s="8">
        <f t="shared" si="11"/>
        <v>0.39486441854832172</v>
      </c>
      <c r="G25" s="9">
        <f t="shared" si="12"/>
        <v>4.0243538607303581E-3</v>
      </c>
      <c r="H25" s="30"/>
      <c r="I25" t="s">
        <v>11</v>
      </c>
      <c r="J25">
        <v>15913.34</v>
      </c>
      <c r="K25">
        <f t="shared" si="10"/>
        <v>19.94576396130266</v>
      </c>
      <c r="L25" s="35"/>
      <c r="M25">
        <f t="shared" si="8"/>
        <v>16.311735706816261</v>
      </c>
      <c r="N25">
        <f t="shared" si="9"/>
        <v>0.15435824162274722</v>
      </c>
      <c r="O25" s="10">
        <f t="shared" si="5"/>
        <v>9.4630175719586252E-3</v>
      </c>
    </row>
    <row r="26" spans="2:15" x14ac:dyDescent="0.25">
      <c r="B26" s="3" t="s">
        <v>12</v>
      </c>
      <c r="C26" s="3">
        <v>2.7699999999999999E-2</v>
      </c>
      <c r="D26" s="3">
        <v>4.9138999999999999</v>
      </c>
      <c r="E26" s="3">
        <v>177.39711191335741</v>
      </c>
      <c r="F26" s="8">
        <f t="shared" si="11"/>
        <v>1.2808659236544595</v>
      </c>
      <c r="G26" s="9">
        <f t="shared" si="12"/>
        <v>7.2203313224177392E-3</v>
      </c>
      <c r="H26" s="30"/>
      <c r="I26" t="s">
        <v>12</v>
      </c>
      <c r="J26">
        <v>9611.7000000000007</v>
      </c>
      <c r="K26">
        <f t="shared" si="10"/>
        <v>15.50137090711657</v>
      </c>
      <c r="L26" s="37"/>
      <c r="M26">
        <f t="shared" si="8"/>
        <v>17.812863776072753</v>
      </c>
      <c r="N26">
        <f t="shared" si="9"/>
        <v>0.20035825693259246</v>
      </c>
      <c r="O26" s="10">
        <f t="shared" si="5"/>
        <v>1.1247953133831574E-2</v>
      </c>
    </row>
    <row r="27" spans="2:15" x14ac:dyDescent="0.25">
      <c r="B27" s="3" t="s">
        <v>31</v>
      </c>
      <c r="C27" s="3">
        <v>1.01E-2</v>
      </c>
      <c r="D27" s="3">
        <v>5.0003000000000002</v>
      </c>
      <c r="E27" s="3">
        <v>495.0792079207921</v>
      </c>
      <c r="F27" s="8">
        <f t="shared" si="11"/>
        <v>9.8035686704785281</v>
      </c>
      <c r="G27" s="9">
        <f t="shared" si="12"/>
        <v>1.9802020593131037E-2</v>
      </c>
      <c r="H27" s="30"/>
      <c r="I27" t="s">
        <v>31</v>
      </c>
      <c r="J27">
        <v>115.19999999999999</v>
      </c>
      <c r="K27">
        <f t="shared" si="10"/>
        <v>1.697056274847714</v>
      </c>
      <c r="L27" s="37"/>
      <c r="M27">
        <f t="shared" si="8"/>
        <v>0.59581874298735493</v>
      </c>
      <c r="N27">
        <f t="shared" si="9"/>
        <v>1.5547515090428864E-2</v>
      </c>
      <c r="O27" s="10">
        <f t="shared" si="5"/>
        <v>2.6094370600823528E-2</v>
      </c>
    </row>
    <row r="28" spans="2:15" x14ac:dyDescent="0.25">
      <c r="B28" s="3" t="s">
        <v>32</v>
      </c>
      <c r="C28" s="3">
        <v>5.7000000000000002E-3</v>
      </c>
      <c r="D28" s="3">
        <v>4.8712999999999997</v>
      </c>
      <c r="E28" s="3">
        <v>854.61403508771923</v>
      </c>
      <c r="F28" s="8">
        <f t="shared" si="11"/>
        <v>29.986477899892936</v>
      </c>
      <c r="G28" s="9">
        <f t="shared" si="12"/>
        <v>3.5087743318906607E-2</v>
      </c>
      <c r="H28" s="30"/>
      <c r="I28" t="s">
        <v>32</v>
      </c>
      <c r="J28">
        <v>4.8000000000000007</v>
      </c>
      <c r="K28">
        <f t="shared" si="10"/>
        <v>0.34641016151377552</v>
      </c>
      <c r="L28" s="37"/>
      <c r="M28">
        <f t="shared" si="8"/>
        <v>4.2854679613103991E-2</v>
      </c>
      <c r="N28">
        <f t="shared" si="9"/>
        <v>3.4580474578291133E-3</v>
      </c>
      <c r="O28" s="10">
        <f t="shared" si="5"/>
        <v>8.0692411868404701E-2</v>
      </c>
    </row>
    <row r="29" spans="2:15" x14ac:dyDescent="0.25">
      <c r="B29" s="3" t="s">
        <v>13</v>
      </c>
      <c r="C29" s="4">
        <v>2.5381</v>
      </c>
      <c r="D29" s="3">
        <v>5.0625</v>
      </c>
      <c r="E29" s="3">
        <v>1.9946022615342185</v>
      </c>
      <c r="F29" s="8">
        <f t="shared" si="11"/>
        <v>1.7581981791480486E-4</v>
      </c>
      <c r="G29" s="9">
        <f t="shared" si="12"/>
        <v>8.8147808365346417E-5</v>
      </c>
      <c r="H29" s="30"/>
      <c r="I29" t="s">
        <v>13</v>
      </c>
      <c r="J29">
        <v>1797.6999999999998</v>
      </c>
      <c r="K29">
        <f t="shared" si="10"/>
        <v>6.7039167655930809</v>
      </c>
      <c r="L29" s="37"/>
      <c r="M29">
        <f t="shared" si="8"/>
        <v>3.7459374390456351E-2</v>
      </c>
      <c r="N29">
        <f t="shared" si="9"/>
        <v>3.4677083318140347E-4</v>
      </c>
      <c r="O29" s="10">
        <f t="shared" si="5"/>
        <v>9.2572510572881163E-3</v>
      </c>
    </row>
    <row r="30" spans="2:15" x14ac:dyDescent="0.25">
      <c r="B30" s="3" t="s">
        <v>14</v>
      </c>
      <c r="C30" s="4">
        <v>2.7002000000000002</v>
      </c>
      <c r="D30" s="3">
        <v>5.3585000000000003</v>
      </c>
      <c r="E30" s="3">
        <v>1.9844826309162285</v>
      </c>
      <c r="F30" s="8">
        <f t="shared" si="11"/>
        <v>1.6459518971101252E-4</v>
      </c>
      <c r="G30" s="9">
        <f t="shared" si="12"/>
        <v>8.2941108753881867E-5</v>
      </c>
      <c r="H30" s="30"/>
      <c r="I30" t="s">
        <v>14</v>
      </c>
      <c r="J30">
        <v>361.6</v>
      </c>
      <c r="K30">
        <f t="shared" si="10"/>
        <v>3.0066592756745818</v>
      </c>
      <c r="L30" s="37"/>
      <c r="M30">
        <f t="shared" si="8"/>
        <v>7.4965720317445028E-3</v>
      </c>
      <c r="N30">
        <f t="shared" si="9"/>
        <v>8.8993598448721615E-5</v>
      </c>
      <c r="O30" s="10">
        <f t="shared" si="5"/>
        <v>1.1871239023899862E-2</v>
      </c>
    </row>
    <row r="31" spans="2:15" x14ac:dyDescent="0.25">
      <c r="B31" s="3" t="s">
        <v>15</v>
      </c>
      <c r="C31" s="4">
        <v>2.6623999999999999</v>
      </c>
      <c r="D31" s="3">
        <v>5.5254000000000003</v>
      </c>
      <c r="E31" s="3">
        <v>2.0753455528846154</v>
      </c>
      <c r="F31" s="8">
        <f t="shared" si="11"/>
        <v>1.7305480235115642E-4</v>
      </c>
      <c r="G31" s="9">
        <f t="shared" si="12"/>
        <v>8.3386018347942026E-5</v>
      </c>
      <c r="H31" s="30"/>
      <c r="I31" t="s">
        <v>15</v>
      </c>
      <c r="J31">
        <v>84.8</v>
      </c>
      <c r="K31">
        <f t="shared" si="10"/>
        <v>1.4560219778561037</v>
      </c>
      <c r="L31" s="37"/>
      <c r="M31">
        <f t="shared" si="8"/>
        <v>1.8385407722094267E-3</v>
      </c>
      <c r="N31">
        <f t="shared" si="9"/>
        <v>3.5202200896395961E-5</v>
      </c>
      <c r="O31" s="10">
        <f t="shared" si="5"/>
        <v>1.9146815468276221E-2</v>
      </c>
    </row>
    <row r="32" spans="2:15" x14ac:dyDescent="0.25">
      <c r="B32" s="3" t="s">
        <v>16</v>
      </c>
      <c r="C32" s="4">
        <v>2.5741999999999998</v>
      </c>
      <c r="D32" s="3">
        <v>5.1252000000000004</v>
      </c>
      <c r="E32" s="3">
        <v>1.9909874912594208</v>
      </c>
      <c r="F32" s="8">
        <f t="shared" si="11"/>
        <v>1.7310314585262601E-4</v>
      </c>
      <c r="G32" s="9">
        <f t="shared" si="12"/>
        <v>8.6943361830529498E-5</v>
      </c>
      <c r="H32" s="30"/>
      <c r="I32" t="s">
        <v>16</v>
      </c>
      <c r="J32">
        <v>2233</v>
      </c>
      <c r="K32">
        <f t="shared" si="10"/>
        <v>7.4716129450072559</v>
      </c>
      <c r="L32" s="37"/>
      <c r="M32">
        <f t="shared" si="8"/>
        <v>4.644556485341552E-2</v>
      </c>
      <c r="N32">
        <f t="shared" si="9"/>
        <v>4.2310234396084089E-4</v>
      </c>
      <c r="O32" s="10">
        <f t="shared" si="5"/>
        <v>9.1096393228540257E-3</v>
      </c>
    </row>
    <row r="33" spans="1:15" x14ac:dyDescent="0.25">
      <c r="B33" s="3" t="s">
        <v>17</v>
      </c>
      <c r="C33" s="4">
        <v>2.5093000000000001</v>
      </c>
      <c r="D33" s="3">
        <v>5.0574000000000003</v>
      </c>
      <c r="E33" s="3">
        <v>2.0154624795759775</v>
      </c>
      <c r="F33" s="8">
        <f t="shared" si="11"/>
        <v>1.7932560206231394E-4</v>
      </c>
      <c r="G33" s="9">
        <f t="shared" si="12"/>
        <v>8.8974914631028662E-5</v>
      </c>
      <c r="H33" s="30"/>
      <c r="I33" t="s">
        <v>17</v>
      </c>
      <c r="J33">
        <v>2104.1799999999994</v>
      </c>
      <c r="K33">
        <f t="shared" si="10"/>
        <v>7.2528959733336853</v>
      </c>
      <c r="L33" s="37"/>
      <c r="M33">
        <f t="shared" si="8"/>
        <v>4.430416954460837E-2</v>
      </c>
      <c r="N33">
        <f t="shared" si="9"/>
        <v>4.0525917260453591E-4</v>
      </c>
      <c r="O33" s="10">
        <f t="shared" si="5"/>
        <v>9.1472016464837283E-3</v>
      </c>
    </row>
    <row r="34" spans="1:15" x14ac:dyDescent="0.25">
      <c r="B34" s="3" t="s">
        <v>18</v>
      </c>
      <c r="C34" s="4">
        <v>2.4788999999999999</v>
      </c>
      <c r="D34" s="3">
        <v>5.0540000000000003</v>
      </c>
      <c r="E34" s="3">
        <v>2.0388075356004682</v>
      </c>
      <c r="F34" s="8">
        <f t="shared" si="11"/>
        <v>1.8321391048842223E-4</v>
      </c>
      <c r="G34" s="9">
        <f t="shared" si="12"/>
        <v>8.9863269234220384E-5</v>
      </c>
      <c r="H34" s="30"/>
      <c r="I34" t="s">
        <v>18</v>
      </c>
      <c r="J34">
        <v>2187.4</v>
      </c>
      <c r="K34">
        <f t="shared" si="10"/>
        <v>7.3949306960917491</v>
      </c>
      <c r="L34" s="35"/>
      <c r="M34">
        <f t="shared" si="8"/>
        <v>4.6589862882137623E-2</v>
      </c>
      <c r="N34">
        <f t="shared" si="9"/>
        <v>4.2501457282420461E-4</v>
      </c>
      <c r="O34" s="10">
        <f t="shared" si="5"/>
        <v>9.1224688490584415E-3</v>
      </c>
    </row>
    <row r="35" spans="1:15" s="11" customFormat="1" ht="30.75" thickBot="1" x14ac:dyDescent="0.3">
      <c r="A35" s="39"/>
      <c r="B35" s="39"/>
      <c r="C35" s="39"/>
      <c r="D35" s="39"/>
      <c r="E35" s="39"/>
      <c r="F35" s="39"/>
      <c r="G35" s="39"/>
      <c r="H35" s="40" t="s">
        <v>61</v>
      </c>
      <c r="I35" s="41" t="s">
        <v>62</v>
      </c>
      <c r="J35" s="42">
        <v>1.0259183153756501E-5</v>
      </c>
      <c r="K35" s="42">
        <v>7.67388264779313E-8</v>
      </c>
      <c r="L35" s="43"/>
      <c r="M35" s="39"/>
      <c r="N35" s="39"/>
      <c r="O35" s="39"/>
    </row>
    <row r="36" spans="1:15" ht="30.75" thickTop="1" x14ac:dyDescent="0.25">
      <c r="A36" s="29" t="s">
        <v>47</v>
      </c>
      <c r="B36">
        <f>1/8</f>
        <v>0.125</v>
      </c>
      <c r="I36" t="s">
        <v>59</v>
      </c>
    </row>
    <row r="37" spans="1:15" ht="30" x14ac:dyDescent="0.25">
      <c r="A37" s="29" t="s">
        <v>48</v>
      </c>
      <c r="B37">
        <v>0.5</v>
      </c>
      <c r="I37" t="s">
        <v>60</v>
      </c>
    </row>
    <row r="40" spans="1:15" x14ac:dyDescent="0.25">
      <c r="C40" s="5"/>
      <c r="E40" s="14"/>
    </row>
    <row r="41" spans="1:15" x14ac:dyDescent="0.25">
      <c r="C41" s="7"/>
      <c r="D41" s="14"/>
      <c r="E41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pane ySplit="1" topLeftCell="A2" activePane="bottomLeft" state="frozen"/>
      <selection pane="bottomLeft" activeCell="A19" sqref="A19:XFD19"/>
    </sheetView>
  </sheetViews>
  <sheetFormatPr defaultRowHeight="15" x14ac:dyDescent="0.25"/>
  <cols>
    <col min="1" max="1" width="17" bestFit="1" customWidth="1"/>
    <col min="4" max="4" width="12" customWidth="1"/>
  </cols>
  <sheetData>
    <row r="1" spans="1:10" x14ac:dyDescent="0.25">
      <c r="A1" t="str">
        <f>Pm_Calculations!B5</f>
        <v>Sample ID</v>
      </c>
      <c r="B1" t="str">
        <f>Pm_Calculations!M5</f>
        <v>Pm147</v>
      </c>
      <c r="C1" t="str">
        <f>Pm_Calculations!N5</f>
        <v>±</v>
      </c>
      <c r="D1" s="56" t="str">
        <f>Pm_Calculations!O5</f>
        <v>%</v>
      </c>
      <c r="F1" t="s">
        <v>50</v>
      </c>
      <c r="H1" t="s">
        <v>55</v>
      </c>
      <c r="I1" t="s">
        <v>33</v>
      </c>
      <c r="J1" t="s">
        <v>36</v>
      </c>
    </row>
    <row r="2" spans="1:10" x14ac:dyDescent="0.25">
      <c r="A2" t="str">
        <f>Pm_Calculations!B6</f>
        <v>87G Trace</v>
      </c>
      <c r="B2">
        <f>IF(Pm_Calculations!M6&gt;SUM($B$30:$D$30),(Pm_Calculations!M6-SUM($B$30:$D$30))*$B$32,"LLD")</f>
        <v>9.8323087709036123</v>
      </c>
      <c r="C2">
        <f>IF(Pm_Calculations!M6&gt;SUM($B$30:$D$30),(Pm_Calculations!N6^2+$B$31^2+$C$31^2+$D$31^2)^0.5,"LLD")</f>
        <v>0.2756675634170877</v>
      </c>
      <c r="D2" s="57">
        <f>IF(Pm_Calculations!M6&gt;SUM($B$30:$D$30),C2/B2,"LLD")</f>
        <v>2.8036910743981163E-2</v>
      </c>
      <c r="F2">
        <f t="shared" ref="F2:F29" si="0">IF(C2="LLD","LLD",C2^2)</f>
        <v>7.5992605520314074E-2</v>
      </c>
      <c r="H2">
        <f t="shared" ref="H2:H29" si="1">IF(SUM(B2)=0,"LLD",SUM(B2))</f>
        <v>9.8323087709036123</v>
      </c>
      <c r="I2">
        <f t="shared" ref="I2:I29" si="2">IF(H2="LLD","LLD",SUM(F2)^0.5)</f>
        <v>0.2756675634170877</v>
      </c>
      <c r="J2" s="10">
        <f>IF(H2="LLD","LLD",I2/H2)</f>
        <v>2.8036910743981163E-2</v>
      </c>
    </row>
    <row r="3" spans="1:10" x14ac:dyDescent="0.25">
      <c r="A3" t="str">
        <f>Pm_Calculations!B7</f>
        <v>90G Trace</v>
      </c>
      <c r="B3">
        <f>IF(Pm_Calculations!M7&gt;SUM($B$30:$D$30),(Pm_Calculations!M7-SUM($B$30:$D$30))*$B$32,"LLD")</f>
        <v>0.24027439348204321</v>
      </c>
      <c r="C3">
        <f>IF(Pm_Calculations!M7&gt;SUM($B$30:$D$30),(Pm_Calculations!N7^2+$B$31^2+$C$31^2+$D$31^2)^0.5,"LLD")</f>
        <v>1.7814152162943551E-2</v>
      </c>
      <c r="D3" s="57">
        <f>IF(Pm_Calculations!M7&gt;SUM($B$30:$D$30),C3/B3,"LLD")</f>
        <v>7.4140868299704538E-2</v>
      </c>
      <c r="F3">
        <f t="shared" si="0"/>
        <v>3.173440172845064E-4</v>
      </c>
      <c r="H3">
        <f t="shared" si="1"/>
        <v>0.24027439348204321</v>
      </c>
      <c r="I3">
        <f t="shared" si="2"/>
        <v>1.7814152162943551E-2</v>
      </c>
      <c r="J3" s="10">
        <f t="shared" ref="J3:J29" si="3">IF(H3="LLD","LLD",I3/H3)</f>
        <v>7.4140868299704538E-2</v>
      </c>
    </row>
    <row r="4" spans="1:10" x14ac:dyDescent="0.25">
      <c r="A4" t="str">
        <f>Pm_Calculations!B8</f>
        <v>93G Trace</v>
      </c>
      <c r="B4">
        <f>IF(Pm_Calculations!M8&gt;SUM($B$30:$D$30),(Pm_Calculations!M8-SUM($B$30:$D$30))*$B$32,"LLD")</f>
        <v>3.3682042763395416E-3</v>
      </c>
      <c r="C4">
        <f>IF(Pm_Calculations!M8&gt;SUM($B$30:$D$30),(Pm_Calculations!N8^2+$B$31^2+$C$31^2+$D$31^2)^0.5,"LLD")</f>
        <v>1.7009866504752228E-2</v>
      </c>
      <c r="D4" s="57">
        <f>IF(Pm_Calculations!M8&gt;SUM($B$30:$D$30),C4/B4,"LLD")</f>
        <v>5.0501291219896007</v>
      </c>
      <c r="F4">
        <f t="shared" si="0"/>
        <v>2.893355585094918E-4</v>
      </c>
      <c r="H4">
        <f t="shared" si="1"/>
        <v>3.3682042763395416E-3</v>
      </c>
      <c r="I4">
        <f t="shared" si="2"/>
        <v>1.7009866504752228E-2</v>
      </c>
      <c r="J4" s="10">
        <f t="shared" si="3"/>
        <v>5.0501291219896007</v>
      </c>
    </row>
    <row r="5" spans="1:10" x14ac:dyDescent="0.25">
      <c r="A5" t="str">
        <f>Pm_Calculations!B9</f>
        <v>96G Trace</v>
      </c>
      <c r="B5" t="str">
        <f>IF(Pm_Calculations!M9&gt;SUM($B$30:$D$30),(Pm_Calculations!M9-SUM($B$30:$D$30))*$B$32,"LLD")</f>
        <v>LLD</v>
      </c>
      <c r="C5" t="str">
        <f>IF(Pm_Calculations!M9&gt;SUM($B$30:$D$30),(Pm_Calculations!N9^2+$B$31^2+$C$31^2+$D$31^2)^0.5,"LLD")</f>
        <v>LLD</v>
      </c>
      <c r="D5" s="57" t="str">
        <f>IF(Pm_Calculations!M9&gt;SUM($B$30:$D$30),C5/B5,"LLD")</f>
        <v>LLD</v>
      </c>
      <c r="F5" t="str">
        <f t="shared" si="0"/>
        <v>LLD</v>
      </c>
      <c r="H5" t="str">
        <f t="shared" si="1"/>
        <v>LLD</v>
      </c>
      <c r="I5" t="str">
        <f t="shared" si="2"/>
        <v>LLD</v>
      </c>
      <c r="J5" s="10" t="str">
        <f t="shared" si="3"/>
        <v>LLD</v>
      </c>
    </row>
    <row r="6" spans="1:10" x14ac:dyDescent="0.25">
      <c r="A6" t="str">
        <f>Pm_Calculations!B10</f>
        <v>30G Trace Waste</v>
      </c>
      <c r="B6">
        <f>IF(Pm_Calculations!M10&gt;SUM($B$30:$D$30),(Pm_Calculations!M10-SUM($B$30:$D$30))*$B$32,"LLD")</f>
        <v>12.500450882133892</v>
      </c>
      <c r="C6">
        <f>IF(Pm_Calculations!M10&gt;SUM($B$30:$D$30),(Pm_Calculations!N10^2+$B$31^2+$C$31^2+$D$31^2)^0.5,"LLD")</f>
        <v>0.22334496845482402</v>
      </c>
      <c r="D6" s="57">
        <f>IF(Pm_Calculations!M10&gt;SUM($B$30:$D$30),C6/B6,"LLD")</f>
        <v>1.7866953005194152E-2</v>
      </c>
      <c r="F6">
        <f t="shared" si="0"/>
        <v>4.9882974934086333E-2</v>
      </c>
      <c r="H6">
        <f t="shared" si="1"/>
        <v>12.500450882133892</v>
      </c>
      <c r="I6">
        <f t="shared" si="2"/>
        <v>0.22334496845482402</v>
      </c>
      <c r="J6" s="10">
        <f t="shared" si="3"/>
        <v>1.7866953005194152E-2</v>
      </c>
    </row>
    <row r="7" spans="1:10" x14ac:dyDescent="0.25">
      <c r="A7" t="str">
        <f>Pm_Calculations!B11</f>
        <v>30G Trace Original</v>
      </c>
      <c r="B7">
        <f>IF(Pm_Calculations!M11&gt;SUM($B$30:$D$30),(Pm_Calculations!M11-SUM($B$30:$D$30))*$B$32,"LLD")</f>
        <v>9.1815866210994379</v>
      </c>
      <c r="C7">
        <f>IF(Pm_Calculations!M11&gt;SUM($B$30:$D$30),(Pm_Calculations!N11^2+$B$31^2+$C$31^2+$D$31^2)^0.5,"LLD")</f>
        <v>0.14473791864364538</v>
      </c>
      <c r="D7" s="57">
        <f>IF(Pm_Calculations!M11&gt;SUM($B$30:$D$30),C7/B7,"LLD")</f>
        <v>1.576393325212826E-2</v>
      </c>
      <c r="F7">
        <f t="shared" si="0"/>
        <v>2.094906509329451E-2</v>
      </c>
      <c r="H7">
        <f t="shared" si="1"/>
        <v>9.1815866210994379</v>
      </c>
      <c r="I7">
        <f t="shared" si="2"/>
        <v>0.14473791864364538</v>
      </c>
      <c r="J7" s="10">
        <f t="shared" si="3"/>
        <v>1.576393325212826E-2</v>
      </c>
    </row>
    <row r="8" spans="1:10" x14ac:dyDescent="0.25">
      <c r="A8" t="str">
        <f>Pm_Calculations!B13</f>
        <v>42G taper</v>
      </c>
      <c r="B8">
        <f>IF(Pm_Calculations!M13&gt;SUM($B$30:$D$30),(Pm_Calculations!M13-SUM($B$30:$D$30))*$B$32,"LLD")</f>
        <v>0.21486460128516274</v>
      </c>
      <c r="C8">
        <f>IF(Pm_Calculations!M13&gt;SUM($B$30:$D$30),(Pm_Calculations!N13^2+$B$31^2+$C$31^2+$D$31^2)^0.5,"LLD")</f>
        <v>1.7420528441852816E-2</v>
      </c>
      <c r="D8" s="57">
        <f>IF(Pm_Calculations!M13&gt;SUM($B$30:$D$30),C8/B8,"LLD")</f>
        <v>8.1076772710143824E-2</v>
      </c>
      <c r="F8">
        <f t="shared" si="0"/>
        <v>3.034748111934029E-4</v>
      </c>
      <c r="H8">
        <f t="shared" si="1"/>
        <v>0.21486460128516274</v>
      </c>
      <c r="I8">
        <f t="shared" si="2"/>
        <v>1.7420528441852816E-2</v>
      </c>
      <c r="J8" s="10">
        <f t="shared" si="3"/>
        <v>8.1076772710143824E-2</v>
      </c>
    </row>
    <row r="9" spans="1:10" x14ac:dyDescent="0.25">
      <c r="A9" t="str">
        <f>Pm_Calculations!B14</f>
        <v>70G</v>
      </c>
      <c r="B9">
        <f>IF(Pm_Calculations!M14&gt;SUM($B$30:$D$30),(Pm_Calculations!M14-SUM($B$30:$D$30))*$B$32,"LLD")</f>
        <v>1.436401282979168E-2</v>
      </c>
      <c r="C9">
        <f>IF(Pm_Calculations!M14&gt;SUM($B$30:$D$30),(Pm_Calculations!N14^2+$B$31^2+$C$31^2+$D$31^2)^0.5,"LLD")</f>
        <v>1.7042999514326595E-2</v>
      </c>
      <c r="D9" s="57">
        <f>IF(Pm_Calculations!M14&gt;SUM($B$30:$D$30),C9/B9,"LLD")</f>
        <v>1.186506842919171</v>
      </c>
      <c r="F9">
        <f t="shared" si="0"/>
        <v>2.9046383244533654E-4</v>
      </c>
      <c r="H9">
        <f t="shared" si="1"/>
        <v>1.436401282979168E-2</v>
      </c>
      <c r="I9">
        <f t="shared" si="2"/>
        <v>1.7042999514326595E-2</v>
      </c>
      <c r="J9" s="10">
        <f t="shared" si="3"/>
        <v>1.186506842919171</v>
      </c>
    </row>
    <row r="10" spans="1:10" x14ac:dyDescent="0.25">
      <c r="A10" t="str">
        <f>Pm_Calculations!B15</f>
        <v>71G</v>
      </c>
      <c r="B10">
        <f>IF(Pm_Calculations!M15&gt;SUM($B$30:$D$30),(Pm_Calculations!M15-SUM($B$30:$D$30))*$B$32,"LLD")</f>
        <v>5.9726718224805469E-3</v>
      </c>
      <c r="C10">
        <f>IF(Pm_Calculations!M15&gt;SUM($B$30:$D$30),(Pm_Calculations!N15^2+$B$31^2+$C$31^2+$D$31^2)^0.5,"LLD")</f>
        <v>1.7016666576204861E-2</v>
      </c>
      <c r="D10" s="57">
        <f>IF(Pm_Calculations!M15&gt;SUM($B$30:$D$30),C10/B10,"LLD")</f>
        <v>2.8490878256789212</v>
      </c>
      <c r="F10">
        <f t="shared" si="0"/>
        <v>2.8956694136572766E-4</v>
      </c>
      <c r="H10">
        <f t="shared" si="1"/>
        <v>5.9726718224805469E-3</v>
      </c>
      <c r="I10">
        <f t="shared" si="2"/>
        <v>1.7016666576204861E-2</v>
      </c>
      <c r="J10" s="10">
        <f t="shared" si="3"/>
        <v>2.8490878256789212</v>
      </c>
    </row>
    <row r="11" spans="1:10" x14ac:dyDescent="0.25">
      <c r="A11" t="str">
        <f>Pm_Calculations!B16</f>
        <v>72G</v>
      </c>
      <c r="B11">
        <f>IF(Pm_Calculations!M16&gt;SUM($B$30:$D$30),(Pm_Calculations!M16-SUM($B$30:$D$30))*$B$32,"LLD")</f>
        <v>8.3014631532819343E-3</v>
      </c>
      <c r="C11">
        <f>IF(Pm_Calculations!M16&gt;SUM($B$30:$D$30),(Pm_Calculations!N16^2+$B$31^2+$C$31^2+$D$31^2)^0.5,"LLD")</f>
        <v>1.7025200804691266E-2</v>
      </c>
      <c r="D11" s="57">
        <f>IF(Pm_Calculations!M16&gt;SUM($B$30:$D$30),C11/B11,"LLD")</f>
        <v>2.0508674784589576</v>
      </c>
      <c r="F11">
        <f t="shared" si="0"/>
        <v>2.8985746244006012E-4</v>
      </c>
      <c r="H11">
        <f t="shared" si="1"/>
        <v>8.3014631532819343E-3</v>
      </c>
      <c r="I11">
        <f t="shared" si="2"/>
        <v>1.7025200804691266E-2</v>
      </c>
      <c r="J11" s="10">
        <f t="shared" si="3"/>
        <v>2.0508674784589576</v>
      </c>
    </row>
    <row r="12" spans="1:10" x14ac:dyDescent="0.25">
      <c r="A12" t="str">
        <f>Pm_Calculations!B17</f>
        <v>73G</v>
      </c>
      <c r="B12">
        <f>IF(Pm_Calculations!M17&gt;SUM($B$30:$D$30),(Pm_Calculations!M17-SUM($B$30:$D$30))*$B$32,"LLD")</f>
        <v>1.5147636660431021E-2</v>
      </c>
      <c r="C12">
        <f>IF(Pm_Calculations!M17&gt;SUM($B$30:$D$30),(Pm_Calculations!N17^2+$B$31^2+$C$31^2+$D$31^2)^0.5,"LLD")</f>
        <v>1.7040978752965532E-2</v>
      </c>
      <c r="D12" s="57">
        <f>IF(Pm_Calculations!M17&gt;SUM($B$30:$D$30),C12/B12,"LLD")</f>
        <v>1.1249925737577493</v>
      </c>
      <c r="F12">
        <f t="shared" si="0"/>
        <v>2.9039495685902271E-4</v>
      </c>
      <c r="H12">
        <f t="shared" si="1"/>
        <v>1.5147636660431021E-2</v>
      </c>
      <c r="I12">
        <f t="shared" si="2"/>
        <v>1.7040978752965532E-2</v>
      </c>
      <c r="J12" s="10">
        <f t="shared" si="3"/>
        <v>1.1249925737577493</v>
      </c>
    </row>
    <row r="13" spans="1:10" x14ac:dyDescent="0.25">
      <c r="A13" t="str">
        <f>Pm_Calculations!B18</f>
        <v xml:space="preserve">74G </v>
      </c>
      <c r="B13">
        <f>IF(Pm_Calculations!M18&gt;SUM($B$30:$D$30),(Pm_Calculations!M18-SUM($B$30:$D$30))*$B$32,"LLD")</f>
        <v>4.4305613517718412E-3</v>
      </c>
      <c r="C13">
        <f>IF(Pm_Calculations!M18&gt;SUM($B$30:$D$30),(Pm_Calculations!N18^2+$B$31^2+$C$31^2+$D$31^2)^0.5,"LLD")</f>
        <v>1.7008468218699998E-2</v>
      </c>
      <c r="D13" s="57">
        <f>IF(Pm_Calculations!M18&gt;SUM($B$30:$D$30),C13/B13,"LLD")</f>
        <v>3.8388968955137215</v>
      </c>
      <c r="F13">
        <f t="shared" si="0"/>
        <v>2.8928799114652786E-4</v>
      </c>
      <c r="H13">
        <f t="shared" si="1"/>
        <v>4.4305613517718412E-3</v>
      </c>
      <c r="I13">
        <f t="shared" si="2"/>
        <v>1.7008468218699998E-2</v>
      </c>
      <c r="J13" s="10">
        <f t="shared" si="3"/>
        <v>3.8388968955137215</v>
      </c>
    </row>
    <row r="14" spans="1:10" x14ac:dyDescent="0.25">
      <c r="A14" t="str">
        <f>Pm_Calculations!B19</f>
        <v xml:space="preserve">75G trace waste </v>
      </c>
      <c r="B14" t="e">
        <f>IF(Pm_Calculations!M19&gt;SUM($B$30:$D$30),(Pm_Calculations!M19-SUM($B$30:$D$30))*$B$32,"LLD")</f>
        <v>#VALUE!</v>
      </c>
      <c r="C14" t="e">
        <f>IF(Pm_Calculations!M19&gt;SUM($B$30:$D$30),(Pm_Calculations!N19^2+$B$31^2+$C$31^2+$D$31^2)^0.5,"LLD")</f>
        <v>#VALUE!</v>
      </c>
      <c r="D14" s="57" t="e">
        <f>IF(Pm_Calculations!M19&gt;SUM($B$30:$D$30),C14/B14,"LLD")</f>
        <v>#VALUE!</v>
      </c>
      <c r="F14" t="e">
        <f t="shared" si="0"/>
        <v>#VALUE!</v>
      </c>
      <c r="H14" t="e">
        <f t="shared" si="1"/>
        <v>#VALUE!</v>
      </c>
      <c r="I14" t="e">
        <f t="shared" si="2"/>
        <v>#VALUE!</v>
      </c>
      <c r="J14" s="10" t="e">
        <f t="shared" si="3"/>
        <v>#VALUE!</v>
      </c>
    </row>
    <row r="15" spans="1:10" x14ac:dyDescent="0.25">
      <c r="A15" t="str">
        <f>Pm_Calculations!B20</f>
        <v>81G trace</v>
      </c>
      <c r="B15" t="str">
        <f>IF(Pm_Calculations!M20&gt;SUM($B$30:$D$30),(Pm_Calculations!M20-SUM($B$30:$D$30))*$B$32,"LLD")</f>
        <v>LLD</v>
      </c>
      <c r="C15" t="str">
        <f>IF(Pm_Calculations!M20&gt;SUM($B$30:$D$30),(Pm_Calculations!N20^2+$B$31^2+$C$31^2+$D$31^2)^0.5,"LLD")</f>
        <v>LLD</v>
      </c>
      <c r="D15" s="57" t="str">
        <f>IF(Pm_Calculations!M20&gt;SUM($B$30:$D$30),C15/B15,"LLD")</f>
        <v>LLD</v>
      </c>
      <c r="F15" t="str">
        <f t="shared" si="0"/>
        <v>LLD</v>
      </c>
      <c r="H15" t="str">
        <f t="shared" si="1"/>
        <v>LLD</v>
      </c>
      <c r="I15" t="str">
        <f t="shared" si="2"/>
        <v>LLD</v>
      </c>
      <c r="J15" s="10" t="str">
        <f t="shared" si="3"/>
        <v>LLD</v>
      </c>
    </row>
    <row r="16" spans="1:10" x14ac:dyDescent="0.25">
      <c r="A16" t="str">
        <f>Pm_Calculations!B21</f>
        <v>82G trace</v>
      </c>
      <c r="B16">
        <f>IF(Pm_Calculations!M21&gt;SUM($B$30:$D$30),(Pm_Calculations!M21-SUM($B$30:$D$30))*$B$32,"LLD")</f>
        <v>1.016549125915508E-4</v>
      </c>
      <c r="C16">
        <f>IF(Pm_Calculations!M21&gt;SUM($B$30:$D$30),(Pm_Calculations!N21^2+$B$31^2+$C$31^2+$D$31^2)^0.5,"LLD")</f>
        <v>1.7006882706009838E-2</v>
      </c>
      <c r="D16" s="57">
        <f>IF(Pm_Calculations!M21&gt;SUM($B$30:$D$30),C16/B16,"LLD")</f>
        <v>167.30015571744627</v>
      </c>
      <c r="F16">
        <f t="shared" si="0"/>
        <v>2.892340593759765E-4</v>
      </c>
      <c r="H16">
        <f t="shared" si="1"/>
        <v>1.016549125915508E-4</v>
      </c>
      <c r="I16">
        <f t="shared" si="2"/>
        <v>1.7006882706009838E-2</v>
      </c>
      <c r="J16" s="10">
        <f t="shared" si="3"/>
        <v>167.30015571744627</v>
      </c>
    </row>
    <row r="17" spans="1:10" x14ac:dyDescent="0.25">
      <c r="A17" t="str">
        <f>Pm_Calculations!B22</f>
        <v>83G Trace</v>
      </c>
      <c r="B17" t="e">
        <f>IF(Pm_Calculations!M22&gt;SUM($B$30:$D$30),(Pm_Calculations!M22-SUM($B$30:$D$30))*$B$32,"LLD")</f>
        <v>#VALUE!</v>
      </c>
      <c r="C17" t="e">
        <f>IF(Pm_Calculations!M22&gt;SUM($B$30:$D$30),(Pm_Calculations!N22^2+$B$31^2+$C$31^2+$D$31^2)^0.5,"LLD")</f>
        <v>#VALUE!</v>
      </c>
      <c r="D17" s="57" t="e">
        <f>IF(Pm_Calculations!M22&gt;SUM($B$30:$D$30),C17/B17,"LLD")</f>
        <v>#VALUE!</v>
      </c>
      <c r="F17" t="e">
        <f t="shared" si="0"/>
        <v>#VALUE!</v>
      </c>
      <c r="H17" t="e">
        <f t="shared" si="1"/>
        <v>#VALUE!</v>
      </c>
      <c r="I17" t="e">
        <f t="shared" si="2"/>
        <v>#VALUE!</v>
      </c>
      <c r="J17" s="10" t="e">
        <f t="shared" si="3"/>
        <v>#VALUE!</v>
      </c>
    </row>
    <row r="18" spans="1:10" x14ac:dyDescent="0.25">
      <c r="A18" t="str">
        <f>Pm_Calculations!B23</f>
        <v>84G trace</v>
      </c>
      <c r="B18" t="str">
        <f>IF(Pm_Calculations!M23&gt;SUM($B$30:$D$30),(Pm_Calculations!M23-SUM($B$30:$D$30))*$B$32,"LLD")</f>
        <v>LLD</v>
      </c>
      <c r="C18" t="str">
        <f>IF(Pm_Calculations!M23&gt;SUM($B$30:$D$30),(Pm_Calculations!N23^2+$B$31^2+$C$31^2+$D$31^2)^0.5,"LLD")</f>
        <v>LLD</v>
      </c>
      <c r="D18" s="57" t="str">
        <f>IF(Pm_Calculations!M23&gt;SUM($B$30:$D$30),C18/B18,"LLD")</f>
        <v>LLD</v>
      </c>
      <c r="F18" t="str">
        <f t="shared" si="0"/>
        <v>LLD</v>
      </c>
      <c r="H18" t="str">
        <f t="shared" si="1"/>
        <v>LLD</v>
      </c>
      <c r="I18" t="str">
        <f t="shared" si="2"/>
        <v>LLD</v>
      </c>
      <c r="J18" s="10" t="str">
        <f t="shared" si="3"/>
        <v>LLD</v>
      </c>
    </row>
    <row r="19" spans="1:10" s="60" customFormat="1" x14ac:dyDescent="0.25">
      <c r="A19" s="60" t="str">
        <f>Pm_Calculations!B24</f>
        <v>86G Trace</v>
      </c>
      <c r="B19" s="60">
        <f>IF(Pm_Calculations!M24&gt;SUM($B$30:$D$30),(Pm_Calculations!M24-SUM($B$30:$D$30))*$B$32,"LLD")</f>
        <v>1.4632678098692631</v>
      </c>
      <c r="C19" s="60">
        <f>IF(Pm_Calculations!M24&gt;SUM($B$30:$D$30),(Pm_Calculations!N24^2+$B$31^2+$C$31^2+$D$31^2)^0.5,"LLD")</f>
        <v>4.9768692262586428E-2</v>
      </c>
      <c r="D19" s="61">
        <f>IF(Pm_Calculations!M24&gt;SUM($B$30:$D$30),C19/B19,"LLD")</f>
        <v>3.4012018802650389E-2</v>
      </c>
      <c r="F19" s="60">
        <f t="shared" si="0"/>
        <v>2.4769227295280303E-3</v>
      </c>
      <c r="H19" s="60">
        <f t="shared" si="1"/>
        <v>1.4632678098692631</v>
      </c>
      <c r="I19" s="60">
        <f t="shared" si="2"/>
        <v>4.9768692262586428E-2</v>
      </c>
      <c r="J19" s="62">
        <f t="shared" si="3"/>
        <v>3.4012018802650389E-2</v>
      </c>
    </row>
    <row r="20" spans="1:10" x14ac:dyDescent="0.25">
      <c r="A20" t="str">
        <f>Pm_Calculations!B25</f>
        <v>24G Taper Waste</v>
      </c>
      <c r="B20">
        <f>IF(Pm_Calculations!M25&gt;SUM($B$30:$D$30),(Pm_Calculations!M25-SUM($B$30:$D$30))*$B$32,"LLD")</f>
        <v>10.108936138226081</v>
      </c>
      <c r="C20">
        <f>IF(Pm_Calculations!M25&gt;SUM($B$30:$D$30),(Pm_Calculations!N25^2+$B$31^2+$C$31^2+$D$31^2)^0.5,"LLD")</f>
        <v>0.15529155404228015</v>
      </c>
      <c r="D20" s="57">
        <f>IF(Pm_Calculations!M25&gt;SUM($B$30:$D$30),C20/B20,"LLD")</f>
        <v>1.5361809780858974E-2</v>
      </c>
      <c r="F20">
        <f t="shared" si="0"/>
        <v>2.4115466756866415E-2</v>
      </c>
      <c r="H20">
        <f t="shared" si="1"/>
        <v>10.108936138226081</v>
      </c>
      <c r="I20">
        <f t="shared" si="2"/>
        <v>0.15529155404228015</v>
      </c>
      <c r="J20" s="10">
        <f t="shared" si="3"/>
        <v>1.5361809780858974E-2</v>
      </c>
    </row>
    <row r="21" spans="1:10" x14ac:dyDescent="0.25">
      <c r="A21" t="str">
        <f>Pm_Calculations!B26</f>
        <v>24G Trace Original</v>
      </c>
      <c r="B21">
        <f>IF(Pm_Calculations!M26&gt;SUM($B$30:$D$30),(Pm_Calculations!M26-SUM($B$30:$D$30))*$B$32,"LLD")</f>
        <v>11.039635541165106</v>
      </c>
      <c r="C21">
        <f>IF(Pm_Calculations!M26&gt;SUM($B$30:$D$30),(Pm_Calculations!N26^2+$B$31^2+$C$31^2+$D$31^2)^0.5,"LLD")</f>
        <v>0.20107817166730638</v>
      </c>
      <c r="D21" s="57">
        <f>IF(Pm_Calculations!M26&gt;SUM($B$30:$D$30),C21/B21,"LLD")</f>
        <v>1.8214203803877105E-2</v>
      </c>
      <c r="F21">
        <f t="shared" si="0"/>
        <v>4.0432431121066731E-2</v>
      </c>
      <c r="H21">
        <f t="shared" si="1"/>
        <v>11.039635541165106</v>
      </c>
      <c r="I21">
        <f t="shared" si="2"/>
        <v>0.20107817166730638</v>
      </c>
      <c r="J21" s="10">
        <f t="shared" si="3"/>
        <v>1.8214203803877105E-2</v>
      </c>
    </row>
    <row r="22" spans="1:10" x14ac:dyDescent="0.25">
      <c r="A22" t="str">
        <f>Pm_Calculations!B27</f>
        <v>53G</v>
      </c>
      <c r="B22">
        <f>IF(Pm_Calculations!M27&gt;SUM($B$30:$D$30),(Pm_Calculations!M27-SUM($B$30:$D$30))*$B$32,"LLD")</f>
        <v>0.36506762065216003</v>
      </c>
      <c r="C22">
        <f>IF(Pm_Calculations!M27&gt;SUM($B$30:$D$30),(Pm_Calculations!N27^2+$B$31^2+$C$31^2+$D$31^2)^0.5,"LLD")</f>
        <v>2.3037474373010451E-2</v>
      </c>
      <c r="D22" s="57">
        <f>IF(Pm_Calculations!M27&gt;SUM($B$30:$D$30),C22/B22,"LLD")</f>
        <v>6.3104677242687535E-2</v>
      </c>
      <c r="F22">
        <f t="shared" si="0"/>
        <v>5.3072522548711326E-4</v>
      </c>
      <c r="H22">
        <f t="shared" si="1"/>
        <v>0.36506762065216003</v>
      </c>
      <c r="I22">
        <f t="shared" si="2"/>
        <v>2.3037474373010451E-2</v>
      </c>
      <c r="J22" s="10">
        <f t="shared" si="3"/>
        <v>6.3104677242687535E-2</v>
      </c>
    </row>
    <row r="23" spans="1:10" x14ac:dyDescent="0.25">
      <c r="A23" t="str">
        <f>Pm_Calculations!B28</f>
        <v>94G</v>
      </c>
      <c r="B23">
        <f>IF(Pm_Calculations!M28&gt;SUM($B$30:$D$30),(Pm_Calculations!M28-SUM($B$30:$D$30))*$B$32,"LLD")</f>
        <v>2.2229901360124475E-2</v>
      </c>
      <c r="C23">
        <f>IF(Pm_Calculations!M28&gt;SUM($B$30:$D$30),(Pm_Calculations!N28^2+$B$31^2+$C$31^2+$D$31^2)^0.5,"LLD")</f>
        <v>1.7348143768732102E-2</v>
      </c>
      <c r="D23" s="57">
        <f>IF(Pm_Calculations!M28&gt;SUM($B$30:$D$30),C23/B23,"LLD")</f>
        <v>0.78039679473570822</v>
      </c>
      <c r="F23">
        <f t="shared" si="0"/>
        <v>3.0095809222059844E-4</v>
      </c>
      <c r="H23">
        <f t="shared" si="1"/>
        <v>2.2229901360124475E-2</v>
      </c>
      <c r="I23">
        <f t="shared" si="2"/>
        <v>1.7348143768732102E-2</v>
      </c>
      <c r="J23" s="10">
        <f t="shared" si="3"/>
        <v>0.78039679473570822</v>
      </c>
    </row>
    <row r="24" spans="1:10" x14ac:dyDescent="0.25">
      <c r="A24" t="str">
        <f>Pm_Calculations!B29</f>
        <v>47G</v>
      </c>
      <c r="B24">
        <f>IF(Pm_Calculations!M29&gt;SUM($B$30:$D$30),(Pm_Calculations!M29-SUM($B$30:$D$30))*$B$32,"LLD")</f>
        <v>1.8884812122082938E-2</v>
      </c>
      <c r="C24">
        <f>IF(Pm_Calculations!M29&gt;SUM($B$30:$D$30),(Pm_Calculations!N29^2+$B$31^2+$C$31^2+$D$31^2)^0.5,"LLD")</f>
        <v>1.7003536397195301E-2</v>
      </c>
      <c r="D24" s="57">
        <f>IF(Pm_Calculations!M29&gt;SUM($B$30:$D$30),C24/B24,"LLD")</f>
        <v>0.90038154932514425</v>
      </c>
      <c r="F24">
        <f t="shared" si="0"/>
        <v>2.8912025001074537E-4</v>
      </c>
      <c r="H24">
        <f t="shared" si="1"/>
        <v>1.8884812122082938E-2</v>
      </c>
      <c r="I24">
        <f t="shared" si="2"/>
        <v>1.7003536397195301E-2</v>
      </c>
      <c r="J24" s="10">
        <f t="shared" si="3"/>
        <v>0.90038154932514425</v>
      </c>
    </row>
    <row r="25" spans="1:10" x14ac:dyDescent="0.25">
      <c r="A25" t="str">
        <f>Pm_Calculations!B30</f>
        <v>48G</v>
      </c>
      <c r="B25">
        <f>IF(Pm_Calculations!M30&gt;SUM($B$30:$D$30),(Pm_Calculations!M30-SUM($B$30:$D$30))*$B$32,"LLD")</f>
        <v>3.0787465968159166E-4</v>
      </c>
      <c r="C25">
        <f>IF(Pm_Calculations!M30&gt;SUM($B$30:$D$30),(Pm_Calculations!N30^2+$B$31^2+$C$31^2+$D$31^2)^0.5,"LLD")</f>
        <v>1.7000232935479587E-2</v>
      </c>
      <c r="D25" s="57">
        <f>IF(Pm_Calculations!M30&gt;SUM($B$30:$D$30),C25/B25,"LLD")</f>
        <v>55.218032406634144</v>
      </c>
      <c r="F25">
        <f t="shared" si="0"/>
        <v>2.8900791986056487E-4</v>
      </c>
      <c r="H25">
        <f t="shared" si="1"/>
        <v>3.0787465968159166E-4</v>
      </c>
      <c r="I25">
        <f t="shared" si="2"/>
        <v>1.7000232935479587E-2</v>
      </c>
      <c r="J25" s="10">
        <f t="shared" si="3"/>
        <v>55.218032406634144</v>
      </c>
    </row>
    <row r="26" spans="1:10" x14ac:dyDescent="0.25">
      <c r="A26" t="str">
        <f>Pm_Calculations!B31</f>
        <v>49G</v>
      </c>
      <c r="B26" t="str">
        <f>IF(Pm_Calculations!M31&gt;SUM($B$30:$D$30),(Pm_Calculations!M31-SUM($B$30:$D$30))*$B$32,"LLD")</f>
        <v>LLD</v>
      </c>
      <c r="C26" t="str">
        <f>IF(Pm_Calculations!M31&gt;SUM($B$30:$D$30),(Pm_Calculations!N31^2+$B$31^2+$C$31^2+$D$31^2)^0.5,"LLD")</f>
        <v>LLD</v>
      </c>
      <c r="D26" s="57" t="str">
        <f>IF(Pm_Calculations!M31&gt;SUM($B$30:$D$30),C26/B26,"LLD")</f>
        <v>LLD</v>
      </c>
      <c r="F26" t="str">
        <f t="shared" si="0"/>
        <v>LLD</v>
      </c>
      <c r="H26" t="str">
        <f t="shared" si="1"/>
        <v>LLD</v>
      </c>
      <c r="I26" t="str">
        <f t="shared" si="2"/>
        <v>LLD</v>
      </c>
      <c r="J26" s="10" t="str">
        <f t="shared" si="3"/>
        <v>LLD</v>
      </c>
    </row>
    <row r="27" spans="1:10" x14ac:dyDescent="0.25">
      <c r="A27" t="str">
        <f>Pm_Calculations!B32</f>
        <v>50G</v>
      </c>
      <c r="B27">
        <f>IF(Pm_Calculations!M32&gt;SUM($B$30:$D$30),(Pm_Calculations!M32-SUM($B$30:$D$30))*$B$32,"LLD")</f>
        <v>2.4456250209117621E-2</v>
      </c>
      <c r="C27">
        <f>IF(Pm_Calculations!M32&gt;SUM($B$30:$D$30),(Pm_Calculations!N32^2+$B$31^2+$C$31^2+$D$31^2)^0.5,"LLD")</f>
        <v>1.7005264349414424E-2</v>
      </c>
      <c r="D27" s="57">
        <f>IF(Pm_Calculations!M32&gt;SUM($B$30:$D$30),C27/B27,"LLD")</f>
        <v>0.69533408449814726</v>
      </c>
      <c r="F27">
        <f t="shared" si="0"/>
        <v>2.8917901559346514E-4</v>
      </c>
      <c r="H27">
        <f t="shared" si="1"/>
        <v>2.4456250209117621E-2</v>
      </c>
      <c r="I27">
        <f t="shared" si="2"/>
        <v>1.7005264349414424E-2</v>
      </c>
      <c r="J27" s="10">
        <f t="shared" si="3"/>
        <v>0.69533408449814726</v>
      </c>
    </row>
    <row r="28" spans="1:10" x14ac:dyDescent="0.25">
      <c r="A28" t="str">
        <f>Pm_Calculations!B33</f>
        <v>51G</v>
      </c>
      <c r="B28">
        <f>IF(Pm_Calculations!M33&gt;SUM($B$30:$D$30),(Pm_Calculations!M33-SUM($B$30:$D$30))*$B$32,"LLD")</f>
        <v>2.312858511765719E-2</v>
      </c>
      <c r="C28">
        <f>IF(Pm_Calculations!M33&gt;SUM($B$30:$D$30),(Pm_Calculations!N33^2+$B$31^2+$C$31^2+$D$31^2)^0.5,"LLD")</f>
        <v>1.7004829755013138E-2</v>
      </c>
      <c r="D28" s="57">
        <f>IF(Pm_Calculations!M33&gt;SUM($B$30:$D$30),C28/B28,"LLD")</f>
        <v>0.73523000514333414</v>
      </c>
      <c r="F28">
        <f t="shared" si="0"/>
        <v>2.8916423499698017E-4</v>
      </c>
      <c r="H28">
        <f t="shared" si="1"/>
        <v>2.312858511765719E-2</v>
      </c>
      <c r="I28">
        <f t="shared" si="2"/>
        <v>1.7004829755013138E-2</v>
      </c>
      <c r="J28" s="10">
        <f t="shared" si="3"/>
        <v>0.73523000514333414</v>
      </c>
    </row>
    <row r="29" spans="1:10" ht="15.75" thickBot="1" x14ac:dyDescent="0.3">
      <c r="A29" t="str">
        <f>Pm_Calculations!B34</f>
        <v>52G</v>
      </c>
      <c r="B29">
        <f>IF(Pm_Calculations!M34&gt;SUM($B$30:$D$30),(Pm_Calculations!M34-SUM($B$30:$D$30))*$B$32,"LLD")</f>
        <v>2.4545714986925326E-2</v>
      </c>
      <c r="C29">
        <f>IF(Pm_Calculations!M34&gt;SUM($B$30:$D$30),(Pm_Calculations!N34^2+$B$31^2+$C$31^2+$D$31^2)^0.5,"LLD")</f>
        <v>1.7005312034394222E-2</v>
      </c>
      <c r="D29" s="57">
        <f>IF(Pm_Calculations!M34&gt;SUM($B$30:$D$30),C29/B29,"LLD")</f>
        <v>0.69280165778232072</v>
      </c>
      <c r="F29">
        <f t="shared" si="0"/>
        <v>2.8918063738711292E-4</v>
      </c>
      <c r="H29">
        <f t="shared" si="1"/>
        <v>2.4545714986925326E-2</v>
      </c>
      <c r="I29">
        <f t="shared" si="2"/>
        <v>1.7005312034394222E-2</v>
      </c>
      <c r="J29" s="10">
        <f t="shared" si="3"/>
        <v>0.69280165778232072</v>
      </c>
    </row>
    <row r="30" spans="1:10" ht="30.75" thickTop="1" x14ac:dyDescent="0.25">
      <c r="A30" s="50" t="s">
        <v>54</v>
      </c>
      <c r="B30" s="55">
        <v>7.0000000000000001E-3</v>
      </c>
      <c r="C30" s="51"/>
      <c r="D30" s="52"/>
      <c r="J30" s="10"/>
    </row>
    <row r="31" spans="1:10" ht="15.75" thickBot="1" x14ac:dyDescent="0.3">
      <c r="A31" s="53" t="s">
        <v>51</v>
      </c>
      <c r="B31" s="53">
        <v>1.7000000000000001E-2</v>
      </c>
      <c r="C31" s="48"/>
      <c r="D31" s="54"/>
    </row>
    <row r="32" spans="1:10" ht="16.5" thickTop="1" thickBot="1" x14ac:dyDescent="0.3">
      <c r="A32" s="58" t="s">
        <v>52</v>
      </c>
      <c r="B32" s="59">
        <v>0.62</v>
      </c>
      <c r="C32" s="23"/>
      <c r="D32" s="23"/>
    </row>
    <row r="33" spans="2:14" ht="15.75" thickTop="1" x14ac:dyDescent="0.25">
      <c r="B33" t="s">
        <v>56</v>
      </c>
      <c r="N33" s="23"/>
    </row>
    <row r="34" spans="2:14" x14ac:dyDescent="0.25">
      <c r="B34" t="s">
        <v>57</v>
      </c>
      <c r="N34" s="23"/>
    </row>
    <row r="36" spans="2:14" x14ac:dyDescent="0.25">
      <c r="K36" t="s">
        <v>41</v>
      </c>
    </row>
    <row r="37" spans="2:14" x14ac:dyDescent="0.25">
      <c r="K37" t="s">
        <v>42</v>
      </c>
    </row>
    <row r="38" spans="2:14" x14ac:dyDescent="0.25">
      <c r="K38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14" sqref="E14"/>
    </sheetView>
  </sheetViews>
  <sheetFormatPr defaultRowHeight="15" x14ac:dyDescent="0.25"/>
  <cols>
    <col min="1" max="1" width="17" bestFit="1" customWidth="1"/>
  </cols>
  <sheetData>
    <row r="1" spans="1:6" x14ac:dyDescent="0.25">
      <c r="A1" t="str">
        <f>PPB_Pm_Aliquot_Sent!A1</f>
        <v>Sample ID</v>
      </c>
      <c r="B1" s="24" t="str">
        <f>PPB_Pm_Aliquot_Sent!B1</f>
        <v>Pm147</v>
      </c>
      <c r="C1" t="str">
        <f>PPB_Pm_Aliquot_Sent!C1</f>
        <v>±</v>
      </c>
      <c r="D1" t="str">
        <f>PPB_Pm_Aliquot_Sent!D1</f>
        <v>%</v>
      </c>
    </row>
    <row r="2" spans="1:6" x14ac:dyDescent="0.25">
      <c r="A2" t="str">
        <f>PPB_Pm_Aliquot_Sent!A2</f>
        <v>87G Trace</v>
      </c>
      <c r="B2" s="24">
        <f>PPB_Pm_Aliquot_Sent!B2</f>
        <v>9.8323087709036123</v>
      </c>
      <c r="C2">
        <f>PPB_Pm_Aliquot_Sent!C2</f>
        <v>0.2756675634170877</v>
      </c>
      <c r="D2" s="10">
        <f>PPB_Pm_Aliquot_Sent!D2</f>
        <v>2.8036910743981163E-2</v>
      </c>
    </row>
    <row r="3" spans="1:6" x14ac:dyDescent="0.25">
      <c r="A3" t="str">
        <f>PPB_Pm_Aliquot_Sent!A3</f>
        <v>90G Trace</v>
      </c>
      <c r="B3" s="24">
        <f>PPB_Pm_Aliquot_Sent!B3</f>
        <v>0.24027439348204321</v>
      </c>
      <c r="C3">
        <f>PPB_Pm_Aliquot_Sent!C3</f>
        <v>1.7814152162943551E-2</v>
      </c>
      <c r="D3" s="10">
        <f>PPB_Pm_Aliquot_Sent!D3</f>
        <v>7.4140868299704538E-2</v>
      </c>
    </row>
    <row r="4" spans="1:6" x14ac:dyDescent="0.25">
      <c r="A4" t="str">
        <f>PPB_Pm_Aliquot_Sent!A4</f>
        <v>93G Trace</v>
      </c>
      <c r="B4" s="24">
        <f>IF(PPB_Pm_Aliquot_Sent!B4="LLD","LLD",PPB_Pm_Aliquot_Sent!B4*12)</f>
        <v>4.0418451316074501E-2</v>
      </c>
      <c r="C4">
        <f>IF(PPB_Pm_Aliquot_Sent!C4="LLD","LLD",PPB_Pm_Aliquot_Sent!C4*12)</f>
        <v>0.20411839805702675</v>
      </c>
      <c r="D4" s="10">
        <f>IF(PPB_Pm_Aliquot_Sent!D4="LLD","LLD",PPB_Pm_Aliquot_Sent!D4*12)</f>
        <v>60.601549463875209</v>
      </c>
    </row>
    <row r="5" spans="1:6" x14ac:dyDescent="0.25">
      <c r="A5" t="str">
        <f>PPB_Pm_Aliquot_Sent!A5</f>
        <v>96G Trace</v>
      </c>
      <c r="B5" s="24" t="str">
        <f>IF(PPB_Pm_Aliquot_Sent!B5="LLD","LLD",PPB_Pm_Aliquot_Sent!B5*144)</f>
        <v>LLD</v>
      </c>
      <c r="C5" t="str">
        <f>IF(PPB_Pm_Aliquot_Sent!C5="LLD","LLD",PPB_Pm_Aliquot_Sent!C5*144)</f>
        <v>LLD</v>
      </c>
      <c r="D5" s="10" t="str">
        <f>IF(PPB_Pm_Aliquot_Sent!D5="LLD","LLD",PPB_Pm_Aliquot_Sent!D5*144)</f>
        <v>LLD</v>
      </c>
    </row>
    <row r="6" spans="1:6" x14ac:dyDescent="0.25">
      <c r="A6" t="str">
        <f>PPB_Pm_Aliquot_Sent!A6</f>
        <v>30G Trace Waste</v>
      </c>
      <c r="B6" s="24">
        <f>PPB_Pm_Aliquot_Sent!B6</f>
        <v>12.500450882133892</v>
      </c>
      <c r="C6">
        <f>PPB_Pm_Aliquot_Sent!C6</f>
        <v>0.22334496845482402</v>
      </c>
      <c r="D6" s="10">
        <f>PPB_Pm_Aliquot_Sent!D6</f>
        <v>1.7866953005194152E-2</v>
      </c>
    </row>
    <row r="7" spans="1:6" x14ac:dyDescent="0.25">
      <c r="A7" t="str">
        <f>PPB_Pm_Aliquot_Sent!A7</f>
        <v>30G Trace Original</v>
      </c>
      <c r="B7" s="24">
        <f>PPB_Pm_Aliquot_Sent!B7</f>
        <v>9.1815866210994379</v>
      </c>
      <c r="C7">
        <f>PPB_Pm_Aliquot_Sent!C7</f>
        <v>0.14473791864364538</v>
      </c>
      <c r="D7" s="10">
        <f>PPB_Pm_Aliquot_Sent!D7</f>
        <v>1.576393325212826E-2</v>
      </c>
    </row>
    <row r="9" spans="1:6" x14ac:dyDescent="0.25">
      <c r="B9">
        <f>B7/B3</f>
        <v>38.212921851722911</v>
      </c>
      <c r="C9">
        <f>(((D7/B3)^2)+((B7/(B3^2))^2)*D3^2)^0.5</f>
        <v>11.79144819048169</v>
      </c>
      <c r="D9" s="10">
        <f>C9/B9</f>
        <v>0.30857227396104092</v>
      </c>
      <c r="F9" t="s">
        <v>53</v>
      </c>
    </row>
    <row r="12" spans="1:6" x14ac:dyDescent="0.25">
      <c r="B12" t="s">
        <v>45</v>
      </c>
    </row>
    <row r="17" spans="2:2" x14ac:dyDescent="0.25">
      <c r="B17" t="s">
        <v>46</v>
      </c>
    </row>
    <row r="18" spans="2:2" x14ac:dyDescent="0.25">
      <c r="B18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Pm_Calculations</vt:lpstr>
      <vt:lpstr>PPB_Pm_Aliquot_Sent</vt:lpstr>
      <vt:lpstr>PPB_Pm_to_Stock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Paul Michael</dc:creator>
  <cp:lastModifiedBy>Mendoza, Paul Michael</cp:lastModifiedBy>
  <dcterms:created xsi:type="dcterms:W3CDTF">2015-10-01T14:52:56Z</dcterms:created>
  <dcterms:modified xsi:type="dcterms:W3CDTF">2015-12-16T16:55:28Z</dcterms:modified>
</cp:coreProperties>
</file>