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chool\Research\Calculations\Mass_Spec\Elements\"/>
    </mc:Choice>
  </mc:AlternateContent>
  <bookViews>
    <workbookView xWindow="0" yWindow="0" windowWidth="19170" windowHeight="7560" activeTab="1"/>
  </bookViews>
  <sheets>
    <sheet name="Sm_Calculations" sheetId="1" r:id="rId1"/>
    <sheet name="PPB_Sm_Aliquot_Sent" sheetId="2" r:id="rId2"/>
    <sheet name="DF" sheetId="5" r:id="rId3"/>
    <sheet name="PPB_Nd_to_Stock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2" l="1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8" i="2"/>
  <c r="L3" i="2"/>
  <c r="L4" i="2"/>
  <c r="L5" i="2"/>
  <c r="L6" i="2"/>
  <c r="L7" i="2"/>
  <c r="L2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8" i="2"/>
  <c r="K3" i="2"/>
  <c r="K4" i="2"/>
  <c r="K5" i="2"/>
  <c r="K6" i="2"/>
  <c r="K7" i="2"/>
  <c r="K2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8" i="2"/>
  <c r="I3" i="2"/>
  <c r="I4" i="2"/>
  <c r="I5" i="2"/>
  <c r="I6" i="2"/>
  <c r="I7" i="2"/>
  <c r="I2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8" i="2"/>
  <c r="H3" i="2"/>
  <c r="H4" i="2"/>
  <c r="H5" i="2"/>
  <c r="H6" i="2"/>
  <c r="H7" i="2"/>
  <c r="H2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8" i="2"/>
  <c r="F3" i="2"/>
  <c r="F4" i="2"/>
  <c r="F5" i="2"/>
  <c r="F6" i="2"/>
  <c r="F7" i="2"/>
  <c r="F2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8" i="2"/>
  <c r="E3" i="2"/>
  <c r="E4" i="2"/>
  <c r="E5" i="2"/>
  <c r="E6" i="2"/>
  <c r="E7" i="2"/>
  <c r="E2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8" i="2"/>
  <c r="C3" i="2"/>
  <c r="C4" i="2"/>
  <c r="C5" i="2"/>
  <c r="C6" i="2"/>
  <c r="C7" i="2"/>
  <c r="C2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8" i="2"/>
  <c r="B3" i="2"/>
  <c r="B4" i="2"/>
  <c r="B5" i="2"/>
  <c r="B6" i="2"/>
  <c r="B7" i="2"/>
  <c r="B2" i="2"/>
  <c r="E32" i="5" l="1"/>
  <c r="E36" i="5" l="1"/>
  <c r="B36" i="5"/>
  <c r="B32" i="5"/>
  <c r="E38" i="5"/>
  <c r="E37" i="5"/>
  <c r="F36" i="5"/>
  <c r="G36" i="5" s="1"/>
  <c r="E35" i="5"/>
  <c r="E34" i="5"/>
  <c r="E33" i="5"/>
  <c r="F32" i="5"/>
  <c r="G32" i="5" s="1"/>
  <c r="C32" i="5"/>
  <c r="C36" i="5"/>
  <c r="D36" i="5" s="1"/>
  <c r="D32" i="5"/>
  <c r="B38" i="5"/>
  <c r="B37" i="5"/>
  <c r="B35" i="5"/>
  <c r="B34" i="5"/>
  <c r="B33" i="5"/>
  <c r="V2" i="5"/>
  <c r="W2" i="5"/>
  <c r="U2" i="5"/>
  <c r="B31" i="2"/>
  <c r="C31" i="2"/>
  <c r="D31" i="2"/>
  <c r="E31" i="2"/>
  <c r="F31" i="2"/>
  <c r="G31" i="2"/>
  <c r="H31" i="2"/>
  <c r="I31" i="2"/>
  <c r="J31" i="2"/>
  <c r="K31" i="2"/>
  <c r="L31" i="2"/>
  <c r="M31" i="2"/>
  <c r="C30" i="2"/>
  <c r="D30" i="2"/>
  <c r="E30" i="2"/>
  <c r="F30" i="2"/>
  <c r="G30" i="2"/>
  <c r="H30" i="2"/>
  <c r="I30" i="2"/>
  <c r="J30" i="2"/>
  <c r="K30" i="2"/>
  <c r="L30" i="2"/>
  <c r="M30" i="2"/>
  <c r="B30" i="2"/>
  <c r="Q15" i="5" l="1"/>
  <c r="J2" i="2"/>
  <c r="I4" i="5"/>
  <c r="I5" i="5"/>
  <c r="I6" i="5"/>
  <c r="J6" i="5" s="1"/>
  <c r="I7" i="5"/>
  <c r="J7" i="5" s="1"/>
  <c r="I8" i="5"/>
  <c r="I10" i="5"/>
  <c r="J10" i="5" s="1"/>
  <c r="I11" i="5"/>
  <c r="I12" i="5"/>
  <c r="J12" i="5" s="1"/>
  <c r="I13" i="5"/>
  <c r="J13" i="5" s="1"/>
  <c r="I14" i="5"/>
  <c r="I15" i="5"/>
  <c r="J15" i="5" s="1"/>
  <c r="I16" i="5"/>
  <c r="I17" i="5"/>
  <c r="I18" i="5"/>
  <c r="I19" i="5"/>
  <c r="I20" i="5"/>
  <c r="I21" i="5"/>
  <c r="I22" i="5"/>
  <c r="J22" i="5" s="1"/>
  <c r="I23" i="5"/>
  <c r="I24" i="5"/>
  <c r="I25" i="5"/>
  <c r="I26" i="5"/>
  <c r="I27" i="5"/>
  <c r="I28" i="5"/>
  <c r="I29" i="5"/>
  <c r="I30" i="5"/>
  <c r="L10" i="5"/>
  <c r="L11" i="5"/>
  <c r="L12" i="5"/>
  <c r="L13" i="5"/>
  <c r="M13" i="5" s="1"/>
  <c r="L14" i="5"/>
  <c r="L15" i="5"/>
  <c r="L16" i="5"/>
  <c r="L17" i="5"/>
  <c r="M17" i="5" s="1"/>
  <c r="L18" i="5"/>
  <c r="L19" i="5"/>
  <c r="M19" i="5" s="1"/>
  <c r="L20" i="5"/>
  <c r="L21" i="5"/>
  <c r="M21" i="5" s="1"/>
  <c r="L22" i="5"/>
  <c r="L23" i="5"/>
  <c r="M23" i="5" s="1"/>
  <c r="L24" i="5"/>
  <c r="L25" i="5"/>
  <c r="M25" i="5" s="1"/>
  <c r="L26" i="5"/>
  <c r="L27" i="5"/>
  <c r="M27" i="5" s="1"/>
  <c r="L28" i="5"/>
  <c r="L29" i="5"/>
  <c r="M29" i="5" s="1"/>
  <c r="L30" i="5"/>
  <c r="L9" i="5"/>
  <c r="L4" i="5"/>
  <c r="L5" i="5"/>
  <c r="L6" i="5"/>
  <c r="L7" i="5"/>
  <c r="L8" i="5"/>
  <c r="M8" i="5" s="1"/>
  <c r="O10" i="5"/>
  <c r="P10" i="5" s="1"/>
  <c r="O11" i="5"/>
  <c r="O12" i="5"/>
  <c r="P12" i="5" s="1"/>
  <c r="O13" i="5"/>
  <c r="O14" i="5"/>
  <c r="O15" i="5"/>
  <c r="P15" i="5" s="1"/>
  <c r="O16" i="5"/>
  <c r="O17" i="5"/>
  <c r="O18" i="5"/>
  <c r="O19" i="5"/>
  <c r="O20" i="5"/>
  <c r="O21" i="5"/>
  <c r="O22" i="5"/>
  <c r="P22" i="5" s="1"/>
  <c r="O23" i="5"/>
  <c r="O24" i="5"/>
  <c r="O25" i="5"/>
  <c r="O26" i="5"/>
  <c r="O27" i="5"/>
  <c r="O28" i="5"/>
  <c r="O29" i="5"/>
  <c r="O30" i="5"/>
  <c r="O4" i="5"/>
  <c r="O5" i="5"/>
  <c r="O6" i="5"/>
  <c r="O7" i="5"/>
  <c r="P7" i="5" s="1"/>
  <c r="O8" i="5"/>
  <c r="O35" i="5" s="1"/>
  <c r="R4" i="5"/>
  <c r="R5" i="5"/>
  <c r="R6" i="5"/>
  <c r="R7" i="5"/>
  <c r="R8" i="5"/>
  <c r="R10" i="5"/>
  <c r="R11" i="5"/>
  <c r="S11" i="5" s="1"/>
  <c r="T11" i="5" s="1"/>
  <c r="R12" i="5"/>
  <c r="R13" i="5"/>
  <c r="S13" i="5" s="1"/>
  <c r="R14" i="5"/>
  <c r="R15" i="5"/>
  <c r="R16" i="5"/>
  <c r="R17" i="5"/>
  <c r="S17" i="5" s="1"/>
  <c r="R18" i="5"/>
  <c r="R19" i="5"/>
  <c r="S19" i="5" s="1"/>
  <c r="R20" i="5"/>
  <c r="R21" i="5"/>
  <c r="S21" i="5" s="1"/>
  <c r="R22" i="5"/>
  <c r="R23" i="5"/>
  <c r="S23" i="5" s="1"/>
  <c r="R24" i="5"/>
  <c r="R25" i="5"/>
  <c r="S25" i="5" s="1"/>
  <c r="R26" i="5"/>
  <c r="S26" i="5" s="1"/>
  <c r="R27" i="5"/>
  <c r="S27" i="5" s="1"/>
  <c r="R28" i="5"/>
  <c r="S28" i="5" s="1"/>
  <c r="R29" i="5"/>
  <c r="S29" i="5" s="1"/>
  <c r="R30" i="5"/>
  <c r="R3" i="5"/>
  <c r="O3" i="5"/>
  <c r="P3" i="5" s="1"/>
  <c r="T26" i="5" l="1"/>
  <c r="T28" i="5"/>
  <c r="L32" i="5"/>
  <c r="L35" i="5"/>
  <c r="K13" i="5"/>
  <c r="K6" i="5"/>
  <c r="D8" i="2"/>
  <c r="I9" i="5"/>
  <c r="J8" i="2"/>
  <c r="O9" i="5"/>
  <c r="O37" i="5" s="1"/>
  <c r="M8" i="2"/>
  <c r="R9" i="5"/>
  <c r="T15" i="5"/>
  <c r="S15" i="5"/>
  <c r="S8" i="5"/>
  <c r="R36" i="5"/>
  <c r="R32" i="5"/>
  <c r="S6" i="5"/>
  <c r="T6" i="5" s="1"/>
  <c r="S4" i="5"/>
  <c r="R33" i="5"/>
  <c r="P5" i="5"/>
  <c r="O34" i="5"/>
  <c r="P30" i="5"/>
  <c r="Q30" i="5" s="1"/>
  <c r="P28" i="5"/>
  <c r="Q28" i="5" s="1"/>
  <c r="P26" i="5"/>
  <c r="Q26" i="5"/>
  <c r="P24" i="5"/>
  <c r="Q24" i="5" s="1"/>
  <c r="P20" i="5"/>
  <c r="Q20" i="5" s="1"/>
  <c r="P18" i="5"/>
  <c r="Q18" i="5"/>
  <c r="P16" i="5"/>
  <c r="Q16" i="5"/>
  <c r="P14" i="5"/>
  <c r="O38" i="5"/>
  <c r="M7" i="5"/>
  <c r="N7" i="5" s="1"/>
  <c r="M5" i="5"/>
  <c r="L34" i="5"/>
  <c r="M9" i="5"/>
  <c r="N9" i="5"/>
  <c r="M15" i="5"/>
  <c r="N15" i="5"/>
  <c r="M11" i="5"/>
  <c r="N11" i="5" s="1"/>
  <c r="J30" i="5"/>
  <c r="K30" i="5" s="1"/>
  <c r="J28" i="5"/>
  <c r="K28" i="5" s="1"/>
  <c r="K26" i="5"/>
  <c r="J26" i="5"/>
  <c r="K24" i="5"/>
  <c r="J24" i="5"/>
  <c r="J20" i="5"/>
  <c r="K20" i="5" s="1"/>
  <c r="J18" i="5"/>
  <c r="K18" i="5"/>
  <c r="K16" i="5"/>
  <c r="J16" i="5"/>
  <c r="J14" i="5"/>
  <c r="I38" i="5"/>
  <c r="J5" i="5"/>
  <c r="K5" i="5" s="1"/>
  <c r="I34" i="5"/>
  <c r="T29" i="5"/>
  <c r="T27" i="5"/>
  <c r="T25" i="5"/>
  <c r="T23" i="5"/>
  <c r="T21" i="5"/>
  <c r="T19" i="5"/>
  <c r="T17" i="5"/>
  <c r="R35" i="5"/>
  <c r="Q5" i="5"/>
  <c r="L37" i="5"/>
  <c r="K14" i="5"/>
  <c r="K12" i="5"/>
  <c r="K10" i="5"/>
  <c r="I36" i="5"/>
  <c r="K7" i="5"/>
  <c r="D2" i="2"/>
  <c r="I3" i="5"/>
  <c r="G2" i="2"/>
  <c r="L3" i="5"/>
  <c r="S3" i="5"/>
  <c r="T3" i="5" s="1"/>
  <c r="S30" i="5"/>
  <c r="T30" i="5" s="1"/>
  <c r="S24" i="5"/>
  <c r="T24" i="5" s="1"/>
  <c r="S22" i="5"/>
  <c r="T22" i="5" s="1"/>
  <c r="S20" i="5"/>
  <c r="T20" i="5" s="1"/>
  <c r="S18" i="5"/>
  <c r="T18" i="5"/>
  <c r="S16" i="5"/>
  <c r="T16" i="5" s="1"/>
  <c r="S14" i="5"/>
  <c r="T14" i="5" s="1"/>
  <c r="R38" i="5"/>
  <c r="S12" i="5"/>
  <c r="T12" i="5" s="1"/>
  <c r="S10" i="5"/>
  <c r="T10" i="5" s="1"/>
  <c r="S7" i="5"/>
  <c r="T7" i="5" s="1"/>
  <c r="S5" i="5"/>
  <c r="T5" i="5" s="1"/>
  <c r="R34" i="5"/>
  <c r="P8" i="5"/>
  <c r="P6" i="5"/>
  <c r="Q6" i="5" s="1"/>
  <c r="O33" i="5"/>
  <c r="P4" i="5"/>
  <c r="Q4" i="5" s="1"/>
  <c r="P29" i="5"/>
  <c r="Q29" i="5" s="1"/>
  <c r="P27" i="5"/>
  <c r="Q27" i="5"/>
  <c r="P25" i="5"/>
  <c r="Q25" i="5" s="1"/>
  <c r="P23" i="5"/>
  <c r="Q23" i="5" s="1"/>
  <c r="P21" i="5"/>
  <c r="Q21" i="5" s="1"/>
  <c r="P19" i="5"/>
  <c r="Q19" i="5" s="1"/>
  <c r="Q17" i="5"/>
  <c r="P17" i="5"/>
  <c r="P13" i="5"/>
  <c r="Q13" i="5" s="1"/>
  <c r="P11" i="5"/>
  <c r="M6" i="5"/>
  <c r="N6" i="5" s="1"/>
  <c r="M4" i="5"/>
  <c r="M32" i="5" s="1"/>
  <c r="N32" i="5" s="1"/>
  <c r="L33" i="5"/>
  <c r="M30" i="5"/>
  <c r="M28" i="5"/>
  <c r="M26" i="5"/>
  <c r="M24" i="5"/>
  <c r="N24" i="5" s="1"/>
  <c r="M22" i="5"/>
  <c r="N22" i="5" s="1"/>
  <c r="M20" i="5"/>
  <c r="M36" i="5" s="1"/>
  <c r="N18" i="5"/>
  <c r="M18" i="5"/>
  <c r="M16" i="5"/>
  <c r="L38" i="5"/>
  <c r="M14" i="5"/>
  <c r="N14" i="5" s="1"/>
  <c r="M12" i="5"/>
  <c r="N12" i="5" s="1"/>
  <c r="M10" i="5"/>
  <c r="N10" i="5" s="1"/>
  <c r="J29" i="5"/>
  <c r="K29" i="5" s="1"/>
  <c r="J27" i="5"/>
  <c r="K27" i="5"/>
  <c r="J25" i="5"/>
  <c r="K25" i="5" s="1"/>
  <c r="J23" i="5"/>
  <c r="K23" i="5" s="1"/>
  <c r="J21" i="5"/>
  <c r="K21" i="5" s="1"/>
  <c r="J19" i="5"/>
  <c r="K19" i="5"/>
  <c r="J17" i="5"/>
  <c r="K17" i="5"/>
  <c r="J11" i="5"/>
  <c r="K11" i="5" s="1"/>
  <c r="I32" i="5"/>
  <c r="J8" i="5"/>
  <c r="I33" i="5"/>
  <c r="J4" i="5"/>
  <c r="K4" i="5" s="1"/>
  <c r="M2" i="2"/>
  <c r="N30" i="5"/>
  <c r="N29" i="5"/>
  <c r="N28" i="5"/>
  <c r="N27" i="5"/>
  <c r="N26" i="5"/>
  <c r="N25" i="5"/>
  <c r="N23" i="5"/>
  <c r="Q22" i="5"/>
  <c r="K22" i="5"/>
  <c r="N21" i="5"/>
  <c r="N19" i="5"/>
  <c r="N17" i="5"/>
  <c r="N16" i="5"/>
  <c r="Q14" i="5"/>
  <c r="T8" i="5"/>
  <c r="N8" i="5"/>
  <c r="L36" i="5"/>
  <c r="N5" i="5"/>
  <c r="T4" i="5"/>
  <c r="I37" i="5"/>
  <c r="K15" i="5"/>
  <c r="T13" i="5"/>
  <c r="N13" i="5"/>
  <c r="Q12" i="5"/>
  <c r="Q11" i="5"/>
  <c r="Q10" i="5"/>
  <c r="O32" i="5"/>
  <c r="Y32" i="5" s="1"/>
  <c r="O36" i="5"/>
  <c r="I35" i="5"/>
  <c r="Q7" i="5"/>
  <c r="Q3" i="5"/>
  <c r="S36" i="5"/>
  <c r="J36" i="5"/>
  <c r="Q8" i="5"/>
  <c r="K8" i="5"/>
  <c r="G8" i="2"/>
  <c r="K6" i="1"/>
  <c r="T36" i="5" l="1"/>
  <c r="S32" i="5"/>
  <c r="T32" i="5" s="1"/>
  <c r="P36" i="5"/>
  <c r="Q36" i="5" s="1"/>
  <c r="Y36" i="5"/>
  <c r="P32" i="5"/>
  <c r="Q32" i="5" s="1"/>
  <c r="N20" i="5"/>
  <c r="N4" i="5"/>
  <c r="N36" i="5"/>
  <c r="J32" i="5"/>
  <c r="K32" i="5" s="1"/>
  <c r="M3" i="5"/>
  <c r="N3" i="5" s="1"/>
  <c r="J3" i="5"/>
  <c r="K3" i="5" s="1"/>
  <c r="S9" i="5"/>
  <c r="T9" i="5" s="1"/>
  <c r="R37" i="5"/>
  <c r="P9" i="5"/>
  <c r="Q9" i="5" s="1"/>
  <c r="J9" i="5"/>
  <c r="K9" i="5" s="1"/>
  <c r="K36" i="5"/>
  <c r="Z36" i="5"/>
  <c r="J3" i="1"/>
  <c r="AA36" i="5" l="1"/>
  <c r="Z32" i="5"/>
  <c r="AA32" i="5" s="1"/>
  <c r="M14" i="2"/>
  <c r="M17" i="2"/>
  <c r="M25" i="2"/>
  <c r="M26" i="2"/>
  <c r="M27" i="2"/>
  <c r="R8" i="2"/>
  <c r="O6" i="1"/>
  <c r="O7" i="1"/>
  <c r="O8" i="1"/>
  <c r="O9" i="1"/>
  <c r="O10" i="1"/>
  <c r="O11" i="1"/>
  <c r="P4" i="1" l="1"/>
  <c r="L2" i="1"/>
  <c r="N2" i="1"/>
  <c r="P2" i="1"/>
  <c r="J2" i="1"/>
  <c r="B38" i="1"/>
  <c r="P5" i="1" s="1"/>
  <c r="L3" i="1" l="1"/>
  <c r="P3" i="1"/>
  <c r="N3" i="1"/>
  <c r="A22" i="2"/>
  <c r="A23" i="2"/>
  <c r="A24" i="2"/>
  <c r="A25" i="2"/>
  <c r="A26" i="2"/>
  <c r="A27" i="2"/>
  <c r="A28" i="2"/>
  <c r="A29" i="2"/>
  <c r="S35" i="1" l="1"/>
  <c r="S6" i="1" l="1"/>
  <c r="S15" i="1"/>
  <c r="S17" i="1"/>
  <c r="S19" i="1"/>
  <c r="S21" i="1"/>
  <c r="S23" i="1"/>
  <c r="S25" i="1"/>
  <c r="S27" i="1"/>
  <c r="S29" i="1"/>
  <c r="S31" i="1"/>
  <c r="S33" i="1"/>
  <c r="S7" i="1"/>
  <c r="S9" i="1"/>
  <c r="S11" i="1"/>
  <c r="S10" i="1"/>
  <c r="S34" i="1"/>
  <c r="S30" i="1"/>
  <c r="S26" i="1"/>
  <c r="S22" i="1"/>
  <c r="S18" i="1"/>
  <c r="S14" i="1"/>
  <c r="S8" i="1"/>
  <c r="S32" i="1"/>
  <c r="S28" i="1"/>
  <c r="S24" i="1"/>
  <c r="S20" i="1"/>
  <c r="S16" i="1"/>
  <c r="V35" i="1"/>
  <c r="AB35" i="1"/>
  <c r="O14" i="2" l="1"/>
  <c r="D14" i="2"/>
  <c r="T14" i="2"/>
  <c r="U15" i="5" s="1"/>
  <c r="D17" i="2"/>
  <c r="T17" i="2"/>
  <c r="U18" i="5" s="1"/>
  <c r="O17" i="2"/>
  <c r="Y35" i="1"/>
  <c r="Y6" i="1"/>
  <c r="Y7" i="1"/>
  <c r="Y8" i="1"/>
  <c r="Y10" i="1"/>
  <c r="Y14" i="1"/>
  <c r="Y16" i="1"/>
  <c r="Y18" i="1"/>
  <c r="Y20" i="1"/>
  <c r="Y22" i="1"/>
  <c r="Y24" i="1"/>
  <c r="Y26" i="1"/>
  <c r="Y28" i="1"/>
  <c r="Y30" i="1"/>
  <c r="Y32" i="1"/>
  <c r="Y34" i="1"/>
  <c r="Y11" i="1"/>
  <c r="Y17" i="1"/>
  <c r="Y21" i="1"/>
  <c r="Y25" i="1"/>
  <c r="Y29" i="1"/>
  <c r="Y33" i="1"/>
  <c r="Y9" i="1"/>
  <c r="Y15" i="1"/>
  <c r="Y19" i="1"/>
  <c r="Y23" i="1"/>
  <c r="Y27" i="1"/>
  <c r="Y31" i="1"/>
  <c r="AB7" i="1"/>
  <c r="AB9" i="1"/>
  <c r="AB11" i="1"/>
  <c r="AB15" i="1"/>
  <c r="AB17" i="1"/>
  <c r="AB19" i="1"/>
  <c r="AB21" i="1"/>
  <c r="AB23" i="1"/>
  <c r="AB25" i="1"/>
  <c r="AB27" i="1"/>
  <c r="AB29" i="1"/>
  <c r="AB31" i="1"/>
  <c r="AB33" i="1"/>
  <c r="AB10" i="1"/>
  <c r="AB16" i="1"/>
  <c r="AB20" i="1"/>
  <c r="AB24" i="1"/>
  <c r="AB28" i="1"/>
  <c r="AB32" i="1"/>
  <c r="AB14" i="1"/>
  <c r="AB22" i="1"/>
  <c r="AB30" i="1"/>
  <c r="AB8" i="1"/>
  <c r="AB18" i="1"/>
  <c r="AB26" i="1"/>
  <c r="AB34" i="1"/>
  <c r="V7" i="1"/>
  <c r="V9" i="1"/>
  <c r="V11" i="1"/>
  <c r="V15" i="1"/>
  <c r="V17" i="1"/>
  <c r="V19" i="1"/>
  <c r="V21" i="1"/>
  <c r="V23" i="1"/>
  <c r="V25" i="1"/>
  <c r="V27" i="1"/>
  <c r="V29" i="1"/>
  <c r="V31" i="1"/>
  <c r="V33" i="1"/>
  <c r="V6" i="1"/>
  <c r="V8" i="1"/>
  <c r="V14" i="1"/>
  <c r="V18" i="1"/>
  <c r="V22" i="1"/>
  <c r="V26" i="1"/>
  <c r="V30" i="1"/>
  <c r="V34" i="1"/>
  <c r="V10" i="1"/>
  <c r="V16" i="1"/>
  <c r="V20" i="1"/>
  <c r="V24" i="1"/>
  <c r="V28" i="1"/>
  <c r="V32" i="1"/>
  <c r="Q17" i="1"/>
  <c r="Q20" i="1"/>
  <c r="AC20" i="1" s="1"/>
  <c r="Q15" i="1"/>
  <c r="Q16" i="1"/>
  <c r="Q18" i="1"/>
  <c r="Q19" i="1"/>
  <c r="Q21" i="1"/>
  <c r="Q22" i="1"/>
  <c r="Q23" i="1"/>
  <c r="AC23" i="1" s="1"/>
  <c r="AD23" i="1" s="1"/>
  <c r="Q24" i="1"/>
  <c r="Q25" i="1"/>
  <c r="Q26" i="1"/>
  <c r="Q27" i="1"/>
  <c r="Q28" i="1"/>
  <c r="Q29" i="1"/>
  <c r="Q30" i="1"/>
  <c r="Q31" i="1"/>
  <c r="Q32" i="1"/>
  <c r="Q33" i="1"/>
  <c r="Q34" i="1"/>
  <c r="Q35" i="1"/>
  <c r="Q14" i="1"/>
  <c r="Q6" i="1"/>
  <c r="Q7" i="1"/>
  <c r="Q8" i="1"/>
  <c r="Q9" i="1"/>
  <c r="Q10" i="1"/>
  <c r="Q11" i="1"/>
  <c r="O15" i="1"/>
  <c r="O16" i="1"/>
  <c r="O17" i="1"/>
  <c r="O18" i="1"/>
  <c r="O19" i="1"/>
  <c r="O20" i="1"/>
  <c r="Z20" i="1" s="1"/>
  <c r="AA20" i="1" s="1"/>
  <c r="O21" i="1"/>
  <c r="O22" i="1"/>
  <c r="O23" i="1"/>
  <c r="Z23" i="1" s="1"/>
  <c r="O24" i="1"/>
  <c r="O25" i="1"/>
  <c r="O26" i="1"/>
  <c r="O27" i="1"/>
  <c r="O28" i="1"/>
  <c r="O29" i="1"/>
  <c r="O30" i="1"/>
  <c r="O31" i="1"/>
  <c r="O32" i="1"/>
  <c r="O33" i="1"/>
  <c r="O34" i="1"/>
  <c r="O35" i="1"/>
  <c r="O14" i="1"/>
  <c r="M15" i="1"/>
  <c r="M16" i="1"/>
  <c r="M17" i="1"/>
  <c r="M18" i="1"/>
  <c r="M19" i="1"/>
  <c r="M20" i="1"/>
  <c r="W20" i="1" s="1"/>
  <c r="M21" i="1"/>
  <c r="M22" i="1"/>
  <c r="M23" i="1"/>
  <c r="W23" i="1" s="1"/>
  <c r="X23" i="1" s="1"/>
  <c r="M24" i="1"/>
  <c r="M25" i="1"/>
  <c r="M26" i="1"/>
  <c r="M27" i="1"/>
  <c r="M28" i="1"/>
  <c r="M29" i="1"/>
  <c r="M30" i="1"/>
  <c r="M31" i="1"/>
  <c r="M32" i="1"/>
  <c r="M33" i="1"/>
  <c r="M34" i="1"/>
  <c r="M35" i="1"/>
  <c r="M14" i="1"/>
  <c r="M7" i="1"/>
  <c r="M8" i="1"/>
  <c r="M9" i="1"/>
  <c r="M10" i="1"/>
  <c r="M11" i="1"/>
  <c r="M6" i="1"/>
  <c r="K15" i="1"/>
  <c r="K16" i="1"/>
  <c r="K17" i="1"/>
  <c r="K18" i="1"/>
  <c r="K19" i="1"/>
  <c r="K20" i="1"/>
  <c r="T20" i="1" s="1"/>
  <c r="U20" i="1" s="1"/>
  <c r="K21" i="1"/>
  <c r="K22" i="1"/>
  <c r="K23" i="1"/>
  <c r="T23" i="1" s="1"/>
  <c r="U23" i="1" s="1"/>
  <c r="K24" i="1"/>
  <c r="K25" i="1"/>
  <c r="K26" i="1"/>
  <c r="K27" i="1"/>
  <c r="K28" i="1"/>
  <c r="K29" i="1"/>
  <c r="K30" i="1"/>
  <c r="K31" i="1"/>
  <c r="K32" i="1"/>
  <c r="K33" i="1"/>
  <c r="K34" i="1"/>
  <c r="K35" i="1"/>
  <c r="K14" i="1"/>
  <c r="K7" i="1"/>
  <c r="K8" i="1"/>
  <c r="K9" i="1"/>
  <c r="K10" i="1"/>
  <c r="K11" i="1"/>
  <c r="W18" i="5" l="1"/>
  <c r="V18" i="5"/>
  <c r="V15" i="5"/>
  <c r="W15" i="5"/>
  <c r="V17" i="2"/>
  <c r="U17" i="2"/>
  <c r="V14" i="2"/>
  <c r="U14" i="2"/>
  <c r="T20" i="2"/>
  <c r="U21" i="5" s="1"/>
  <c r="E4" i="4"/>
  <c r="T23" i="2"/>
  <c r="U24" i="5" s="1"/>
  <c r="E7" i="4"/>
  <c r="K4" i="4"/>
  <c r="K7" i="4"/>
  <c r="H5" i="4"/>
  <c r="H7" i="4"/>
  <c r="J14" i="2"/>
  <c r="Q14" i="2"/>
  <c r="H6" i="4"/>
  <c r="H3" i="4"/>
  <c r="T29" i="2"/>
  <c r="U30" i="5" s="1"/>
  <c r="G14" i="2"/>
  <c r="P14" i="2"/>
  <c r="E6" i="4"/>
  <c r="E2" i="4"/>
  <c r="T21" i="2"/>
  <c r="U22" i="5" s="1"/>
  <c r="P17" i="2"/>
  <c r="G17" i="2"/>
  <c r="T13" i="2"/>
  <c r="U14" i="5" s="1"/>
  <c r="E5" i="4"/>
  <c r="R14" i="2"/>
  <c r="K6" i="4"/>
  <c r="R17" i="2"/>
  <c r="K5" i="4"/>
  <c r="J17" i="2"/>
  <c r="Q17" i="2"/>
  <c r="H4" i="4"/>
  <c r="H2" i="4"/>
  <c r="AD20" i="1"/>
  <c r="X20" i="1"/>
  <c r="B6" i="4"/>
  <c r="B3" i="4"/>
  <c r="B4" i="4"/>
  <c r="K3" i="4"/>
  <c r="B2" i="4"/>
  <c r="B5" i="4"/>
  <c r="B7" i="4"/>
  <c r="AA23" i="1"/>
  <c r="T2" i="2" l="1"/>
  <c r="U3" i="5" s="1"/>
  <c r="T16" i="2"/>
  <c r="U17" i="5" s="1"/>
  <c r="T15" i="2"/>
  <c r="U16" i="5" s="1"/>
  <c r="T10" i="2"/>
  <c r="U11" i="5" s="1"/>
  <c r="T26" i="2"/>
  <c r="U27" i="5" s="1"/>
  <c r="T5" i="2"/>
  <c r="U6" i="5" s="1"/>
  <c r="T9" i="2"/>
  <c r="U10" i="5" s="1"/>
  <c r="T25" i="2"/>
  <c r="U26" i="5" s="1"/>
  <c r="T8" i="2"/>
  <c r="U9" i="5" s="1"/>
  <c r="T24" i="2"/>
  <c r="U25" i="5" s="1"/>
  <c r="T22" i="2"/>
  <c r="U23" i="5" s="1"/>
  <c r="T3" i="2"/>
  <c r="U4" i="5" s="1"/>
  <c r="T11" i="2"/>
  <c r="U12" i="5" s="1"/>
  <c r="T19" i="2"/>
  <c r="U20" i="5" s="1"/>
  <c r="T27" i="2"/>
  <c r="U28" i="5" s="1"/>
  <c r="T12" i="2"/>
  <c r="U13" i="5" s="1"/>
  <c r="T28" i="2"/>
  <c r="U29" i="5" s="1"/>
  <c r="T18" i="2"/>
  <c r="U19" i="5" s="1"/>
  <c r="T4" i="2"/>
  <c r="U5" i="5" s="1"/>
  <c r="T7" i="2"/>
  <c r="U8" i="5" s="1"/>
  <c r="E3" i="4"/>
  <c r="E9" i="4" s="1"/>
  <c r="T6" i="2"/>
  <c r="U7" i="5" s="1"/>
  <c r="B9" i="4"/>
  <c r="K9" i="4"/>
  <c r="H9" i="4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1" i="2"/>
  <c r="C1" i="2"/>
  <c r="D1" i="2"/>
  <c r="E1" i="2"/>
  <c r="F1" i="2"/>
  <c r="G1" i="2"/>
  <c r="H1" i="2"/>
  <c r="I1" i="2"/>
  <c r="J1" i="2"/>
  <c r="K1" i="2"/>
  <c r="L1" i="2"/>
  <c r="M1" i="2"/>
  <c r="B1" i="2"/>
  <c r="B1" i="4" l="1"/>
  <c r="I2" i="5"/>
  <c r="L1" i="4"/>
  <c r="S2" i="5"/>
  <c r="J1" i="4"/>
  <c r="Q2" i="5"/>
  <c r="H1" i="4"/>
  <c r="O2" i="5"/>
  <c r="F1" i="4"/>
  <c r="M2" i="5"/>
  <c r="D1" i="4"/>
  <c r="K2" i="5"/>
  <c r="M1" i="4"/>
  <c r="T2" i="5"/>
  <c r="K1" i="4"/>
  <c r="R2" i="5"/>
  <c r="I1" i="4"/>
  <c r="P2" i="5"/>
  <c r="G1" i="4"/>
  <c r="N2" i="5"/>
  <c r="E1" i="4"/>
  <c r="L2" i="5"/>
  <c r="C1" i="4"/>
  <c r="J2" i="5"/>
  <c r="U36" i="5"/>
  <c r="U32" i="5"/>
  <c r="A7" i="4"/>
  <c r="A5" i="4"/>
  <c r="A3" i="4"/>
  <c r="A1" i="4"/>
  <c r="A6" i="4"/>
  <c r="A4" i="4"/>
  <c r="A2" i="4"/>
  <c r="AB6" i="1"/>
  <c r="F28" i="1" l="1"/>
  <c r="F29" i="1"/>
  <c r="F30" i="1"/>
  <c r="F31" i="1"/>
  <c r="F32" i="1"/>
  <c r="F33" i="1"/>
  <c r="F34" i="1"/>
  <c r="F35" i="1"/>
  <c r="F7" i="1"/>
  <c r="F8" i="1"/>
  <c r="F9" i="1"/>
  <c r="F10" i="1"/>
  <c r="F11" i="1"/>
  <c r="F14" i="1"/>
  <c r="F15" i="1"/>
  <c r="F16" i="1"/>
  <c r="F17" i="1"/>
  <c r="F18" i="1"/>
  <c r="F19" i="1"/>
  <c r="F21" i="1"/>
  <c r="F22" i="1"/>
  <c r="F24" i="1"/>
  <c r="F25" i="1"/>
  <c r="F26" i="1"/>
  <c r="F27" i="1"/>
  <c r="F6" i="1"/>
  <c r="W35" i="1" l="1"/>
  <c r="AC35" i="1"/>
  <c r="Z35" i="1"/>
  <c r="T35" i="1"/>
  <c r="K2" i="4"/>
  <c r="AC27" i="1"/>
  <c r="T27" i="1"/>
  <c r="W27" i="1"/>
  <c r="Z27" i="1"/>
  <c r="T25" i="1"/>
  <c r="W25" i="1"/>
  <c r="Z25" i="1"/>
  <c r="AC25" i="1"/>
  <c r="W22" i="1"/>
  <c r="AC22" i="1"/>
  <c r="T22" i="1"/>
  <c r="Z22" i="1"/>
  <c r="AC19" i="1"/>
  <c r="T19" i="1"/>
  <c r="W19" i="1"/>
  <c r="Z19" i="1"/>
  <c r="T17" i="1"/>
  <c r="W17" i="1"/>
  <c r="Z17" i="1"/>
  <c r="AC17" i="1"/>
  <c r="T15" i="1"/>
  <c r="W15" i="1"/>
  <c r="Z15" i="1"/>
  <c r="AC15" i="1"/>
  <c r="AC11" i="1"/>
  <c r="T11" i="1"/>
  <c r="W11" i="1"/>
  <c r="Z11" i="1"/>
  <c r="AC9" i="1"/>
  <c r="T9" i="1"/>
  <c r="W9" i="1"/>
  <c r="Z9" i="1"/>
  <c r="AC7" i="1"/>
  <c r="T7" i="1"/>
  <c r="W7" i="1"/>
  <c r="Z7" i="1"/>
  <c r="T34" i="1"/>
  <c r="AC34" i="1"/>
  <c r="Z34" i="1"/>
  <c r="W34" i="1"/>
  <c r="Z32" i="1"/>
  <c r="T32" i="1"/>
  <c r="W32" i="1"/>
  <c r="AC32" i="1"/>
  <c r="W30" i="1"/>
  <c r="T30" i="1"/>
  <c r="Z30" i="1"/>
  <c r="AC30" i="1"/>
  <c r="Z28" i="1"/>
  <c r="AC28" i="1"/>
  <c r="W28" i="1"/>
  <c r="T28" i="1"/>
  <c r="T6" i="1"/>
  <c r="O2" i="2" s="1"/>
  <c r="Z6" i="1"/>
  <c r="W6" i="1"/>
  <c r="T26" i="1"/>
  <c r="AC26" i="1"/>
  <c r="Z26" i="1"/>
  <c r="W26" i="1"/>
  <c r="Z24" i="1"/>
  <c r="T24" i="1"/>
  <c r="AC24" i="1"/>
  <c r="W24" i="1"/>
  <c r="AC21" i="1"/>
  <c r="T21" i="1"/>
  <c r="W21" i="1"/>
  <c r="Z21" i="1"/>
  <c r="T18" i="1"/>
  <c r="Z18" i="1"/>
  <c r="W18" i="1"/>
  <c r="AC18" i="1"/>
  <c r="Z16" i="1"/>
  <c r="T16" i="1"/>
  <c r="W16" i="1"/>
  <c r="AC16" i="1"/>
  <c r="T14" i="1"/>
  <c r="W14" i="1"/>
  <c r="Z14" i="1"/>
  <c r="AC14" i="1"/>
  <c r="Z10" i="1"/>
  <c r="W10" i="1"/>
  <c r="T10" i="1"/>
  <c r="AC10" i="1"/>
  <c r="Z8" i="1"/>
  <c r="AC8" i="1"/>
  <c r="T8" i="1"/>
  <c r="W8" i="1"/>
  <c r="T33" i="1"/>
  <c r="W33" i="1"/>
  <c r="Z33" i="1"/>
  <c r="AC33" i="1"/>
  <c r="AC31" i="1"/>
  <c r="T31" i="1"/>
  <c r="W31" i="1"/>
  <c r="Z31" i="1"/>
  <c r="T29" i="1"/>
  <c r="W29" i="1"/>
  <c r="Z29" i="1"/>
  <c r="AC29" i="1"/>
  <c r="G27" i="1"/>
  <c r="G6" i="1"/>
  <c r="AC6" i="1"/>
  <c r="G26" i="1"/>
  <c r="G24" i="1"/>
  <c r="G21" i="1"/>
  <c r="G18" i="1"/>
  <c r="G16" i="1"/>
  <c r="G14" i="1"/>
  <c r="G10" i="1"/>
  <c r="G8" i="1"/>
  <c r="G35" i="1"/>
  <c r="G33" i="1"/>
  <c r="G31" i="1"/>
  <c r="G29" i="1"/>
  <c r="G25" i="1"/>
  <c r="G22" i="1"/>
  <c r="G19" i="1"/>
  <c r="G17" i="1"/>
  <c r="G15" i="1"/>
  <c r="G11" i="1"/>
  <c r="G9" i="1"/>
  <c r="G7" i="1"/>
  <c r="G34" i="1"/>
  <c r="G32" i="1"/>
  <c r="G30" i="1"/>
  <c r="G28" i="1"/>
  <c r="R23" i="2" l="1"/>
  <c r="M23" i="2"/>
  <c r="G23" i="2"/>
  <c r="P23" i="2"/>
  <c r="R6" i="2"/>
  <c r="M6" i="2"/>
  <c r="G6" i="2"/>
  <c r="P6" i="2"/>
  <c r="P8" i="2"/>
  <c r="R10" i="2"/>
  <c r="M10" i="2"/>
  <c r="D10" i="2"/>
  <c r="O10" i="2"/>
  <c r="R12" i="2"/>
  <c r="M12" i="2"/>
  <c r="J12" i="2"/>
  <c r="Q12" i="2"/>
  <c r="J15" i="2"/>
  <c r="Q15" i="2"/>
  <c r="G20" i="2"/>
  <c r="P20" i="2"/>
  <c r="R20" i="2"/>
  <c r="M20" i="2"/>
  <c r="P2" i="2"/>
  <c r="G22" i="2"/>
  <c r="P22" i="2"/>
  <c r="J22" i="2"/>
  <c r="Q22" i="2"/>
  <c r="J24" i="2"/>
  <c r="Q24" i="2"/>
  <c r="G24" i="2"/>
  <c r="P24" i="2"/>
  <c r="G3" i="2"/>
  <c r="P3" i="2"/>
  <c r="R3" i="2"/>
  <c r="M3" i="2"/>
  <c r="G7" i="2"/>
  <c r="P7" i="2"/>
  <c r="R7" i="2"/>
  <c r="M7" i="2"/>
  <c r="J9" i="2"/>
  <c r="Q9" i="2"/>
  <c r="D9" i="2"/>
  <c r="O9" i="2"/>
  <c r="J11" i="2"/>
  <c r="Q11" i="2"/>
  <c r="D11" i="2"/>
  <c r="O11" i="2"/>
  <c r="G13" i="2"/>
  <c r="P13" i="2"/>
  <c r="R13" i="2"/>
  <c r="M13" i="2"/>
  <c r="J19" i="2"/>
  <c r="Q19" i="2"/>
  <c r="D19" i="2"/>
  <c r="O19" i="2"/>
  <c r="G21" i="2"/>
  <c r="P21" i="2"/>
  <c r="R21" i="2"/>
  <c r="M21" i="2"/>
  <c r="D29" i="2"/>
  <c r="O29" i="2"/>
  <c r="R29" i="2"/>
  <c r="M29" i="2"/>
  <c r="M2" i="4"/>
  <c r="R2" i="2"/>
  <c r="J23" i="2"/>
  <c r="Q23" i="2"/>
  <c r="D23" i="2"/>
  <c r="O23" i="2"/>
  <c r="D6" i="2"/>
  <c r="O6" i="2"/>
  <c r="J6" i="2"/>
  <c r="Q6" i="2"/>
  <c r="Q8" i="2"/>
  <c r="O8" i="2"/>
  <c r="G10" i="2"/>
  <c r="P10" i="2"/>
  <c r="J10" i="2"/>
  <c r="Q10" i="2"/>
  <c r="G12" i="2"/>
  <c r="P12" i="2"/>
  <c r="D12" i="2"/>
  <c r="O12" i="2"/>
  <c r="R15" i="2"/>
  <c r="M15" i="2"/>
  <c r="J20" i="2"/>
  <c r="Q20" i="2"/>
  <c r="D20" i="2"/>
  <c r="O20" i="2"/>
  <c r="J2" i="4"/>
  <c r="Q2" i="2"/>
  <c r="D22" i="2"/>
  <c r="O22" i="2"/>
  <c r="R22" i="2"/>
  <c r="M22" i="2"/>
  <c r="R24" i="2"/>
  <c r="M24" i="2"/>
  <c r="D24" i="2"/>
  <c r="O24" i="2"/>
  <c r="J3" i="2"/>
  <c r="Q3" i="2"/>
  <c r="D3" i="2"/>
  <c r="O3" i="2"/>
  <c r="J7" i="2"/>
  <c r="Q7" i="2"/>
  <c r="D7" i="2"/>
  <c r="O7" i="2"/>
  <c r="R9" i="2"/>
  <c r="M9" i="2"/>
  <c r="G9" i="2"/>
  <c r="P9" i="2"/>
  <c r="R11" i="2"/>
  <c r="M11" i="2"/>
  <c r="G11" i="2"/>
  <c r="P11" i="2"/>
  <c r="J13" i="2"/>
  <c r="Q13" i="2"/>
  <c r="D13" i="2"/>
  <c r="O13" i="2"/>
  <c r="R19" i="2"/>
  <c r="M19" i="2"/>
  <c r="G19" i="2"/>
  <c r="P19" i="2"/>
  <c r="J21" i="2"/>
  <c r="Q21" i="2"/>
  <c r="D21" i="2"/>
  <c r="O21" i="2"/>
  <c r="J29" i="2"/>
  <c r="Q29" i="2"/>
  <c r="G29" i="2"/>
  <c r="P29" i="2"/>
  <c r="X31" i="1"/>
  <c r="AD31" i="1"/>
  <c r="R25" i="2"/>
  <c r="AA33" i="1"/>
  <c r="U33" i="1"/>
  <c r="O27" i="2"/>
  <c r="U8" i="1"/>
  <c r="O4" i="2"/>
  <c r="AA8" i="1"/>
  <c r="Q4" i="2"/>
  <c r="X21" i="1"/>
  <c r="AD24" i="1"/>
  <c r="AA24" i="1"/>
  <c r="AD32" i="1"/>
  <c r="R26" i="2"/>
  <c r="U32" i="1"/>
  <c r="O26" i="2"/>
  <c r="X34" i="1"/>
  <c r="AD34" i="1"/>
  <c r="AA9" i="1"/>
  <c r="Q5" i="2"/>
  <c r="U9" i="1"/>
  <c r="O5" i="2"/>
  <c r="AA22" i="1"/>
  <c r="AD22" i="1"/>
  <c r="AA31" i="1"/>
  <c r="U31" i="1"/>
  <c r="O25" i="2"/>
  <c r="AD33" i="1"/>
  <c r="R27" i="2"/>
  <c r="X33" i="1"/>
  <c r="X8" i="1"/>
  <c r="P4" i="2"/>
  <c r="AD8" i="1"/>
  <c r="U21" i="1"/>
  <c r="O15" i="2"/>
  <c r="X24" i="1"/>
  <c r="U24" i="1"/>
  <c r="O18" i="2"/>
  <c r="X32" i="1"/>
  <c r="AA32" i="1"/>
  <c r="AA34" i="1"/>
  <c r="U34" i="1"/>
  <c r="O28" i="2"/>
  <c r="X9" i="1"/>
  <c r="P5" i="2"/>
  <c r="AD9" i="1"/>
  <c r="U22" i="1"/>
  <c r="O16" i="2"/>
  <c r="X22" i="1"/>
  <c r="AD29" i="1"/>
  <c r="X29" i="1"/>
  <c r="AD10" i="1"/>
  <c r="X10" i="1"/>
  <c r="AD14" i="1"/>
  <c r="X14" i="1"/>
  <c r="AD16" i="1"/>
  <c r="U16" i="1"/>
  <c r="X26" i="1"/>
  <c r="AD26" i="1"/>
  <c r="X6" i="1"/>
  <c r="U6" i="1"/>
  <c r="X28" i="1"/>
  <c r="AA28" i="1"/>
  <c r="AA30" i="1"/>
  <c r="X30" i="1"/>
  <c r="X7" i="1"/>
  <c r="AD7" i="1"/>
  <c r="X11" i="1"/>
  <c r="AD11" i="1"/>
  <c r="AA15" i="1"/>
  <c r="U15" i="1"/>
  <c r="AA17" i="1"/>
  <c r="U17" i="1"/>
  <c r="X19" i="1"/>
  <c r="AD19" i="1"/>
  <c r="AA25" i="1"/>
  <c r="U25" i="1"/>
  <c r="X27" i="1"/>
  <c r="AD27" i="1"/>
  <c r="U35" i="1"/>
  <c r="AD35" i="1"/>
  <c r="L2" i="4"/>
  <c r="AA29" i="1"/>
  <c r="U29" i="1"/>
  <c r="U10" i="1"/>
  <c r="AA10" i="1"/>
  <c r="AA14" i="1"/>
  <c r="U14" i="1"/>
  <c r="X16" i="1"/>
  <c r="AA16" i="1"/>
  <c r="X18" i="1"/>
  <c r="U18" i="1"/>
  <c r="AA26" i="1"/>
  <c r="U26" i="1"/>
  <c r="I2" i="4"/>
  <c r="U28" i="1"/>
  <c r="AD28" i="1"/>
  <c r="AD30" i="1"/>
  <c r="U30" i="1"/>
  <c r="AA7" i="1"/>
  <c r="U7" i="1"/>
  <c r="AA11" i="1"/>
  <c r="U11" i="1"/>
  <c r="AD15" i="1"/>
  <c r="X15" i="1"/>
  <c r="AD17" i="1"/>
  <c r="X17" i="1"/>
  <c r="AA19" i="1"/>
  <c r="U19" i="1"/>
  <c r="AD25" i="1"/>
  <c r="X25" i="1"/>
  <c r="AA27" i="1"/>
  <c r="U27" i="1"/>
  <c r="AA35" i="1"/>
  <c r="X35" i="1"/>
  <c r="AD18" i="1"/>
  <c r="AA18" i="1"/>
  <c r="AA21" i="1"/>
  <c r="AD21" i="1"/>
  <c r="AA6" i="1"/>
  <c r="AD6" i="1"/>
  <c r="U8" i="2" l="1"/>
  <c r="U2" i="2"/>
  <c r="G16" i="2"/>
  <c r="P16" i="2"/>
  <c r="R5" i="2"/>
  <c r="M5" i="2"/>
  <c r="J28" i="2"/>
  <c r="Q28" i="2"/>
  <c r="J26" i="2"/>
  <c r="Q26" i="2"/>
  <c r="G26" i="2"/>
  <c r="P26" i="2"/>
  <c r="G18" i="2"/>
  <c r="P18" i="2"/>
  <c r="R4" i="2"/>
  <c r="M4" i="2"/>
  <c r="G27" i="2"/>
  <c r="P27" i="2"/>
  <c r="J25" i="2"/>
  <c r="Q25" i="2"/>
  <c r="R16" i="2"/>
  <c r="M16" i="2"/>
  <c r="J16" i="2"/>
  <c r="Q16" i="2"/>
  <c r="U5" i="2"/>
  <c r="R28" i="2"/>
  <c r="M28" i="2"/>
  <c r="G28" i="2"/>
  <c r="P28" i="2"/>
  <c r="U26" i="2"/>
  <c r="J18" i="2"/>
  <c r="Q18" i="2"/>
  <c r="R18" i="2"/>
  <c r="M18" i="2"/>
  <c r="G15" i="2"/>
  <c r="P15" i="2"/>
  <c r="U15" i="2" s="1"/>
  <c r="U4" i="2"/>
  <c r="J27" i="2"/>
  <c r="Q27" i="2"/>
  <c r="G25" i="2"/>
  <c r="P25" i="2"/>
  <c r="U21" i="2"/>
  <c r="U13" i="2"/>
  <c r="U7" i="2"/>
  <c r="U3" i="2"/>
  <c r="U24" i="2"/>
  <c r="U22" i="2"/>
  <c r="U20" i="2"/>
  <c r="U12" i="2"/>
  <c r="U6" i="2"/>
  <c r="U23" i="2"/>
  <c r="U29" i="2"/>
  <c r="U19" i="2"/>
  <c r="U11" i="2"/>
  <c r="U9" i="2"/>
  <c r="U10" i="2"/>
  <c r="D16" i="2"/>
  <c r="F5" i="4"/>
  <c r="G5" i="2"/>
  <c r="G5" i="4" s="1"/>
  <c r="D28" i="2"/>
  <c r="D18" i="2"/>
  <c r="D15" i="2"/>
  <c r="L4" i="4"/>
  <c r="M4" i="4"/>
  <c r="G4" i="2"/>
  <c r="G4" i="4" s="1"/>
  <c r="F4" i="4"/>
  <c r="D25" i="2"/>
  <c r="D5" i="2"/>
  <c r="D5" i="4" s="1"/>
  <c r="C5" i="4"/>
  <c r="I5" i="4"/>
  <c r="J5" i="2"/>
  <c r="J5" i="4" s="1"/>
  <c r="D26" i="2"/>
  <c r="J4" i="2"/>
  <c r="J4" i="4" s="1"/>
  <c r="I4" i="4"/>
  <c r="D4" i="2"/>
  <c r="D4" i="4" s="1"/>
  <c r="C4" i="4"/>
  <c r="D27" i="2"/>
  <c r="M5" i="4"/>
  <c r="L5" i="4"/>
  <c r="C7" i="4"/>
  <c r="D7" i="4"/>
  <c r="I7" i="4"/>
  <c r="J7" i="4"/>
  <c r="I3" i="4"/>
  <c r="J3" i="4"/>
  <c r="C6" i="4"/>
  <c r="D6" i="4"/>
  <c r="L7" i="4"/>
  <c r="M7" i="4"/>
  <c r="F7" i="4"/>
  <c r="G7" i="4"/>
  <c r="L3" i="4"/>
  <c r="M3" i="4"/>
  <c r="F3" i="4"/>
  <c r="G3" i="4"/>
  <c r="C2" i="4"/>
  <c r="D2" i="4"/>
  <c r="F2" i="4"/>
  <c r="G2" i="4"/>
  <c r="F6" i="4"/>
  <c r="G6" i="4"/>
  <c r="L6" i="4"/>
  <c r="M6" i="4"/>
  <c r="C3" i="4"/>
  <c r="D3" i="4"/>
  <c r="I6" i="4"/>
  <c r="J6" i="4"/>
  <c r="V10" i="2" l="1"/>
  <c r="V11" i="5"/>
  <c r="W11" i="5" s="1"/>
  <c r="V11" i="2"/>
  <c r="V12" i="5"/>
  <c r="W12" i="5" s="1"/>
  <c r="V29" i="2"/>
  <c r="V30" i="5"/>
  <c r="W30" i="5" s="1"/>
  <c r="V6" i="2"/>
  <c r="V7" i="5"/>
  <c r="W7" i="5" s="1"/>
  <c r="V20" i="2"/>
  <c r="V21" i="5"/>
  <c r="W21" i="5" s="1"/>
  <c r="V24" i="2"/>
  <c r="V25" i="5"/>
  <c r="W25" i="5" s="1"/>
  <c r="V7" i="2"/>
  <c r="V8" i="5"/>
  <c r="V21" i="2"/>
  <c r="V22" i="5"/>
  <c r="W22" i="5" s="1"/>
  <c r="V15" i="2"/>
  <c r="V16" i="5"/>
  <c r="W16" i="5" s="1"/>
  <c r="V26" i="2"/>
  <c r="V27" i="5"/>
  <c r="W27" i="5" s="1"/>
  <c r="V2" i="2"/>
  <c r="V3" i="5"/>
  <c r="W3" i="5" s="1"/>
  <c r="V9" i="2"/>
  <c r="V10" i="5"/>
  <c r="W10" i="5" s="1"/>
  <c r="V19" i="2"/>
  <c r="V20" i="5"/>
  <c r="W20" i="5" s="1"/>
  <c r="V23" i="2"/>
  <c r="V24" i="5"/>
  <c r="W24" i="5" s="1"/>
  <c r="V12" i="2"/>
  <c r="V13" i="5"/>
  <c r="W13" i="5" s="1"/>
  <c r="V22" i="2"/>
  <c r="V23" i="5"/>
  <c r="W23" i="5" s="1"/>
  <c r="V3" i="2"/>
  <c r="V4" i="5"/>
  <c r="W4" i="5" s="1"/>
  <c r="V13" i="2"/>
  <c r="V14" i="5"/>
  <c r="W14" i="5" s="1"/>
  <c r="V4" i="2"/>
  <c r="V5" i="5"/>
  <c r="W5" i="5" s="1"/>
  <c r="V5" i="2"/>
  <c r="V6" i="5"/>
  <c r="W6" i="5" s="1"/>
  <c r="V8" i="2"/>
  <c r="V9" i="5"/>
  <c r="W9" i="5" s="1"/>
  <c r="U25" i="2"/>
  <c r="U27" i="2"/>
  <c r="U28" i="2"/>
  <c r="U16" i="2"/>
  <c r="U18" i="2"/>
  <c r="V18" i="2" l="1"/>
  <c r="V19" i="5"/>
  <c r="W19" i="5" s="1"/>
  <c r="V28" i="2"/>
  <c r="V29" i="5"/>
  <c r="W29" i="5" s="1"/>
  <c r="V25" i="2"/>
  <c r="V26" i="5"/>
  <c r="W26" i="5" s="1"/>
  <c r="V16" i="2"/>
  <c r="V17" i="5"/>
  <c r="W17" i="5" s="1"/>
  <c r="V27" i="2"/>
  <c r="V28" i="5"/>
  <c r="W28" i="5" s="1"/>
  <c r="V32" i="5"/>
  <c r="V36" i="5"/>
  <c r="W8" i="5"/>
</calcChain>
</file>

<file path=xl/sharedStrings.xml><?xml version="1.0" encoding="utf-8"?>
<sst xmlns="http://schemas.openxmlformats.org/spreadsheetml/2006/main" count="189" uniqueCount="83">
  <si>
    <t>Sample ID</t>
  </si>
  <si>
    <t>Total aliquot (g)</t>
  </si>
  <si>
    <t>Total dilution mass (g)</t>
  </si>
  <si>
    <t>DF initial</t>
  </si>
  <si>
    <t>87G Trace</t>
  </si>
  <si>
    <t>90G Trace</t>
  </si>
  <si>
    <t>93G Trace</t>
  </si>
  <si>
    <t>96G Trace</t>
  </si>
  <si>
    <t>30G Trace Waste</t>
  </si>
  <si>
    <t>30G Trace Original</t>
  </si>
  <si>
    <t>86G Trace</t>
  </si>
  <si>
    <t>24G Taper Waste</t>
  </si>
  <si>
    <t>24G Trace Original</t>
  </si>
  <si>
    <t>47G</t>
  </si>
  <si>
    <t>48G</t>
  </si>
  <si>
    <t>49G</t>
  </si>
  <si>
    <t>50G</t>
  </si>
  <si>
    <t>51G</t>
  </si>
  <si>
    <t>52G</t>
  </si>
  <si>
    <t>42G taper</t>
  </si>
  <si>
    <t>70G</t>
  </si>
  <si>
    <t>71G</t>
  </si>
  <si>
    <t>72G</t>
  </si>
  <si>
    <t>73G</t>
  </si>
  <si>
    <t xml:space="preserve">74G </t>
  </si>
  <si>
    <t xml:space="preserve">75G trace waste </t>
  </si>
  <si>
    <t>**</t>
  </si>
  <si>
    <t>81G trace</t>
  </si>
  <si>
    <t>82G trace</t>
  </si>
  <si>
    <t>83G Trace</t>
  </si>
  <si>
    <t>84G trace</t>
  </si>
  <si>
    <t>53G</t>
  </si>
  <si>
    <t>94G</t>
  </si>
  <si>
    <t>±</t>
  </si>
  <si>
    <t>Avg (ppb/cps)</t>
  </si>
  <si>
    <t>g</t>
  </si>
  <si>
    <t>%</t>
  </si>
  <si>
    <t>Assumed Mass Error =</t>
  </si>
  <si>
    <t xml:space="preserve">Assumed Count Time = </t>
  </si>
  <si>
    <t>seconds</t>
  </si>
  <si>
    <t>ppb</t>
  </si>
  <si>
    <t>You may question, as I did, why the % error decreases…I plugged in the standard error propagation formula, and these are the results</t>
  </si>
  <si>
    <t>If you see an error in my calculations please let me know.</t>
  </si>
  <si>
    <t>These results are before background is subtracted out</t>
  </si>
  <si>
    <t>Some of the % errors drastically increase because the numbers are near the LLD</t>
  </si>
  <si>
    <t>In order to go up to original solutions 93G Trace and 96G Trace had to be multiplied by constants</t>
  </si>
  <si>
    <t>Vial 30G Trace Original is the original stock solution</t>
  </si>
  <si>
    <t>Vial 87G basically vial 30G after 4 TBP contacts…as you can see we gain Nd in all cases</t>
  </si>
  <si>
    <t>The book says ~51 (lab notebook pg 123)</t>
  </si>
  <si>
    <t>Based on dry run and blanks sent I would estimate the Sm concentration in TBP to be about ???? ppb</t>
  </si>
  <si>
    <t>% of STD</t>
  </si>
  <si>
    <t>% of Prop</t>
  </si>
  <si>
    <t>Sm 149</t>
  </si>
  <si>
    <t>Sm 151</t>
  </si>
  <si>
    <t>Sm 152</t>
  </si>
  <si>
    <t>Sm 154</t>
  </si>
  <si>
    <t>Background subtracted Sm values reported above. Isotope 154 had Gd subtracted out as well</t>
  </si>
  <si>
    <t>Lower limits of detection were determined based on the background Sm levels within each sample (see Mass_Contamination.xlsx File)</t>
  </si>
  <si>
    <t>Based on dry run and blanks sent I would estimate the Sm concentration in the vials themselves to be ????</t>
  </si>
  <si>
    <t>Gd Background on masses 154 (also some Sm background)</t>
  </si>
  <si>
    <t>±^2</t>
  </si>
  <si>
    <t>Sum Sm</t>
  </si>
  <si>
    <t>Sm Response</t>
  </si>
  <si>
    <t>Gd Response</t>
  </si>
  <si>
    <t>Assumed  Constant response with no Gd (subtracted in PPB_Sm_Aliquot_Sent)</t>
  </si>
  <si>
    <t>MS-B (ppb/cps)</t>
  </si>
  <si>
    <t>MS-B  (ppb/cps)</t>
  </si>
  <si>
    <t>CPS</t>
  </si>
  <si>
    <t>± (ppb)</t>
  </si>
  <si>
    <t>Background (Sm/Eu/Gd) (ppb)</t>
  </si>
  <si>
    <t>Background</t>
  </si>
  <si>
    <t>Pu ppb</t>
  </si>
  <si>
    <t>U ppb</t>
  </si>
  <si>
    <t>Over Pu tot</t>
  </si>
  <si>
    <t>Average</t>
  </si>
  <si>
    <t>DF M1</t>
  </si>
  <si>
    <t>DF M2</t>
  </si>
  <si>
    <t>DF M3</t>
  </si>
  <si>
    <t>DF MT</t>
  </si>
  <si>
    <t>DF S</t>
  </si>
  <si>
    <t>DF P1</t>
  </si>
  <si>
    <t>DF P2</t>
  </si>
  <si>
    <t>Evaporation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</si>
</sst>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0" fontId="4" fillId="0" borderId="2" applyNumberFormat="0" applyFont="0" applyFill="0" applyAlignment="0" applyProtection="0"/>
  </cellStyleXfs>
  <cellXfs count="6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ont="1" applyFill="1" applyBorder="1"/>
    <xf numFmtId="0" fontId="0" fillId="0" borderId="0" xfId="0" applyAlignment="1">
      <alignment horizontal="center"/>
    </xf>
    <xf numFmtId="0" fontId="0" fillId="0" borderId="1" xfId="0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ill="1"/>
    <xf numFmtId="2" fontId="0" fillId="0" borderId="0" xfId="0" applyNumberFormat="1" applyBorder="1"/>
    <xf numFmtId="10" fontId="0" fillId="0" borderId="0" xfId="0" applyNumberFormat="1" applyBorder="1"/>
    <xf numFmtId="10" fontId="0" fillId="0" borderId="0" xfId="0" applyNumberFormat="1"/>
    <xf numFmtId="0" fontId="0" fillId="0" borderId="2" xfId="0" applyBorder="1"/>
    <xf numFmtId="0" fontId="0" fillId="3" borderId="0" xfId="0" applyFill="1"/>
    <xf numFmtId="0" fontId="3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11" fontId="0" fillId="3" borderId="0" xfId="0" applyNumberFormat="1" applyFill="1"/>
    <xf numFmtId="11" fontId="0" fillId="0" borderId="0" xfId="0" applyNumberFormat="1" applyAlignment="1">
      <alignment horizontal="center"/>
    </xf>
    <xf numFmtId="11" fontId="0" fillId="0" borderId="0" xfId="0" applyNumberFormat="1"/>
    <xf numFmtId="10" fontId="0" fillId="3" borderId="0" xfId="0" applyNumberFormat="1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" fontId="0" fillId="4" borderId="0" xfId="0" applyNumberFormat="1" applyFill="1" applyBorder="1"/>
    <xf numFmtId="9" fontId="0" fillId="4" borderId="0" xfId="0" applyNumberFormat="1" applyFill="1" applyBorder="1"/>
    <xf numFmtId="0" fontId="0" fillId="4" borderId="0" xfId="0" applyFill="1"/>
    <xf numFmtId="10" fontId="0" fillId="4" borderId="0" xfId="0" applyNumberFormat="1" applyFill="1"/>
    <xf numFmtId="10" fontId="0" fillId="4" borderId="0" xfId="0" applyNumberFormat="1" applyFill="1" applyBorder="1"/>
    <xf numFmtId="0" fontId="0" fillId="0" borderId="0" xfId="0" applyAlignment="1">
      <alignment horizontal="left"/>
    </xf>
    <xf numFmtId="0" fontId="0" fillId="0" borderId="0" xfId="0" applyBorder="1"/>
    <xf numFmtId="0" fontId="0" fillId="0" borderId="2" xfId="1" applyFont="1"/>
    <xf numFmtId="0" fontId="0" fillId="0" borderId="3" xfId="0" applyBorder="1" applyAlignment="1">
      <alignment horizontal="center"/>
    </xf>
    <xf numFmtId="0" fontId="0" fillId="0" borderId="3" xfId="0" applyFill="1" applyBorder="1"/>
    <xf numFmtId="0" fontId="0" fillId="0" borderId="3" xfId="0" applyBorder="1"/>
    <xf numFmtId="0" fontId="0" fillId="3" borderId="3" xfId="0" applyFill="1" applyBorder="1"/>
    <xf numFmtId="0" fontId="0" fillId="4" borderId="3" xfId="0" applyFill="1" applyBorder="1"/>
    <xf numFmtId="0" fontId="0" fillId="0" borderId="4" xfId="0" applyBorder="1"/>
    <xf numFmtId="0" fontId="0" fillId="3" borderId="4" xfId="0" applyFill="1" applyBorder="1"/>
    <xf numFmtId="11" fontId="0" fillId="3" borderId="4" xfId="0" applyNumberFormat="1" applyFill="1" applyBorder="1"/>
    <xf numFmtId="11" fontId="0" fillId="0" borderId="4" xfId="0" applyNumberFormat="1" applyBorder="1"/>
    <xf numFmtId="0" fontId="0" fillId="4" borderId="4" xfId="0" applyFill="1" applyBorder="1"/>
    <xf numFmtId="0" fontId="0" fillId="3" borderId="5" xfId="0" applyFill="1" applyBorder="1"/>
    <xf numFmtId="0" fontId="0" fillId="3" borderId="5" xfId="0" applyFill="1" applyBorder="1" applyAlignment="1">
      <alignment wrapText="1"/>
    </xf>
    <xf numFmtId="0" fontId="0" fillId="3" borderId="7" xfId="0" applyFill="1" applyBorder="1"/>
    <xf numFmtId="0" fontId="0" fillId="0" borderId="0" xfId="0" applyAlignment="1">
      <alignment wrapText="1"/>
    </xf>
    <xf numFmtId="11" fontId="0" fillId="3" borderId="6" xfId="0" applyNumberFormat="1" applyFill="1" applyBorder="1"/>
    <xf numFmtId="0" fontId="0" fillId="0" borderId="6" xfId="0" applyFill="1" applyBorder="1"/>
    <xf numFmtId="0" fontId="2" fillId="0" borderId="5" xfId="0" applyFon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0" borderId="7" xfId="0" applyFill="1" applyBorder="1"/>
    <xf numFmtId="0" fontId="0" fillId="0" borderId="5" xfId="0" applyBorder="1"/>
    <xf numFmtId="0" fontId="2" fillId="0" borderId="5" xfId="0" applyFont="1" applyBorder="1"/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8" xfId="0" applyBorder="1"/>
    <xf numFmtId="10" fontId="0" fillId="0" borderId="8" xfId="0" applyNumberFormat="1" applyBorder="1"/>
    <xf numFmtId="0" fontId="0" fillId="0" borderId="8" xfId="0" applyNumberFormat="1" applyBorder="1"/>
    <xf numFmtId="0" fontId="0" fillId="0" borderId="6" xfId="0" applyBorder="1"/>
    <xf numFmtId="0" fontId="0" fillId="0" borderId="10" xfId="0" applyBorder="1"/>
    <xf numFmtId="0" fontId="0" fillId="5" borderId="0" xfId="0" applyFill="1"/>
    <xf numFmtId="0" fontId="0" fillId="5" borderId="4" xfId="0" applyFill="1" applyBorder="1"/>
    <xf numFmtId="10" fontId="0" fillId="5" borderId="0" xfId="0" applyNumberFormat="1" applyFill="1"/>
    <xf numFmtId="0" fontId="0" fillId="5" borderId="2" xfId="0" applyFill="1" applyBorder="1"/>
    <xf numFmtId="0" fontId="0" fillId="5" borderId="2" xfId="1" applyFont="1" applyFill="1"/>
    <xf numFmtId="0" fontId="0" fillId="6" borderId="0" xfId="0" applyFill="1"/>
    <xf numFmtId="0" fontId="0" fillId="6" borderId="4" xfId="0" applyFill="1" applyBorder="1"/>
    <xf numFmtId="10" fontId="0" fillId="6" borderId="0" xfId="0" applyNumberFormat="1" applyFill="1"/>
    <xf numFmtId="0" fontId="0" fillId="6" borderId="2" xfId="0" applyFill="1" applyBorder="1"/>
    <xf numFmtId="0" fontId="0" fillId="6" borderId="2" xfId="1" applyFont="1" applyFill="1"/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workbookViewId="0">
      <pane ySplit="1" topLeftCell="A13" activePane="bottomLeft" state="frozen"/>
      <selection activeCell="G1" sqref="G1"/>
      <selection pane="bottomLeft" activeCell="A37" sqref="A37"/>
    </sheetView>
  </sheetViews>
  <sheetFormatPr defaultRowHeight="15" x14ac:dyDescent="0.25"/>
  <cols>
    <col min="1" max="1" width="8.140625" customWidth="1"/>
    <col min="2" max="2" width="14.42578125" customWidth="1"/>
    <col min="4" max="4" width="14.28515625" customWidth="1"/>
    <col min="6" max="6" width="5.5703125" bestFit="1" customWidth="1"/>
    <col min="7" max="7" width="8.42578125" bestFit="1" customWidth="1"/>
    <col min="8" max="8" width="13.5703125" customWidth="1"/>
    <col min="9" max="9" width="13.42578125" bestFit="1" customWidth="1"/>
    <col min="10" max="10" width="12" bestFit="1" customWidth="1"/>
    <col min="11" max="11" width="13.42578125" bestFit="1" customWidth="1"/>
    <col min="12" max="12" width="11" customWidth="1"/>
    <col min="13" max="13" width="13.42578125" bestFit="1" customWidth="1"/>
    <col min="14" max="14" width="12" bestFit="1" customWidth="1"/>
    <col min="15" max="15" width="13.42578125" bestFit="1" customWidth="1"/>
    <col min="17" max="17" width="13.42578125" bestFit="1" customWidth="1"/>
    <col min="18" max="18" width="12" bestFit="1" customWidth="1"/>
    <col min="19" max="19" width="13.42578125" bestFit="1" customWidth="1"/>
    <col min="20" max="20" width="12" bestFit="1" customWidth="1"/>
    <col min="26" max="26" width="12" bestFit="1" customWidth="1"/>
  </cols>
  <sheetData>
    <row r="1" spans="1:33" x14ac:dyDescent="0.25">
      <c r="H1" s="36"/>
      <c r="J1" s="5">
        <v>149</v>
      </c>
      <c r="K1" s="5"/>
      <c r="L1" s="5">
        <v>151</v>
      </c>
      <c r="M1" s="5"/>
      <c r="N1" s="5">
        <v>152</v>
      </c>
      <c r="O1" s="5"/>
      <c r="P1" s="5">
        <v>154</v>
      </c>
      <c r="Q1" s="5"/>
      <c r="R1" s="31"/>
      <c r="S1" s="5" t="s">
        <v>40</v>
      </c>
      <c r="T1" s="5"/>
      <c r="U1" s="5"/>
      <c r="V1" s="5" t="s">
        <v>40</v>
      </c>
      <c r="W1" s="5"/>
      <c r="X1" s="5"/>
      <c r="Y1" s="5" t="s">
        <v>40</v>
      </c>
      <c r="Z1" s="5"/>
      <c r="AB1" s="5" t="s">
        <v>40</v>
      </c>
    </row>
    <row r="2" spans="1:33" x14ac:dyDescent="0.25">
      <c r="C2" t="s">
        <v>38</v>
      </c>
      <c r="E2">
        <v>40</v>
      </c>
      <c r="F2" t="s">
        <v>39</v>
      </c>
      <c r="H2" s="36" t="s">
        <v>62</v>
      </c>
      <c r="I2" s="5" t="s">
        <v>34</v>
      </c>
      <c r="J2" s="5">
        <f>(J12+J36)/2</f>
        <v>1.0696816061303799E-5</v>
      </c>
      <c r="K2" s="5" t="s">
        <v>34</v>
      </c>
      <c r="L2" s="5">
        <f t="shared" ref="L2:P2" si="0">(L12+L36)/2</f>
        <v>1.069319870924055E-5</v>
      </c>
      <c r="M2" s="5" t="s">
        <v>34</v>
      </c>
      <c r="N2" s="5">
        <f t="shared" si="0"/>
        <v>1.0710413423208781E-5</v>
      </c>
      <c r="O2" s="5" t="s">
        <v>34</v>
      </c>
      <c r="P2" s="5">
        <f t="shared" si="0"/>
        <v>1.07450532340075E-5</v>
      </c>
      <c r="Q2" s="5"/>
      <c r="R2" s="31"/>
    </row>
    <row r="3" spans="1:33" x14ac:dyDescent="0.25">
      <c r="C3" t="s">
        <v>37</v>
      </c>
      <c r="E3">
        <v>2.0000000000000001E-4</v>
      </c>
      <c r="F3" t="s">
        <v>35</v>
      </c>
      <c r="H3" s="36"/>
      <c r="I3" s="8" t="s">
        <v>33</v>
      </c>
      <c r="J3" s="18">
        <f>$B$39*((K12^2+K36^2)^0.5)+($B$38)*_xlfn.STDEV.S(J36,J12)</f>
        <v>1.0953222958135234E-7</v>
      </c>
      <c r="K3" s="8" t="s">
        <v>33</v>
      </c>
      <c r="L3" s="18">
        <f>$B$39*((M12^2+M36^2)^0.5)+($B$38)*_xlfn.STDEV.S(L36,L12)</f>
        <v>9.4307240601365026E-8</v>
      </c>
      <c r="M3" s="8" t="s">
        <v>33</v>
      </c>
      <c r="N3" s="18">
        <f>$B$39*((O12^2+O36^2)^0.5)+($B$38)*_xlfn.STDEV.S(N36,N12)</f>
        <v>9.2869425088018597E-8</v>
      </c>
      <c r="O3" s="8" t="s">
        <v>33</v>
      </c>
      <c r="P3" s="18">
        <f>$B$39*((Q12^2+Q36^2)^0.5)+($B$38)*_xlfn.STDEV.S(P36,P12)</f>
        <v>9.7868458442869198E-8</v>
      </c>
      <c r="Q3" s="8"/>
      <c r="R3" s="31"/>
      <c r="S3" s="5"/>
      <c r="T3" s="5"/>
      <c r="U3" s="5"/>
      <c r="V3" s="5"/>
      <c r="W3" s="5"/>
      <c r="X3" s="5"/>
      <c r="Y3" s="5"/>
      <c r="Z3" s="5"/>
    </row>
    <row r="4" spans="1:33" x14ac:dyDescent="0.25">
      <c r="H4" s="36" t="s">
        <v>63</v>
      </c>
      <c r="I4" s="5" t="s">
        <v>34</v>
      </c>
      <c r="J4" s="18"/>
      <c r="K4" s="5" t="s">
        <v>34</v>
      </c>
      <c r="L4" s="18"/>
      <c r="M4" s="5" t="s">
        <v>34</v>
      </c>
      <c r="N4" s="18"/>
      <c r="O4" s="5" t="s">
        <v>34</v>
      </c>
      <c r="P4" s="18">
        <f>AVERAGE(P13,P37)</f>
        <v>1.0438091473654363E-5</v>
      </c>
      <c r="Q4" s="5"/>
      <c r="R4" s="31"/>
      <c r="S4" s="5"/>
      <c r="T4" s="5"/>
      <c r="U4" s="28" t="s">
        <v>43</v>
      </c>
      <c r="V4" s="5"/>
      <c r="W4" s="5"/>
      <c r="X4" s="5"/>
      <c r="Y4" s="5"/>
      <c r="Z4" s="5"/>
      <c r="AB4" s="5"/>
    </row>
    <row r="5" spans="1:33" ht="60.75" thickBot="1" x14ac:dyDescent="0.3">
      <c r="A5" s="44" t="s">
        <v>82</v>
      </c>
      <c r="B5" s="1" t="s">
        <v>0</v>
      </c>
      <c r="C5" s="2" t="s">
        <v>1</v>
      </c>
      <c r="D5" s="2" t="s">
        <v>2</v>
      </c>
      <c r="E5" s="2" t="s">
        <v>3</v>
      </c>
      <c r="F5" s="8" t="s">
        <v>33</v>
      </c>
      <c r="G5" s="8" t="s">
        <v>36</v>
      </c>
      <c r="H5" s="46"/>
      <c r="I5" s="47" t="s">
        <v>33</v>
      </c>
      <c r="J5" s="48" t="s">
        <v>67</v>
      </c>
      <c r="K5" s="47" t="s">
        <v>33</v>
      </c>
      <c r="L5" s="48" t="s">
        <v>67</v>
      </c>
      <c r="M5" s="47" t="s">
        <v>33</v>
      </c>
      <c r="N5" s="48" t="s">
        <v>67</v>
      </c>
      <c r="O5" s="47" t="s">
        <v>33</v>
      </c>
      <c r="P5" s="48">
        <f>$B$39*((Q13^2+Q37^2)^0.5)+($B$38)*_xlfn.STDEV.S(P37,P13)</f>
        <v>5.8736678528633047E-7</v>
      </c>
      <c r="Q5" s="47" t="s">
        <v>33</v>
      </c>
      <c r="R5" s="49"/>
      <c r="S5" s="50" t="s">
        <v>52</v>
      </c>
      <c r="T5" s="51" t="s">
        <v>33</v>
      </c>
      <c r="U5" s="51" t="s">
        <v>36</v>
      </c>
      <c r="V5" s="50" t="s">
        <v>53</v>
      </c>
      <c r="W5" s="51" t="s">
        <v>33</v>
      </c>
      <c r="X5" s="51" t="s">
        <v>36</v>
      </c>
      <c r="Y5" s="51" t="s">
        <v>54</v>
      </c>
      <c r="Z5" s="51" t="s">
        <v>33</v>
      </c>
      <c r="AA5" s="51" t="s">
        <v>36</v>
      </c>
      <c r="AB5" s="51" t="s">
        <v>55</v>
      </c>
      <c r="AC5" s="51" t="s">
        <v>33</v>
      </c>
      <c r="AD5" s="51" t="s">
        <v>36</v>
      </c>
      <c r="AE5" s="7"/>
      <c r="AF5" s="7"/>
      <c r="AG5" s="7"/>
    </row>
    <row r="6" spans="1:33" ht="15.75" thickTop="1" x14ac:dyDescent="0.25">
      <c r="A6">
        <v>1</v>
      </c>
      <c r="B6" s="6" t="s">
        <v>4</v>
      </c>
      <c r="C6" s="3">
        <v>1.34E-2</v>
      </c>
      <c r="D6" s="3">
        <v>5.0464000000000002</v>
      </c>
      <c r="E6" s="3">
        <v>376.597014925373</v>
      </c>
      <c r="F6" s="10">
        <f>(((1/C6)^2)*($E$3^2)+((D6/(C6^2))^2)*($E$3^2))^0.5</f>
        <v>5.6208707851070203</v>
      </c>
      <c r="G6" s="11">
        <f>F6/E6</f>
        <v>1.4925425753098069E-2</v>
      </c>
      <c r="H6" s="36"/>
      <c r="I6" t="s">
        <v>4</v>
      </c>
      <c r="J6">
        <v>589.6</v>
      </c>
      <c r="K6">
        <f>(J6/$E$2)^0.5</f>
        <v>3.8392707640904935</v>
      </c>
      <c r="L6">
        <v>688.8</v>
      </c>
      <c r="M6">
        <f>(L6/$E$2)^0.5</f>
        <v>4.1496987842492858</v>
      </c>
      <c r="N6">
        <v>1819.3</v>
      </c>
      <c r="O6" s="9">
        <f>(N6/$E$2)^0.5</f>
        <v>6.7440714705584197</v>
      </c>
      <c r="P6" s="9">
        <v>822.4</v>
      </c>
      <c r="Q6" s="9">
        <f>(P6/$E$2)^0.5</f>
        <v>4.5343136195018534</v>
      </c>
      <c r="R6" s="32"/>
      <c r="S6">
        <f t="shared" ref="S6:S11" si="1">$J$2*J6*E6</f>
        <v>2.375138153157593</v>
      </c>
      <c r="T6">
        <f t="shared" ref="T6:T11" si="2">((J6*E6*$J$3)^2+($J$2*E6*K6)^2+($J$2*J6*F6)^2)^0.5</f>
        <v>4.5688021874327155E-2</v>
      </c>
      <c r="U6" s="12">
        <f>T6/S6</f>
        <v>1.9235942891822049E-2</v>
      </c>
      <c r="V6">
        <f t="shared" ref="V6:V11" si="3">$L$2*L6*E6</f>
        <v>2.773816000536967</v>
      </c>
      <c r="W6">
        <f t="shared" ref="W6:W11" si="4">((L6*E6*$L$3)^2+($L$2*E6*M6)^2+($L$2*L6*F6)^2)^0.5</f>
        <v>5.0908748825126277E-2</v>
      </c>
      <c r="X6" s="12">
        <f>W6/V6</f>
        <v>1.8353325820916436E-2</v>
      </c>
      <c r="Y6">
        <f t="shared" ref="Y6:Y11" si="5">$N$2*N6*E6</f>
        <v>7.3381642405040139</v>
      </c>
      <c r="Z6">
        <f t="shared" ref="Z6:Z11" si="6">((N6*E6*$N$3)^2+($N$2*E6*O6)^2+($N$2*N6*F6)^2)^0.5</f>
        <v>0.12955449504122052</v>
      </c>
      <c r="AA6" s="12">
        <f>Z6/Y6</f>
        <v>1.7654891713397E-2</v>
      </c>
      <c r="AB6">
        <f t="shared" ref="AB6:AB11" si="7">$P$2*E6*P6</f>
        <v>3.3278868099115284</v>
      </c>
      <c r="AC6">
        <f t="shared" ref="AC6:AC11" si="8">((P6*E6*$P$3)^2+($P$2*E6*Q6)^2+($P$2*P6*F6)^2)^0.5</f>
        <v>6.1012708591008491E-2</v>
      </c>
      <c r="AD6" s="12">
        <f>AC6/AB6</f>
        <v>1.8333769168258011E-2</v>
      </c>
      <c r="AG6" s="12"/>
    </row>
    <row r="7" spans="1:33" x14ac:dyDescent="0.25">
      <c r="A7">
        <v>1</v>
      </c>
      <c r="B7" s="6" t="s">
        <v>5</v>
      </c>
      <c r="C7" s="3">
        <v>3.9E-2</v>
      </c>
      <c r="D7" s="3">
        <v>4.9492000000000003</v>
      </c>
      <c r="E7" s="3">
        <v>126.90256410256411</v>
      </c>
      <c r="F7" s="10">
        <f t="shared" ref="F7:F11" si="9">(((1/C7)^2)*($E$3^2)+((D7/(C7^2))^2)*($E$3^2))^0.5</f>
        <v>0.65080258498519816</v>
      </c>
      <c r="G7" s="11">
        <f t="shared" ref="G7:G11" si="10">F7/E7</f>
        <v>5.1283643446259448E-3</v>
      </c>
      <c r="H7" s="36"/>
      <c r="I7" t="s">
        <v>5</v>
      </c>
      <c r="J7">
        <v>62.4</v>
      </c>
      <c r="K7">
        <f t="shared" ref="K7:K11" si="11">(J7/$E$2)^0.5</f>
        <v>1.2489995996796797</v>
      </c>
      <c r="L7">
        <v>60</v>
      </c>
      <c r="M7">
        <f t="shared" ref="M7:M11" si="12">(L7/$E$2)^0.5</f>
        <v>1.2247448713915889</v>
      </c>
      <c r="N7">
        <v>167.2</v>
      </c>
      <c r="O7" s="9">
        <f t="shared" ref="O7:O11" si="13">(N7/$E$2)^0.5</f>
        <v>2.0445048300260873</v>
      </c>
      <c r="P7" s="9">
        <v>129.6</v>
      </c>
      <c r="Q7" s="9">
        <f t="shared" ref="Q7:Q11" si="14">(P7/$E$2)^0.5</f>
        <v>1.8</v>
      </c>
      <c r="R7" s="33"/>
      <c r="S7">
        <f t="shared" si="1"/>
        <v>8.470509128096762E-2</v>
      </c>
      <c r="T7">
        <f t="shared" si="2"/>
        <v>1.9533528192832972E-3</v>
      </c>
      <c r="U7" s="12">
        <f t="shared" ref="U7:U35" si="15">T7/S7</f>
        <v>2.3060630591896853E-2</v>
      </c>
      <c r="V7">
        <f t="shared" si="3"/>
        <v>8.1419660079651276E-2</v>
      </c>
      <c r="W7">
        <f t="shared" si="4"/>
        <v>1.8579888230177712E-3</v>
      </c>
      <c r="X7" s="12">
        <f t="shared" ref="X7:X11" si="16">W7/V7</f>
        <v>2.2819903954402865E-2</v>
      </c>
      <c r="Y7">
        <f t="shared" si="5"/>
        <v>0.22725471642782119</v>
      </c>
      <c r="Z7">
        <f t="shared" si="6"/>
        <v>3.6004418104567805E-3</v>
      </c>
      <c r="AA7" s="12">
        <f t="shared" ref="AA7:AA35" si="17">Z7/Y7</f>
        <v>1.584319950340975E-2</v>
      </c>
      <c r="AB7">
        <f t="shared" si="7"/>
        <v>0.17671929496310743</v>
      </c>
      <c r="AC7">
        <f t="shared" si="8"/>
        <v>3.0718738471252572E-3</v>
      </c>
      <c r="AD7" s="12">
        <f t="shared" ref="AD7:AD35" si="18">AC7/AB7</f>
        <v>1.7382786909412199E-2</v>
      </c>
      <c r="AG7" s="12"/>
    </row>
    <row r="8" spans="1:33" x14ac:dyDescent="0.25">
      <c r="A8">
        <v>1</v>
      </c>
      <c r="B8" s="6" t="s">
        <v>6</v>
      </c>
      <c r="C8" s="3">
        <v>5.0299999999999997E-2</v>
      </c>
      <c r="D8" s="3">
        <v>4.9884000000000004</v>
      </c>
      <c r="E8" s="3">
        <v>99.172962226640166</v>
      </c>
      <c r="F8" s="10">
        <f t="shared" si="9"/>
        <v>0.39434593954365693</v>
      </c>
      <c r="G8" s="11">
        <f t="shared" si="10"/>
        <v>3.9763452728421821E-3</v>
      </c>
      <c r="H8" s="36"/>
      <c r="I8" t="s">
        <v>6</v>
      </c>
      <c r="J8">
        <v>7.2</v>
      </c>
      <c r="K8">
        <f t="shared" si="11"/>
        <v>0.42426406871192851</v>
      </c>
      <c r="L8">
        <v>4</v>
      </c>
      <c r="M8">
        <f t="shared" si="12"/>
        <v>0.31622776601683794</v>
      </c>
      <c r="N8">
        <v>12.8</v>
      </c>
      <c r="O8" s="9">
        <f t="shared" si="13"/>
        <v>0.56568542494923801</v>
      </c>
      <c r="P8" s="9">
        <v>27.2</v>
      </c>
      <c r="Q8" s="9">
        <f t="shared" si="14"/>
        <v>0.82462112512353203</v>
      </c>
      <c r="R8" s="33"/>
      <c r="S8">
        <f t="shared" si="1"/>
        <v>7.6380115333895965E-3</v>
      </c>
      <c r="T8">
        <f t="shared" si="2"/>
        <v>4.5782760273125906E-4</v>
      </c>
      <c r="U8" s="12">
        <f t="shared" si="15"/>
        <v>5.9940679682121967E-2</v>
      </c>
      <c r="V8">
        <f t="shared" si="3"/>
        <v>4.2419047666938823E-3</v>
      </c>
      <c r="W8">
        <f t="shared" si="4"/>
        <v>3.3785360266833927E-4</v>
      </c>
      <c r="X8" s="12">
        <f t="shared" si="16"/>
        <v>7.9646673192915768E-2</v>
      </c>
      <c r="Y8">
        <f t="shared" si="5"/>
        <v>1.3595947850900278E-2</v>
      </c>
      <c r="Z8">
        <f t="shared" si="6"/>
        <v>6.1469949749514449E-4</v>
      </c>
      <c r="AA8" s="12">
        <f t="shared" si="17"/>
        <v>4.5211963464131789E-2</v>
      </c>
      <c r="AB8">
        <f t="shared" si="7"/>
        <v>2.8984830231185407E-2</v>
      </c>
      <c r="AC8">
        <f t="shared" si="8"/>
        <v>9.2474277943025687E-4</v>
      </c>
      <c r="AD8" s="12">
        <f t="shared" si="18"/>
        <v>3.1904371081508218E-2</v>
      </c>
      <c r="AG8" s="12"/>
    </row>
    <row r="9" spans="1:33" x14ac:dyDescent="0.25">
      <c r="A9">
        <v>1</v>
      </c>
      <c r="B9" s="6" t="s">
        <v>7</v>
      </c>
      <c r="C9" s="3">
        <v>3.6399999999999995E-2</v>
      </c>
      <c r="D9" s="3">
        <v>4.9635000000000007</v>
      </c>
      <c r="E9" s="3">
        <v>136.35989010989016</v>
      </c>
      <c r="F9" s="10">
        <f t="shared" si="9"/>
        <v>0.74925031224172078</v>
      </c>
      <c r="G9" s="11">
        <f t="shared" si="10"/>
        <v>5.4946532417847541E-3</v>
      </c>
      <c r="H9" s="36"/>
      <c r="I9" t="s">
        <v>7</v>
      </c>
      <c r="J9">
        <v>0.8</v>
      </c>
      <c r="K9">
        <f t="shared" si="11"/>
        <v>0.1414213562373095</v>
      </c>
      <c r="L9">
        <v>12</v>
      </c>
      <c r="M9">
        <f t="shared" si="12"/>
        <v>0.54772255750516607</v>
      </c>
      <c r="N9">
        <v>24</v>
      </c>
      <c r="O9" s="9">
        <f t="shared" si="13"/>
        <v>0.7745966692414834</v>
      </c>
      <c r="P9" s="9">
        <v>80.8</v>
      </c>
      <c r="Q9" s="9">
        <f t="shared" si="14"/>
        <v>1.4212670403551895</v>
      </c>
      <c r="R9" s="33"/>
      <c r="S9">
        <f t="shared" si="1"/>
        <v>1.1668933301160753E-3</v>
      </c>
      <c r="T9">
        <f t="shared" si="2"/>
        <v>2.0672477110492525E-4</v>
      </c>
      <c r="U9" s="12">
        <f t="shared" si="15"/>
        <v>0.17715824212000728</v>
      </c>
      <c r="V9">
        <f t="shared" si="3"/>
        <v>1.7497480810983131E-2</v>
      </c>
      <c r="W9">
        <f t="shared" si="4"/>
        <v>8.1908131281631911E-4</v>
      </c>
      <c r="X9" s="12">
        <f t="shared" si="16"/>
        <v>4.6811385116775413E-2</v>
      </c>
      <c r="Y9">
        <f t="shared" si="5"/>
        <v>3.5051299138085808E-2</v>
      </c>
      <c r="Z9">
        <f t="shared" si="6"/>
        <v>1.1871183179580967E-3</v>
      </c>
      <c r="AA9" s="12">
        <f t="shared" si="17"/>
        <v>3.3868026211565025E-2</v>
      </c>
      <c r="AB9">
        <f t="shared" si="7"/>
        <v>0.11838769767970594</v>
      </c>
      <c r="AC9">
        <f t="shared" si="8"/>
        <v>2.4336003897066326E-3</v>
      </c>
      <c r="AD9" s="12">
        <f t="shared" si="18"/>
        <v>2.0556193231248226E-2</v>
      </c>
      <c r="AG9" s="12"/>
    </row>
    <row r="10" spans="1:33" x14ac:dyDescent="0.25">
      <c r="A10">
        <v>1</v>
      </c>
      <c r="B10" s="6" t="s">
        <v>8</v>
      </c>
      <c r="C10" s="3">
        <v>2.8899999999999999E-2</v>
      </c>
      <c r="D10" s="3">
        <v>4.9984000000000002</v>
      </c>
      <c r="E10" s="3">
        <v>172.95501730103808</v>
      </c>
      <c r="F10" s="10">
        <f t="shared" si="9"/>
        <v>1.1969405411901297</v>
      </c>
      <c r="G10" s="11">
        <f t="shared" si="10"/>
        <v>6.9205308979662979E-3</v>
      </c>
      <c r="H10" s="36"/>
      <c r="I10" t="s">
        <v>8</v>
      </c>
      <c r="J10">
        <v>1705.72</v>
      </c>
      <c r="K10">
        <f t="shared" si="11"/>
        <v>6.53016079434496</v>
      </c>
      <c r="L10">
        <v>1998.56</v>
      </c>
      <c r="M10">
        <f t="shared" si="12"/>
        <v>7.0685217690829809</v>
      </c>
      <c r="N10">
        <v>5030.58</v>
      </c>
      <c r="O10" s="9">
        <f t="shared" si="13"/>
        <v>11.21447725041163</v>
      </c>
      <c r="P10" s="9">
        <v>2245.8000000000002</v>
      </c>
      <c r="Q10" s="9">
        <f t="shared" si="14"/>
        <v>7.4929967302808826</v>
      </c>
      <c r="R10" s="33"/>
      <c r="S10">
        <f t="shared" si="1"/>
        <v>3.155698000812742</v>
      </c>
      <c r="T10">
        <f t="shared" si="2"/>
        <v>4.0829641241629869E-2</v>
      </c>
      <c r="U10" s="12">
        <f t="shared" si="15"/>
        <v>1.2938386762964738E-2</v>
      </c>
      <c r="V10">
        <f t="shared" si="3"/>
        <v>3.6962215385107</v>
      </c>
      <c r="W10">
        <f t="shared" si="4"/>
        <v>4.3449706511347844E-2</v>
      </c>
      <c r="X10" s="12">
        <f t="shared" si="16"/>
        <v>1.175516836819657E-2</v>
      </c>
      <c r="Y10">
        <f t="shared" si="5"/>
        <v>9.318745690177666</v>
      </c>
      <c r="Z10">
        <f t="shared" si="6"/>
        <v>0.1054496153525688</v>
      </c>
      <c r="AA10" s="12">
        <f t="shared" si="17"/>
        <v>1.1315859328977822E-2</v>
      </c>
      <c r="AB10">
        <f t="shared" si="7"/>
        <v>4.1736191273282195</v>
      </c>
      <c r="AC10">
        <f t="shared" si="8"/>
        <v>4.9731883693238159E-2</v>
      </c>
      <c r="AD10" s="12">
        <f t="shared" si="18"/>
        <v>1.1915769545812504E-2</v>
      </c>
      <c r="AG10" s="12"/>
    </row>
    <row r="11" spans="1:33" x14ac:dyDescent="0.25">
      <c r="A11">
        <v>1</v>
      </c>
      <c r="B11" s="6" t="s">
        <v>9</v>
      </c>
      <c r="C11" s="3">
        <v>4.4299999999999999E-2</v>
      </c>
      <c r="D11" s="3">
        <v>4.9031000000000002</v>
      </c>
      <c r="E11" s="3">
        <v>110.67945823927766</v>
      </c>
      <c r="F11" s="10">
        <f t="shared" si="9"/>
        <v>0.499701921883555</v>
      </c>
      <c r="G11" s="11">
        <f t="shared" si="10"/>
        <v>4.5148569556895607E-3</v>
      </c>
      <c r="H11" s="36"/>
      <c r="I11" t="s">
        <v>9</v>
      </c>
      <c r="J11">
        <v>2048.1799999999998</v>
      </c>
      <c r="K11">
        <f t="shared" si="11"/>
        <v>7.1557319681497296</v>
      </c>
      <c r="L11">
        <v>2250.6</v>
      </c>
      <c r="M11">
        <f t="shared" si="12"/>
        <v>7.5009999333422206</v>
      </c>
      <c r="N11">
        <v>5979.0199999999995</v>
      </c>
      <c r="O11" s="9">
        <f t="shared" si="13"/>
        <v>12.226017340082583</v>
      </c>
      <c r="P11" s="9">
        <v>2517.8599999999997</v>
      </c>
      <c r="Q11" s="9">
        <f t="shared" si="14"/>
        <v>7.9338830341768967</v>
      </c>
      <c r="R11" s="33"/>
      <c r="S11">
        <f t="shared" si="1"/>
        <v>2.4248767730202103</v>
      </c>
      <c r="T11">
        <f t="shared" si="2"/>
        <v>2.842814382139297E-2</v>
      </c>
      <c r="U11" s="12">
        <f t="shared" si="15"/>
        <v>1.1723541640421343E-2</v>
      </c>
      <c r="V11">
        <f t="shared" si="3"/>
        <v>2.6636243504272867</v>
      </c>
      <c r="W11">
        <f t="shared" si="4"/>
        <v>2.7843897618579212E-2</v>
      </c>
      <c r="X11" s="12">
        <f t="shared" si="16"/>
        <v>1.0453387548477929E-2</v>
      </c>
      <c r="Y11">
        <f t="shared" si="5"/>
        <v>7.0876663617925271</v>
      </c>
      <c r="Z11">
        <f t="shared" si="6"/>
        <v>7.0788203640060984E-2</v>
      </c>
      <c r="AA11" s="12">
        <f t="shared" si="17"/>
        <v>9.9875191673325439E-3</v>
      </c>
      <c r="AB11">
        <f t="shared" si="7"/>
        <v>2.9943818008689327</v>
      </c>
      <c r="AC11">
        <f t="shared" si="8"/>
        <v>3.1869131849271745E-2</v>
      </c>
      <c r="AD11" s="12">
        <f t="shared" si="18"/>
        <v>1.064297540147476E-2</v>
      </c>
      <c r="AG11" s="12"/>
    </row>
    <row r="12" spans="1:33" s="14" customFormat="1" ht="30" x14ac:dyDescent="0.25">
      <c r="A12" s="14">
        <v>1</v>
      </c>
      <c r="H12" s="37" t="s">
        <v>62</v>
      </c>
      <c r="I12" s="15" t="s">
        <v>65</v>
      </c>
      <c r="J12" s="17">
        <v>1.09939494992094E-5</v>
      </c>
      <c r="K12" s="17">
        <v>8.2972748907031597E-8</v>
      </c>
      <c r="L12" s="17">
        <v>1.0894208501086577E-5</v>
      </c>
      <c r="M12" s="17">
        <v>8.5232557432533802E-8</v>
      </c>
      <c r="N12" s="17">
        <v>1.0920514398585715E-5</v>
      </c>
      <c r="O12" s="17">
        <v>8.0399617769644595E-8</v>
      </c>
      <c r="P12" s="14">
        <v>1.0973509163138385E-5</v>
      </c>
      <c r="Q12" s="17">
        <v>8.3096762666270998E-8</v>
      </c>
      <c r="R12" s="34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G12" s="20"/>
    </row>
    <row r="13" spans="1:33" s="14" customFormat="1" ht="30" x14ac:dyDescent="0.25">
      <c r="A13" s="14">
        <v>1</v>
      </c>
      <c r="G13" s="17"/>
      <c r="H13" s="38" t="s">
        <v>63</v>
      </c>
      <c r="I13" s="16" t="s">
        <v>65</v>
      </c>
      <c r="P13" s="17">
        <v>1.0492844352011717E-5</v>
      </c>
      <c r="Q13" s="17">
        <v>8.09091017112891E-7</v>
      </c>
      <c r="R13" s="34"/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G13" s="20"/>
    </row>
    <row r="14" spans="1:33" x14ac:dyDescent="0.25">
      <c r="A14">
        <v>1</v>
      </c>
      <c r="B14" s="6" t="s">
        <v>19</v>
      </c>
      <c r="C14" s="3">
        <v>9.3700000000000006E-2</v>
      </c>
      <c r="D14" s="3">
        <v>5.0049000000000001</v>
      </c>
      <c r="E14" s="3">
        <v>53.414087513340448</v>
      </c>
      <c r="F14" s="10">
        <f t="shared" ref="F14:F19" si="19">(((1/C14)^2)*($E$3^2)+((D14/(C14^2))^2)*($E$3^2))^0.5</f>
        <v>0.11403083782205169</v>
      </c>
      <c r="G14" s="11">
        <f t="shared" ref="G14:G19" si="20">F14/E14</f>
        <v>2.1348457519483393E-3</v>
      </c>
      <c r="H14" s="39"/>
      <c r="I14" t="s">
        <v>19</v>
      </c>
      <c r="J14">
        <v>131.19999999999999</v>
      </c>
      <c r="K14">
        <f>(J14/$E$2)^0.5</f>
        <v>1.8110770276274832</v>
      </c>
      <c r="L14">
        <v>162.4</v>
      </c>
      <c r="M14">
        <f>(L14/$E$2)^0.5</f>
        <v>2.0149441679609885</v>
      </c>
      <c r="N14">
        <v>387.2</v>
      </c>
      <c r="O14">
        <f>(N14/$E$2)^0.5</f>
        <v>3.1112698372208092</v>
      </c>
      <c r="P14" s="9">
        <v>483.2</v>
      </c>
      <c r="Q14">
        <f>(P14/$E$2)^0.5</f>
        <v>3.4756294393965534</v>
      </c>
      <c r="R14" s="33"/>
      <c r="S14">
        <f t="shared" ref="S14:S35" si="21">$J$2*J14*E14</f>
        <v>7.496251980069138E-2</v>
      </c>
      <c r="T14">
        <f t="shared" ref="T14:T35" si="22">((J14*E14*$J$3)^2+($J$2*E14*K14)^2+($J$2*J14*F14)^2)^0.5</f>
        <v>1.298297787435065E-3</v>
      </c>
      <c r="U14" s="12">
        <f t="shared" si="15"/>
        <v>1.7319292239467793E-2</v>
      </c>
      <c r="V14">
        <f t="shared" ref="V14:V35" si="23">$L$2*L14*E14</f>
        <v>9.2757594148433209E-2</v>
      </c>
      <c r="W14">
        <f t="shared" ref="W14:W35" si="24">((L14*E14*$L$3)^2+($L$2*E14*M14)^2+($L$2*L14*F14)^2)^0.5</f>
        <v>1.4258133105711415E-3</v>
      </c>
      <c r="X14" s="12">
        <f t="shared" ref="X14:X35" si="25">W14/V14</f>
        <v>1.5371391675915143E-2</v>
      </c>
      <c r="Y14">
        <f t="shared" ref="Y14:Y35" si="26">$N$2*N14*E14</f>
        <v>0.22151207086992303</v>
      </c>
      <c r="Z14">
        <f t="shared" ref="Z14:Z35" si="27">((N14*E14*$N$3)^2+($N$2*E14*O14)^2+($N$2*N14*F14)^2)^0.5</f>
        <v>2.6609952959316314E-3</v>
      </c>
      <c r="AA14" s="12">
        <f t="shared" si="17"/>
        <v>1.2012868127147025E-2</v>
      </c>
      <c r="AB14">
        <f t="shared" ref="AB14:AB35" si="28">$P$2*E14*P14</f>
        <v>0.27732646169693931</v>
      </c>
      <c r="AC14">
        <f t="shared" ref="AC14:AC35" si="29">((P14*E14*$P$3)^2+($P$2*E14*Q14)^2+($P$2*P14*F14)^2)^0.5</f>
        <v>3.2726391125388519E-3</v>
      </c>
      <c r="AD14" s="12">
        <f t="shared" si="18"/>
        <v>1.1800673807013671E-2</v>
      </c>
      <c r="AG14" s="12"/>
    </row>
    <row r="15" spans="1:33" x14ac:dyDescent="0.25">
      <c r="A15">
        <v>1</v>
      </c>
      <c r="B15" s="6" t="s">
        <v>20</v>
      </c>
      <c r="C15" s="3">
        <v>2.87E-2</v>
      </c>
      <c r="D15" s="3">
        <v>4.9332000000000003</v>
      </c>
      <c r="E15" s="3">
        <v>171.88850174216029</v>
      </c>
      <c r="F15" s="10">
        <f t="shared" si="19"/>
        <v>1.1978495510797849</v>
      </c>
      <c r="G15" s="11">
        <f t="shared" si="20"/>
        <v>6.968759044026154E-3</v>
      </c>
      <c r="H15" s="39"/>
      <c r="I15" t="s">
        <v>20</v>
      </c>
      <c r="J15">
        <v>0.8</v>
      </c>
      <c r="K15">
        <f t="shared" ref="K15:K35" si="30">(J15/$E$2)^0.5</f>
        <v>0.1414213562373095</v>
      </c>
      <c r="L15">
        <v>12</v>
      </c>
      <c r="M15">
        <f t="shared" ref="M15:M35" si="31">(L15/$E$2)^0.5</f>
        <v>0.54772255750516607</v>
      </c>
      <c r="N15">
        <v>25.6</v>
      </c>
      <c r="O15">
        <f t="shared" ref="O15:O35" si="32">(N15/$E$2)^0.5</f>
        <v>0.8</v>
      </c>
      <c r="P15" s="9">
        <v>69.599999999999994</v>
      </c>
      <c r="Q15">
        <f t="shared" ref="Q15:Q35" si="33">(P15/$E$2)^0.5</f>
        <v>1.3190905958272918</v>
      </c>
      <c r="R15" s="33"/>
      <c r="S15">
        <f t="shared" si="21"/>
        <v>1.470927748951189E-3</v>
      </c>
      <c r="T15">
        <f t="shared" si="22"/>
        <v>2.6066323521261258E-4</v>
      </c>
      <c r="U15" s="12">
        <f t="shared" si="15"/>
        <v>0.17721008757804213</v>
      </c>
      <c r="V15">
        <f t="shared" si="23"/>
        <v>2.2056454859550725E-2</v>
      </c>
      <c r="W15">
        <f t="shared" si="24"/>
        <v>1.0368124929312126E-3</v>
      </c>
      <c r="X15" s="12">
        <f t="shared" si="25"/>
        <v>4.7007213966765812E-2</v>
      </c>
      <c r="Y15">
        <f t="shared" si="26"/>
        <v>4.7129521058674677E-2</v>
      </c>
      <c r="Z15">
        <f t="shared" si="27"/>
        <v>1.5633306294160008E-3</v>
      </c>
      <c r="AA15" s="12">
        <f t="shared" si="17"/>
        <v>3.3170942422048093E-2</v>
      </c>
      <c r="AB15">
        <f t="shared" si="28"/>
        <v>0.1285477966667179</v>
      </c>
      <c r="AC15">
        <f t="shared" si="29"/>
        <v>2.8476134994353283E-3</v>
      </c>
      <c r="AD15" s="12">
        <f t="shared" si="18"/>
        <v>2.215217664771223E-2</v>
      </c>
      <c r="AG15" s="12"/>
    </row>
    <row r="16" spans="1:33" x14ac:dyDescent="0.25">
      <c r="A16">
        <v>1</v>
      </c>
      <c r="B16" s="6" t="s">
        <v>21</v>
      </c>
      <c r="C16" s="3">
        <v>4.0600000000000004E-2</v>
      </c>
      <c r="D16" s="3">
        <v>5.0502000000000002</v>
      </c>
      <c r="E16" s="3">
        <v>124.38916256157634</v>
      </c>
      <c r="F16" s="10">
        <f t="shared" si="19"/>
        <v>0.61277429625328761</v>
      </c>
      <c r="G16" s="11">
        <f t="shared" si="20"/>
        <v>4.9262675592815098E-3</v>
      </c>
      <c r="H16" s="36"/>
      <c r="I16" t="s">
        <v>21</v>
      </c>
      <c r="J16">
        <v>8.7999999999999989</v>
      </c>
      <c r="K16">
        <f t="shared" si="30"/>
        <v>0.46904157598234292</v>
      </c>
      <c r="L16">
        <v>5.6</v>
      </c>
      <c r="M16">
        <f t="shared" si="31"/>
        <v>0.37416573867739411</v>
      </c>
      <c r="N16">
        <v>16.8</v>
      </c>
      <c r="O16">
        <f t="shared" si="32"/>
        <v>0.64807406984078608</v>
      </c>
      <c r="P16" s="9">
        <v>26.4</v>
      </c>
      <c r="Q16">
        <f t="shared" si="33"/>
        <v>0.81240384046359604</v>
      </c>
      <c r="R16" s="33"/>
      <c r="S16">
        <f t="shared" si="21"/>
        <v>1.1708998329079031E-2</v>
      </c>
      <c r="T16">
        <f t="shared" si="22"/>
        <v>6.3811664027596093E-4</v>
      </c>
      <c r="U16" s="12">
        <f t="shared" si="15"/>
        <v>5.4497970051905528E-2</v>
      </c>
      <c r="V16">
        <f t="shared" si="23"/>
        <v>7.4486609822629821E-3</v>
      </c>
      <c r="W16">
        <f t="shared" si="24"/>
        <v>5.033407543415917E-4</v>
      </c>
      <c r="X16" s="12">
        <f t="shared" si="25"/>
        <v>6.7574662820628392E-2</v>
      </c>
      <c r="Y16">
        <f t="shared" si="26"/>
        <v>2.2381957187540269E-2</v>
      </c>
      <c r="Z16">
        <f t="shared" si="27"/>
        <v>8.9178791910828742E-4</v>
      </c>
      <c r="AA16" s="12">
        <f t="shared" si="17"/>
        <v>3.984405437093471E-2</v>
      </c>
      <c r="AB16">
        <f t="shared" si="28"/>
        <v>3.5285399779284611E-2</v>
      </c>
      <c r="AC16">
        <f t="shared" si="29"/>
        <v>1.1456608740099909E-3</v>
      </c>
      <c r="AD16" s="12">
        <f t="shared" si="18"/>
        <v>3.2468411330926358E-2</v>
      </c>
      <c r="AG16" s="12"/>
    </row>
    <row r="17" spans="1:33" x14ac:dyDescent="0.25">
      <c r="A17">
        <v>1</v>
      </c>
      <c r="B17" s="6" t="s">
        <v>22</v>
      </c>
      <c r="C17" s="3">
        <v>3.2599999999999997E-2</v>
      </c>
      <c r="D17" s="3">
        <v>4.9707999999999997</v>
      </c>
      <c r="E17" s="3">
        <v>152.47852760736197</v>
      </c>
      <c r="F17" s="10">
        <f t="shared" si="19"/>
        <v>0.93547120688552143</v>
      </c>
      <c r="G17" s="11">
        <f t="shared" si="20"/>
        <v>6.1351012602534798E-3</v>
      </c>
      <c r="H17" s="36"/>
      <c r="I17" t="s">
        <v>22</v>
      </c>
      <c r="J17">
        <v>8</v>
      </c>
      <c r="K17">
        <f t="shared" si="30"/>
        <v>0.44721359549995793</v>
      </c>
      <c r="L17">
        <v>8</v>
      </c>
      <c r="M17">
        <f t="shared" si="31"/>
        <v>0.44721359549995793</v>
      </c>
      <c r="N17">
        <v>9.6</v>
      </c>
      <c r="O17">
        <f t="shared" si="32"/>
        <v>0.4898979485566356</v>
      </c>
      <c r="P17" s="9">
        <v>25.6</v>
      </c>
      <c r="Q17">
        <f>(P17/$E$2)^0.5</f>
        <v>0.8</v>
      </c>
      <c r="R17" s="33"/>
      <c r="S17">
        <f t="shared" si="21"/>
        <v>1.3048278104915073E-2</v>
      </c>
      <c r="T17">
        <f t="shared" si="22"/>
        <v>7.4586530326990286E-4</v>
      </c>
      <c r="U17" s="12">
        <f t="shared" si="15"/>
        <v>5.7161971661912052E-2</v>
      </c>
      <c r="V17">
        <f t="shared" si="23"/>
        <v>1.3043865556783541E-2</v>
      </c>
      <c r="W17">
        <f t="shared" si="24"/>
        <v>7.4251804502263987E-4</v>
      </c>
      <c r="X17" s="12">
        <f t="shared" si="25"/>
        <v>5.6924693204652731E-2</v>
      </c>
      <c r="Y17">
        <f t="shared" si="26"/>
        <v>1.5677837460835203E-2</v>
      </c>
      <c r="Z17">
        <f t="shared" si="27"/>
        <v>8.172036424389618E-4</v>
      </c>
      <c r="AA17" s="12">
        <f t="shared" si="17"/>
        <v>5.2124768130835504E-2</v>
      </c>
      <c r="AB17">
        <f t="shared" si="28"/>
        <v>4.1942781342315182E-2</v>
      </c>
      <c r="AC17">
        <f t="shared" si="29"/>
        <v>1.3892889576980468E-3</v>
      </c>
      <c r="AD17" s="12">
        <f t="shared" si="18"/>
        <v>3.3123434193822111E-2</v>
      </c>
      <c r="AG17" s="12"/>
    </row>
    <row r="18" spans="1:33" x14ac:dyDescent="0.25">
      <c r="A18">
        <v>1</v>
      </c>
      <c r="B18" s="6" t="s">
        <v>23</v>
      </c>
      <c r="C18" s="3">
        <v>3.2399999999999998E-2</v>
      </c>
      <c r="D18" s="3">
        <v>5.0772000000000004</v>
      </c>
      <c r="E18" s="3">
        <v>156.70370370370372</v>
      </c>
      <c r="F18" s="10">
        <f t="shared" si="19"/>
        <v>0.96732650868068526</v>
      </c>
      <c r="G18" s="11">
        <f t="shared" si="20"/>
        <v>6.1729651936607184E-3</v>
      </c>
      <c r="H18" s="36"/>
      <c r="I18" t="s">
        <v>23</v>
      </c>
      <c r="J18">
        <v>2.4000000000000004</v>
      </c>
      <c r="K18">
        <f t="shared" si="30"/>
        <v>0.24494897427831783</v>
      </c>
      <c r="L18">
        <v>13.6</v>
      </c>
      <c r="M18">
        <f t="shared" si="31"/>
        <v>0.58309518948452999</v>
      </c>
      <c r="N18">
        <v>16</v>
      </c>
      <c r="O18">
        <f t="shared" si="32"/>
        <v>0.63245553203367588</v>
      </c>
      <c r="P18" s="9">
        <v>36</v>
      </c>
      <c r="Q18">
        <f t="shared" si="33"/>
        <v>0.94868329805051377</v>
      </c>
      <c r="R18" s="33"/>
      <c r="S18">
        <f t="shared" si="21"/>
        <v>4.022953667144568E-3</v>
      </c>
      <c r="T18">
        <f t="shared" si="22"/>
        <v>4.1339883829415907E-4</v>
      </c>
      <c r="U18" s="12">
        <f t="shared" si="15"/>
        <v>0.10276002969419813</v>
      </c>
      <c r="V18">
        <f t="shared" si="23"/>
        <v>2.2789028253616152E-2</v>
      </c>
      <c r="W18">
        <f t="shared" si="24"/>
        <v>1.0073993038315714E-3</v>
      </c>
      <c r="X18" s="12">
        <f t="shared" si="25"/>
        <v>4.4205452405445052E-2</v>
      </c>
      <c r="Y18">
        <f t="shared" si="26"/>
        <v>2.6853783225834878E-2</v>
      </c>
      <c r="Z18">
        <f t="shared" si="27"/>
        <v>1.0992978587370363E-3</v>
      </c>
      <c r="AA18" s="12">
        <f t="shared" si="17"/>
        <v>4.0936424096827025E-2</v>
      </c>
      <c r="AB18">
        <f t="shared" si="28"/>
        <v>6.0616426977447645E-2</v>
      </c>
      <c r="AC18">
        <f t="shared" si="29"/>
        <v>1.7310313925089776E-3</v>
      </c>
      <c r="AD18" s="12">
        <f t="shared" si="18"/>
        <v>2.8557133417860613E-2</v>
      </c>
      <c r="AG18" s="12"/>
    </row>
    <row r="19" spans="1:33" x14ac:dyDescent="0.25">
      <c r="A19">
        <v>1</v>
      </c>
      <c r="B19" s="6" t="s">
        <v>24</v>
      </c>
      <c r="C19" s="3">
        <v>6.7900000000000002E-2</v>
      </c>
      <c r="D19" s="3">
        <v>4.9969000000000001</v>
      </c>
      <c r="E19" s="3">
        <v>73.592047128129607</v>
      </c>
      <c r="F19" s="10">
        <f t="shared" si="19"/>
        <v>0.21678598240630462</v>
      </c>
      <c r="G19" s="11">
        <f t="shared" si="20"/>
        <v>2.9457800246929259E-3</v>
      </c>
      <c r="H19" s="36"/>
      <c r="I19" t="s">
        <v>24</v>
      </c>
      <c r="J19">
        <v>12.799999999999999</v>
      </c>
      <c r="K19">
        <f t="shared" si="30"/>
        <v>0.56568542494923801</v>
      </c>
      <c r="L19">
        <v>30.4</v>
      </c>
      <c r="M19">
        <f t="shared" si="31"/>
        <v>0.87177978870813466</v>
      </c>
      <c r="N19">
        <v>58.4</v>
      </c>
      <c r="O19">
        <f t="shared" si="32"/>
        <v>1.2083045973594573</v>
      </c>
      <c r="P19" s="9">
        <v>140.80000000000001</v>
      </c>
      <c r="Q19">
        <f t="shared" si="33"/>
        <v>1.8761663039293719</v>
      </c>
      <c r="R19" s="33"/>
      <c r="S19">
        <f t="shared" si="21"/>
        <v>1.0076167573816356E-2</v>
      </c>
      <c r="T19">
        <f t="shared" si="22"/>
        <v>4.5806729421467697E-4</v>
      </c>
      <c r="U19" s="12">
        <f t="shared" si="15"/>
        <v>4.5460468065755245E-2</v>
      </c>
      <c r="V19">
        <f t="shared" si="23"/>
        <v>2.3922805254170912E-2</v>
      </c>
      <c r="W19">
        <f t="shared" si="24"/>
        <v>7.2119512069154096E-4</v>
      </c>
      <c r="X19" s="12">
        <f t="shared" si="25"/>
        <v>3.0146762180651931E-2</v>
      </c>
      <c r="Y19">
        <f t="shared" si="26"/>
        <v>4.6030952965107903E-2</v>
      </c>
      <c r="Z19">
        <f t="shared" si="27"/>
        <v>1.0415057553340757E-3</v>
      </c>
      <c r="AA19" s="12">
        <f t="shared" si="17"/>
        <v>2.2626204504685173E-2</v>
      </c>
      <c r="AB19">
        <f t="shared" si="28"/>
        <v>0.11133766532998086</v>
      </c>
      <c r="AC19">
        <f t="shared" si="29"/>
        <v>1.8267330711094086E-3</v>
      </c>
      <c r="AD19" s="12">
        <f t="shared" si="18"/>
        <v>1.6407143671419416E-2</v>
      </c>
      <c r="AG19" s="12"/>
    </row>
    <row r="20" spans="1:33" s="25" customFormat="1" x14ac:dyDescent="0.25">
      <c r="A20" s="25">
        <v>1</v>
      </c>
      <c r="B20" s="21" t="s">
        <v>25</v>
      </c>
      <c r="C20" s="22" t="s">
        <v>26</v>
      </c>
      <c r="D20" s="21">
        <v>5.5175000000000001</v>
      </c>
      <c r="E20" s="22" t="s">
        <v>26</v>
      </c>
      <c r="F20" s="23"/>
      <c r="G20" s="24"/>
      <c r="H20" s="40"/>
      <c r="I20" s="25" t="s">
        <v>25</v>
      </c>
      <c r="J20" s="25">
        <v>6.4</v>
      </c>
      <c r="K20" s="25">
        <f t="shared" si="30"/>
        <v>0.4</v>
      </c>
      <c r="L20" s="25">
        <v>8.8000000000000007</v>
      </c>
      <c r="M20" s="25">
        <f t="shared" si="31"/>
        <v>0.46904157598234297</v>
      </c>
      <c r="N20" s="25">
        <v>7.2</v>
      </c>
      <c r="O20" s="25">
        <f t="shared" si="32"/>
        <v>0.42426406871192851</v>
      </c>
      <c r="P20" s="25">
        <v>66.400000000000006</v>
      </c>
      <c r="Q20" s="25">
        <f>(P20/$E$2)^0.5</f>
        <v>1.2884098726725126</v>
      </c>
      <c r="R20" s="35"/>
      <c r="S20" s="25" t="e">
        <f t="shared" si="21"/>
        <v>#VALUE!</v>
      </c>
      <c r="T20" s="25" t="e">
        <f t="shared" si="22"/>
        <v>#VALUE!</v>
      </c>
      <c r="U20" s="26" t="e">
        <f t="shared" si="15"/>
        <v>#VALUE!</v>
      </c>
      <c r="V20" s="25" t="e">
        <f t="shared" si="23"/>
        <v>#VALUE!</v>
      </c>
      <c r="W20" s="25" t="e">
        <f t="shared" si="24"/>
        <v>#VALUE!</v>
      </c>
      <c r="X20" s="26" t="e">
        <f t="shared" si="25"/>
        <v>#VALUE!</v>
      </c>
      <c r="Y20" s="25" t="e">
        <f t="shared" si="26"/>
        <v>#VALUE!</v>
      </c>
      <c r="Z20" s="25" t="e">
        <f t="shared" si="27"/>
        <v>#VALUE!</v>
      </c>
      <c r="AA20" s="26" t="e">
        <f t="shared" si="17"/>
        <v>#VALUE!</v>
      </c>
      <c r="AB20" s="25" t="e">
        <f t="shared" si="28"/>
        <v>#VALUE!</v>
      </c>
      <c r="AC20" s="25" t="e">
        <f t="shared" si="29"/>
        <v>#VALUE!</v>
      </c>
      <c r="AD20" s="26" t="e">
        <f t="shared" si="18"/>
        <v>#VALUE!</v>
      </c>
      <c r="AG20" s="26"/>
    </row>
    <row r="21" spans="1:33" x14ac:dyDescent="0.25">
      <c r="A21">
        <v>1</v>
      </c>
      <c r="B21" s="6" t="s">
        <v>27</v>
      </c>
      <c r="C21" s="3">
        <v>1.6500000000000001E-2</v>
      </c>
      <c r="D21" s="3">
        <v>4.8581000000000003</v>
      </c>
      <c r="E21" s="3">
        <v>294.43030303030304</v>
      </c>
      <c r="F21" s="10">
        <f>(((1/C21)^2)*($E$3^2)+((D21/(C21^2))^2)*($E$3^2))^0.5</f>
        <v>3.5688727420627053</v>
      </c>
      <c r="G21" s="11">
        <f>F21/E21</f>
        <v>1.2121282032900648E-2</v>
      </c>
      <c r="H21" s="36"/>
      <c r="I21" t="s">
        <v>27</v>
      </c>
      <c r="J21">
        <v>0.8</v>
      </c>
      <c r="K21">
        <f t="shared" si="30"/>
        <v>0.1414213562373095</v>
      </c>
      <c r="L21">
        <v>1.6</v>
      </c>
      <c r="M21">
        <f t="shared" si="31"/>
        <v>0.2</v>
      </c>
      <c r="N21">
        <v>2.4000000000000004</v>
      </c>
      <c r="O21">
        <f t="shared" si="32"/>
        <v>0.24494897427831783</v>
      </c>
      <c r="P21" s="9">
        <v>8</v>
      </c>
      <c r="Q21">
        <f t="shared" si="33"/>
        <v>0.44721359549995793</v>
      </c>
      <c r="R21" s="33"/>
      <c r="S21">
        <f t="shared" si="21"/>
        <v>2.5195734355112718E-3</v>
      </c>
      <c r="T21">
        <f t="shared" si="22"/>
        <v>4.4719253715703631E-4</v>
      </c>
      <c r="U21" s="12">
        <f t="shared" si="15"/>
        <v>0.17748739959480164</v>
      </c>
      <c r="V21">
        <f t="shared" si="23"/>
        <v>5.0374427781199049E-3</v>
      </c>
      <c r="W21">
        <f t="shared" si="24"/>
        <v>6.3419197320131683E-4</v>
      </c>
      <c r="X21" s="12">
        <f t="shared" si="25"/>
        <v>0.12589561829980978</v>
      </c>
      <c r="Y21">
        <f t="shared" si="26"/>
        <v>7.568328647460449E-3</v>
      </c>
      <c r="Z21">
        <f t="shared" si="27"/>
        <v>7.8063109200244066E-4</v>
      </c>
      <c r="AA21" s="12">
        <f t="shared" si="17"/>
        <v>0.10314444950331025</v>
      </c>
      <c r="AB21">
        <f t="shared" si="28"/>
        <v>2.5309354238124526E-2</v>
      </c>
      <c r="AC21">
        <f t="shared" si="29"/>
        <v>1.4659525369982878E-3</v>
      </c>
      <c r="AD21" s="12">
        <f t="shared" si="18"/>
        <v>5.792137259630524E-2</v>
      </c>
      <c r="AG21" s="12"/>
    </row>
    <row r="22" spans="1:33" x14ac:dyDescent="0.25">
      <c r="A22">
        <v>1</v>
      </c>
      <c r="B22" s="6" t="s">
        <v>28</v>
      </c>
      <c r="C22" s="3">
        <v>4.0399999999999998E-2</v>
      </c>
      <c r="D22" s="3">
        <v>4.9471999999999996</v>
      </c>
      <c r="E22" s="3">
        <v>122.45544554455445</v>
      </c>
      <c r="F22" s="10">
        <f>(((1/C22)^2)*($E$3^2)+((D22/(C22^2))^2)*($E$3^2))^0.5</f>
        <v>0.6062352900703305</v>
      </c>
      <c r="G22" s="11">
        <f>F22/E22</f>
        <v>4.9506601145782167E-3</v>
      </c>
      <c r="H22" s="36"/>
      <c r="I22" t="s">
        <v>28</v>
      </c>
      <c r="J22">
        <v>4</v>
      </c>
      <c r="K22">
        <f t="shared" si="30"/>
        <v>0.31622776601683794</v>
      </c>
      <c r="L22">
        <v>9.6</v>
      </c>
      <c r="M22">
        <f t="shared" si="31"/>
        <v>0.4898979485566356</v>
      </c>
      <c r="N22">
        <v>12</v>
      </c>
      <c r="O22">
        <f t="shared" si="32"/>
        <v>0.54772255750516607</v>
      </c>
      <c r="P22" s="9">
        <v>49.6</v>
      </c>
      <c r="Q22">
        <f t="shared" si="33"/>
        <v>1.1135528725660044</v>
      </c>
      <c r="R22" s="33"/>
      <c r="S22">
        <f t="shared" si="21"/>
        <v>5.2395335067804112E-3</v>
      </c>
      <c r="T22">
        <f t="shared" si="22"/>
        <v>4.1848625366919706E-4</v>
      </c>
      <c r="U22" s="12">
        <f t="shared" si="15"/>
        <v>7.9870899408819418E-2</v>
      </c>
      <c r="V22">
        <f t="shared" si="23"/>
        <v>1.2570627957470458E-2</v>
      </c>
      <c r="W22">
        <f t="shared" si="24"/>
        <v>6.539695591300101E-4</v>
      </c>
      <c r="X22" s="12">
        <f t="shared" si="25"/>
        <v>5.2023618974529416E-2</v>
      </c>
      <c r="Y22">
        <f t="shared" si="26"/>
        <v>1.5738581372464897E-2</v>
      </c>
      <c r="Z22">
        <f t="shared" si="27"/>
        <v>7.3535187779859767E-4</v>
      </c>
      <c r="AA22" s="12">
        <f t="shared" si="17"/>
        <v>4.6722881840234792E-2</v>
      </c>
      <c r="AB22">
        <f t="shared" si="28"/>
        <v>6.5263197946049067E-2</v>
      </c>
      <c r="AC22">
        <f t="shared" si="29"/>
        <v>1.6138642982382722E-3</v>
      </c>
      <c r="AD22" s="12">
        <f t="shared" si="18"/>
        <v>2.4728550684451605E-2</v>
      </c>
      <c r="AG22" s="12"/>
    </row>
    <row r="23" spans="1:33" s="25" customFormat="1" x14ac:dyDescent="0.25">
      <c r="A23" s="25">
        <v>1</v>
      </c>
      <c r="B23" s="21" t="s">
        <v>29</v>
      </c>
      <c r="C23" s="22" t="s">
        <v>26</v>
      </c>
      <c r="D23" s="21">
        <v>4.9318</v>
      </c>
      <c r="E23" s="22" t="s">
        <v>26</v>
      </c>
      <c r="F23" s="23"/>
      <c r="G23" s="27"/>
      <c r="H23" s="40"/>
      <c r="I23" s="25" t="s">
        <v>29</v>
      </c>
      <c r="J23" s="25">
        <v>0.8</v>
      </c>
      <c r="K23" s="25">
        <f t="shared" si="30"/>
        <v>0.1414213562373095</v>
      </c>
      <c r="L23" s="25">
        <v>4.8000000000000007</v>
      </c>
      <c r="M23" s="25">
        <f t="shared" si="31"/>
        <v>0.34641016151377552</v>
      </c>
      <c r="N23" s="25">
        <v>5.6000000000000005</v>
      </c>
      <c r="O23" s="25">
        <f t="shared" si="32"/>
        <v>0.37416573867739417</v>
      </c>
      <c r="P23" s="25">
        <v>27.2</v>
      </c>
      <c r="Q23" s="25">
        <f t="shared" si="33"/>
        <v>0.82462112512353203</v>
      </c>
      <c r="R23" s="35"/>
      <c r="S23" s="25" t="e">
        <f t="shared" si="21"/>
        <v>#VALUE!</v>
      </c>
      <c r="T23" s="25" t="e">
        <f t="shared" si="22"/>
        <v>#VALUE!</v>
      </c>
      <c r="U23" s="26" t="e">
        <f t="shared" si="15"/>
        <v>#VALUE!</v>
      </c>
      <c r="V23" s="25" t="e">
        <f t="shared" si="23"/>
        <v>#VALUE!</v>
      </c>
      <c r="W23" s="25" t="e">
        <f t="shared" si="24"/>
        <v>#VALUE!</v>
      </c>
      <c r="X23" s="26" t="e">
        <f t="shared" si="25"/>
        <v>#VALUE!</v>
      </c>
      <c r="Y23" s="25" t="e">
        <f t="shared" si="26"/>
        <v>#VALUE!</v>
      </c>
      <c r="Z23" s="25" t="e">
        <f t="shared" si="27"/>
        <v>#VALUE!</v>
      </c>
      <c r="AA23" s="26" t="e">
        <f t="shared" si="17"/>
        <v>#VALUE!</v>
      </c>
      <c r="AB23" s="25" t="e">
        <f t="shared" si="28"/>
        <v>#VALUE!</v>
      </c>
      <c r="AC23" s="25" t="e">
        <f t="shared" si="29"/>
        <v>#VALUE!</v>
      </c>
      <c r="AD23" s="26" t="e">
        <f t="shared" si="18"/>
        <v>#VALUE!</v>
      </c>
      <c r="AG23" s="26"/>
    </row>
    <row r="24" spans="1:33" x14ac:dyDescent="0.25">
      <c r="A24">
        <v>1</v>
      </c>
      <c r="B24" s="6" t="s">
        <v>30</v>
      </c>
      <c r="C24" s="3">
        <v>3.6400000000000002E-2</v>
      </c>
      <c r="D24" s="3">
        <v>4.9192</v>
      </c>
      <c r="E24" s="3">
        <v>135.14285714285714</v>
      </c>
      <c r="F24" s="10">
        <f t="shared" ref="F24:F35" si="34">(((1/C24)^2)*($E$3^2)+((D24/(C24^2))^2)*($E$3^2))^0.5</f>
        <v>0.7425634993450424</v>
      </c>
      <c r="G24" s="11">
        <f t="shared" ref="G24:G35" si="35">F24/E24</f>
        <v>5.4946559148153244E-3</v>
      </c>
      <c r="H24" s="36"/>
      <c r="I24" t="s">
        <v>30</v>
      </c>
      <c r="J24">
        <v>2.4000000000000004</v>
      </c>
      <c r="K24">
        <f t="shared" si="30"/>
        <v>0.24494897427831783</v>
      </c>
      <c r="L24">
        <v>8</v>
      </c>
      <c r="M24">
        <f t="shared" si="31"/>
        <v>0.44721359549995793</v>
      </c>
      <c r="N24">
        <v>20</v>
      </c>
      <c r="O24">
        <f t="shared" si="32"/>
        <v>0.70710678118654757</v>
      </c>
      <c r="P24" s="9">
        <v>55.2</v>
      </c>
      <c r="Q24">
        <f t="shared" si="33"/>
        <v>1.1747340124470731</v>
      </c>
      <c r="R24" s="33"/>
      <c r="S24">
        <f t="shared" si="21"/>
        <v>3.4694358836548783E-3</v>
      </c>
      <c r="T24">
        <f t="shared" si="22"/>
        <v>3.5638570684087172E-4</v>
      </c>
      <c r="U24" s="12">
        <f t="shared" si="15"/>
        <v>0.1027215140420572</v>
      </c>
      <c r="V24">
        <f t="shared" si="23"/>
        <v>1.156087540450464E-2</v>
      </c>
      <c r="W24">
        <f t="shared" si="24"/>
        <v>6.5734251799143837E-4</v>
      </c>
      <c r="X24" s="12">
        <f t="shared" si="25"/>
        <v>5.6859233837543821E-2</v>
      </c>
      <c r="Y24">
        <f t="shared" si="26"/>
        <v>2.8948717423872873E-2</v>
      </c>
      <c r="Z24">
        <f t="shared" si="27"/>
        <v>1.0657597457201383E-3</v>
      </c>
      <c r="AA24" s="12">
        <f t="shared" si="17"/>
        <v>3.6815439182160382E-2</v>
      </c>
      <c r="AB24">
        <f t="shared" si="28"/>
        <v>8.0156869119612062E-2</v>
      </c>
      <c r="AC24">
        <f t="shared" si="29"/>
        <v>1.9070761522698367E-3</v>
      </c>
      <c r="AD24" s="12">
        <f t="shared" si="18"/>
        <v>2.3791799420509432E-2</v>
      </c>
      <c r="AG24" s="12"/>
    </row>
    <row r="25" spans="1:33" x14ac:dyDescent="0.25">
      <c r="A25">
        <v>1</v>
      </c>
      <c r="B25" s="3" t="s">
        <v>10</v>
      </c>
      <c r="C25" s="3">
        <v>1.21E-2</v>
      </c>
      <c r="D25" s="3">
        <v>4.9885000000000002</v>
      </c>
      <c r="E25" s="3">
        <v>412.27272727272731</v>
      </c>
      <c r="F25" s="10">
        <f t="shared" si="34"/>
        <v>6.8144452902538699</v>
      </c>
      <c r="G25" s="11">
        <f t="shared" si="35"/>
        <v>1.6528974243173664E-2</v>
      </c>
      <c r="H25" s="36"/>
      <c r="I25" t="s">
        <v>10</v>
      </c>
      <c r="J25">
        <v>100</v>
      </c>
      <c r="K25">
        <f t="shared" si="30"/>
        <v>1.5811388300841898</v>
      </c>
      <c r="L25">
        <v>104.80000000000001</v>
      </c>
      <c r="M25">
        <f t="shared" si="31"/>
        <v>1.6186414056238645</v>
      </c>
      <c r="N25">
        <v>275.2</v>
      </c>
      <c r="O25">
        <f t="shared" si="32"/>
        <v>2.6229754097208002</v>
      </c>
      <c r="P25" s="9">
        <v>114.4</v>
      </c>
      <c r="Q25">
        <f t="shared" si="33"/>
        <v>1.6911534525287764</v>
      </c>
      <c r="R25" s="33"/>
      <c r="S25">
        <f t="shared" si="21"/>
        <v>0.44100055307284303</v>
      </c>
      <c r="T25">
        <f t="shared" si="22"/>
        <v>1.1051957140423939E-2</v>
      </c>
      <c r="U25" s="12">
        <f t="shared" si="15"/>
        <v>2.5061095872590467E-2</v>
      </c>
      <c r="V25">
        <f t="shared" si="23"/>
        <v>0.46201228764939439</v>
      </c>
      <c r="W25">
        <f t="shared" si="24"/>
        <v>1.1217843269513529E-2</v>
      </c>
      <c r="X25" s="12">
        <f t="shared" si="25"/>
        <v>2.428040026075318E-2</v>
      </c>
      <c r="Y25">
        <f t="shared" si="26"/>
        <v>1.2151762441267366</v>
      </c>
      <c r="Z25">
        <f t="shared" si="27"/>
        <v>2.546759319968744E-2</v>
      </c>
      <c r="AA25" s="12">
        <f t="shared" si="17"/>
        <v>2.0957941963380994E-2</v>
      </c>
      <c r="AB25">
        <f t="shared" si="28"/>
        <v>0.50677969072872986</v>
      </c>
      <c r="AC25">
        <f t="shared" si="29"/>
        <v>1.2148962453732221E-2</v>
      </c>
      <c r="AD25" s="12">
        <f t="shared" si="18"/>
        <v>2.3972867650363962E-2</v>
      </c>
      <c r="AG25" s="12"/>
    </row>
    <row r="26" spans="1:33" x14ac:dyDescent="0.25">
      <c r="A26">
        <v>1</v>
      </c>
      <c r="B26" s="3" t="s">
        <v>11</v>
      </c>
      <c r="C26" s="3">
        <v>4.9700000000000001E-2</v>
      </c>
      <c r="D26" s="3">
        <v>4.8765000000000001</v>
      </c>
      <c r="E26" s="3">
        <v>98.118712273641847</v>
      </c>
      <c r="F26" s="10">
        <f t="shared" si="34"/>
        <v>0.39486441854832172</v>
      </c>
      <c r="G26" s="11">
        <f t="shared" si="35"/>
        <v>4.0243538607303581E-3</v>
      </c>
      <c r="H26" s="36"/>
      <c r="I26" t="s">
        <v>11</v>
      </c>
      <c r="J26">
        <v>2233.7999999999997</v>
      </c>
      <c r="K26">
        <f t="shared" si="30"/>
        <v>7.47295122424869</v>
      </c>
      <c r="L26">
        <v>2912.34</v>
      </c>
      <c r="M26">
        <f t="shared" si="31"/>
        <v>8.5327896962247944</v>
      </c>
      <c r="N26">
        <v>7179.6600000000008</v>
      </c>
      <c r="O26">
        <f t="shared" si="32"/>
        <v>13.397443786036202</v>
      </c>
      <c r="P26" s="9">
        <v>4591.24</v>
      </c>
      <c r="Q26">
        <f t="shared" si="33"/>
        <v>10.713589501189599</v>
      </c>
      <c r="R26" s="32"/>
      <c r="S26">
        <f t="shared" si="21"/>
        <v>2.3445022524257784</v>
      </c>
      <c r="T26">
        <f t="shared" si="22"/>
        <v>2.6960619130071539E-2</v>
      </c>
      <c r="U26" s="12">
        <f t="shared" si="15"/>
        <v>1.149950660195625E-2</v>
      </c>
      <c r="V26">
        <f t="shared" si="23"/>
        <v>3.0556355371978414</v>
      </c>
      <c r="W26">
        <f t="shared" si="24"/>
        <v>3.0945128114149022E-2</v>
      </c>
      <c r="X26" s="12">
        <f t="shared" si="25"/>
        <v>1.0127231385234881E-2</v>
      </c>
      <c r="Y26">
        <f t="shared" si="26"/>
        <v>7.545047062894839</v>
      </c>
      <c r="Z26">
        <f t="shared" si="27"/>
        <v>7.3486899835188899E-2</v>
      </c>
      <c r="AA26" s="12">
        <f t="shared" si="17"/>
        <v>9.7397536718603159E-3</v>
      </c>
      <c r="AB26">
        <f t="shared" si="28"/>
        <v>4.8405020312188132</v>
      </c>
      <c r="AC26">
        <f t="shared" si="29"/>
        <v>4.9505937570842255E-2</v>
      </c>
      <c r="AD26" s="12">
        <f t="shared" si="18"/>
        <v>1.02274386523451E-2</v>
      </c>
      <c r="AG26" s="12"/>
    </row>
    <row r="27" spans="1:33" x14ac:dyDescent="0.25">
      <c r="A27">
        <v>1</v>
      </c>
      <c r="B27" s="3" t="s">
        <v>12</v>
      </c>
      <c r="C27" s="3">
        <v>2.7699999999999999E-2</v>
      </c>
      <c r="D27" s="3">
        <v>4.9138999999999999</v>
      </c>
      <c r="E27" s="3">
        <v>177.39711191335741</v>
      </c>
      <c r="F27" s="10">
        <f t="shared" si="34"/>
        <v>1.2808659236544595</v>
      </c>
      <c r="G27" s="11">
        <f t="shared" si="35"/>
        <v>7.2203313224177392E-3</v>
      </c>
      <c r="H27" s="36"/>
      <c r="I27" t="s">
        <v>12</v>
      </c>
      <c r="J27">
        <v>1435.3</v>
      </c>
      <c r="K27">
        <f t="shared" si="30"/>
        <v>5.9902003305398726</v>
      </c>
      <c r="L27">
        <v>1646.5</v>
      </c>
      <c r="M27">
        <f t="shared" si="31"/>
        <v>6.4158008073817259</v>
      </c>
      <c r="N27">
        <v>4239.0999999999995</v>
      </c>
      <c r="O27">
        <f t="shared" si="32"/>
        <v>10.294537386400615</v>
      </c>
      <c r="P27" s="9">
        <v>1900.9599999999998</v>
      </c>
      <c r="Q27">
        <f t="shared" si="33"/>
        <v>6.8937652991670664</v>
      </c>
      <c r="R27" s="33"/>
      <c r="S27">
        <f t="shared" si="21"/>
        <v>2.7236027112620054</v>
      </c>
      <c r="T27">
        <f t="shared" si="22"/>
        <v>3.5968335312343426E-2</v>
      </c>
      <c r="U27" s="12">
        <f t="shared" si="15"/>
        <v>1.3206160782413519E-2</v>
      </c>
      <c r="V27">
        <f t="shared" si="23"/>
        <v>3.1233159384341374</v>
      </c>
      <c r="W27">
        <f t="shared" si="24"/>
        <v>3.7622429298382755E-2</v>
      </c>
      <c r="X27" s="12">
        <f t="shared" si="25"/>
        <v>1.2045668782788788E-2</v>
      </c>
      <c r="Y27">
        <f t="shared" si="26"/>
        <v>8.0542747760154363</v>
      </c>
      <c r="Z27">
        <f t="shared" si="27"/>
        <v>9.2961817422062082E-2</v>
      </c>
      <c r="AA27" s="12">
        <f t="shared" si="17"/>
        <v>1.154192276862593E-2</v>
      </c>
      <c r="AB27">
        <f t="shared" si="28"/>
        <v>3.6234985767842267</v>
      </c>
      <c r="AC27">
        <f t="shared" si="29"/>
        <v>4.4118138959627975E-2</v>
      </c>
      <c r="AD27" s="12">
        <f t="shared" si="18"/>
        <v>1.217556403700366E-2</v>
      </c>
      <c r="AG27" s="12"/>
    </row>
    <row r="28" spans="1:33" x14ac:dyDescent="0.25">
      <c r="A28">
        <v>1</v>
      </c>
      <c r="B28" s="3" t="s">
        <v>31</v>
      </c>
      <c r="C28" s="3">
        <v>1.01E-2</v>
      </c>
      <c r="D28" s="3">
        <v>5.0003000000000002</v>
      </c>
      <c r="E28" s="3">
        <v>495.0792079207921</v>
      </c>
      <c r="F28" s="10">
        <f t="shared" si="34"/>
        <v>9.8035686704785281</v>
      </c>
      <c r="G28" s="11">
        <f t="shared" si="35"/>
        <v>1.9802020593131037E-2</v>
      </c>
      <c r="H28" s="36"/>
      <c r="I28" t="s">
        <v>31</v>
      </c>
      <c r="J28">
        <v>23.200000000000003</v>
      </c>
      <c r="K28">
        <f t="shared" si="30"/>
        <v>0.76157731058639089</v>
      </c>
      <c r="L28">
        <v>48.8</v>
      </c>
      <c r="M28">
        <f t="shared" si="31"/>
        <v>1.1045361017187261</v>
      </c>
      <c r="N28">
        <v>84</v>
      </c>
      <c r="O28">
        <f t="shared" si="32"/>
        <v>1.4491376746189439</v>
      </c>
      <c r="P28" s="9">
        <v>69.600000000000009</v>
      </c>
      <c r="Q28">
        <f t="shared" si="33"/>
        <v>1.319090595827292</v>
      </c>
      <c r="R28" s="33"/>
      <c r="S28">
        <f t="shared" si="21"/>
        <v>0.12286189237138886</v>
      </c>
      <c r="T28">
        <f t="shared" si="22"/>
        <v>4.8752455996854604E-3</v>
      </c>
      <c r="U28" s="12">
        <f t="shared" si="15"/>
        <v>3.9680697615730121E-2</v>
      </c>
      <c r="V28">
        <f t="shared" si="23"/>
        <v>0.25834624093898984</v>
      </c>
      <c r="W28">
        <f t="shared" si="24"/>
        <v>8.0965742019410113E-3</v>
      </c>
      <c r="X28" s="12">
        <f t="shared" si="25"/>
        <v>3.1340011654565049E-2</v>
      </c>
      <c r="Y28">
        <f t="shared" si="26"/>
        <v>0.44541025150157948</v>
      </c>
      <c r="Z28">
        <f t="shared" si="27"/>
        <v>1.2318829991302859E-2</v>
      </c>
      <c r="AA28" s="12">
        <f t="shared" si="17"/>
        <v>2.7657266418483355E-2</v>
      </c>
      <c r="AB28">
        <f t="shared" si="28"/>
        <v>0.37024781011347885</v>
      </c>
      <c r="AC28">
        <f t="shared" si="29"/>
        <v>1.0694172957526752E-2</v>
      </c>
      <c r="AD28" s="12">
        <f t="shared" si="18"/>
        <v>2.8883825009657853E-2</v>
      </c>
      <c r="AG28" s="12"/>
    </row>
    <row r="29" spans="1:33" x14ac:dyDescent="0.25">
      <c r="A29">
        <v>1</v>
      </c>
      <c r="B29" s="3" t="s">
        <v>32</v>
      </c>
      <c r="C29" s="3">
        <v>5.7000000000000002E-3</v>
      </c>
      <c r="D29" s="3">
        <v>4.8712999999999997</v>
      </c>
      <c r="E29" s="3">
        <v>854.61403508771923</v>
      </c>
      <c r="F29" s="10">
        <f t="shared" si="34"/>
        <v>29.986477899892936</v>
      </c>
      <c r="G29" s="11">
        <f t="shared" si="35"/>
        <v>3.5087743318906607E-2</v>
      </c>
      <c r="H29" s="36"/>
      <c r="I29" t="s">
        <v>32</v>
      </c>
      <c r="J29">
        <v>0</v>
      </c>
      <c r="K29">
        <f t="shared" si="30"/>
        <v>0</v>
      </c>
      <c r="L29">
        <v>6.3999999999999995</v>
      </c>
      <c r="M29">
        <f t="shared" si="31"/>
        <v>0.39999999999999997</v>
      </c>
      <c r="N29">
        <v>16</v>
      </c>
      <c r="O29">
        <f t="shared" si="32"/>
        <v>0.63245553203367588</v>
      </c>
      <c r="P29" s="9">
        <v>57.6</v>
      </c>
      <c r="Q29">
        <f t="shared" si="33"/>
        <v>1.2</v>
      </c>
      <c r="R29" s="33"/>
      <c r="S29">
        <f t="shared" si="21"/>
        <v>0</v>
      </c>
      <c r="T29">
        <f t="shared" si="22"/>
        <v>0</v>
      </c>
      <c r="U29" s="12" t="e">
        <f t="shared" si="15"/>
        <v>#DIV/0!</v>
      </c>
      <c r="V29">
        <f t="shared" si="23"/>
        <v>5.8486769260152678E-2</v>
      </c>
      <c r="W29">
        <f t="shared" si="24"/>
        <v>4.2236928003492272E-3</v>
      </c>
      <c r="X29" s="12">
        <f t="shared" si="25"/>
        <v>7.2216209815966867E-2</v>
      </c>
      <c r="Y29">
        <f t="shared" si="26"/>
        <v>0.14645231412905804</v>
      </c>
      <c r="Z29">
        <f t="shared" si="27"/>
        <v>7.8442066725273891E-3</v>
      </c>
      <c r="AA29" s="12">
        <f t="shared" si="17"/>
        <v>5.3561507164815746E-2</v>
      </c>
      <c r="AB29">
        <f t="shared" si="28"/>
        <v>0.52893350216913582</v>
      </c>
      <c r="AC29">
        <f t="shared" si="29"/>
        <v>2.2115097688940891E-2</v>
      </c>
      <c r="AD29" s="12">
        <f t="shared" si="18"/>
        <v>4.1810733482087505E-2</v>
      </c>
      <c r="AG29" s="12"/>
    </row>
    <row r="30" spans="1:33" x14ac:dyDescent="0.25">
      <c r="A30">
        <v>1</v>
      </c>
      <c r="B30" s="3" t="s">
        <v>13</v>
      </c>
      <c r="C30" s="4">
        <v>2.5381</v>
      </c>
      <c r="D30" s="3">
        <v>5.0625</v>
      </c>
      <c r="E30" s="3">
        <v>1.9946022615342185</v>
      </c>
      <c r="F30" s="10">
        <f t="shared" si="34"/>
        <v>1.7581981791480486E-4</v>
      </c>
      <c r="G30" s="11">
        <f t="shared" si="35"/>
        <v>8.8147808365346417E-5</v>
      </c>
      <c r="H30" s="36"/>
      <c r="I30" t="s">
        <v>13</v>
      </c>
      <c r="J30">
        <v>364.8</v>
      </c>
      <c r="K30">
        <f t="shared" si="30"/>
        <v>3.0199337741083001</v>
      </c>
      <c r="L30">
        <v>400</v>
      </c>
      <c r="M30">
        <f t="shared" si="31"/>
        <v>3.1622776601683795</v>
      </c>
      <c r="N30">
        <v>1042.42</v>
      </c>
      <c r="O30">
        <f t="shared" si="32"/>
        <v>5.1049485795647342</v>
      </c>
      <c r="P30" s="9">
        <v>833.6</v>
      </c>
      <c r="Q30">
        <f t="shared" si="33"/>
        <v>4.5650848842053309</v>
      </c>
      <c r="R30" s="33"/>
      <c r="S30">
        <f t="shared" si="21"/>
        <v>7.7833339513872007E-3</v>
      </c>
      <c r="T30">
        <f t="shared" si="22"/>
        <v>1.0248910455613617E-4</v>
      </c>
      <c r="U30" s="12">
        <f t="shared" si="15"/>
        <v>1.3167763993715038E-2</v>
      </c>
      <c r="V30">
        <f t="shared" si="23"/>
        <v>8.5314713313943951E-3</v>
      </c>
      <c r="W30">
        <f t="shared" si="24"/>
        <v>1.0104986646970717E-4</v>
      </c>
      <c r="X30" s="12">
        <f t="shared" si="25"/>
        <v>1.1844365707221036E-2</v>
      </c>
      <c r="Y30">
        <f t="shared" si="26"/>
        <v>2.2269233925237511E-2</v>
      </c>
      <c r="Z30">
        <f t="shared" si="27"/>
        <v>2.2177266309677426E-4</v>
      </c>
      <c r="AA30" s="12">
        <f t="shared" si="17"/>
        <v>9.9587019401435901E-3</v>
      </c>
      <c r="AB30">
        <f t="shared" si="28"/>
        <v>1.7865804796042335E-2</v>
      </c>
      <c r="AC30">
        <f t="shared" si="29"/>
        <v>1.8988089534566102E-4</v>
      </c>
      <c r="AD30" s="12">
        <f t="shared" si="18"/>
        <v>1.0628174745742423E-2</v>
      </c>
      <c r="AG30" s="12"/>
    </row>
    <row r="31" spans="1:33" x14ac:dyDescent="0.25">
      <c r="A31">
        <v>1</v>
      </c>
      <c r="B31" s="3" t="s">
        <v>14</v>
      </c>
      <c r="C31" s="4">
        <v>2.7002000000000002</v>
      </c>
      <c r="D31" s="3">
        <v>5.3585000000000003</v>
      </c>
      <c r="E31" s="3">
        <v>1.9844826309162285</v>
      </c>
      <c r="F31" s="10">
        <f t="shared" si="34"/>
        <v>1.6459518971101252E-4</v>
      </c>
      <c r="G31" s="11">
        <f t="shared" si="35"/>
        <v>8.2941108753881867E-5</v>
      </c>
      <c r="H31" s="36"/>
      <c r="I31" t="s">
        <v>14</v>
      </c>
      <c r="J31">
        <v>71.199999999999989</v>
      </c>
      <c r="K31">
        <f t="shared" si="30"/>
        <v>1.3341664064126333</v>
      </c>
      <c r="L31">
        <v>98.399999999999991</v>
      </c>
      <c r="M31">
        <f t="shared" si="31"/>
        <v>1.5684387141358123</v>
      </c>
      <c r="N31">
        <v>240</v>
      </c>
      <c r="O31">
        <f t="shared" si="32"/>
        <v>2.4494897427831779</v>
      </c>
      <c r="P31" s="9">
        <v>329.59999999999997</v>
      </c>
      <c r="Q31">
        <f t="shared" si="33"/>
        <v>2.8705400188814645</v>
      </c>
      <c r="R31" s="33"/>
      <c r="S31">
        <f t="shared" si="21"/>
        <v>1.5114083723991346E-3</v>
      </c>
      <c r="T31">
        <f t="shared" si="22"/>
        <v>3.2274214324123989E-5</v>
      </c>
      <c r="U31" s="12">
        <f t="shared" si="15"/>
        <v>2.1353735306423836E-2</v>
      </c>
      <c r="V31">
        <f t="shared" si="23"/>
        <v>2.0880939633704928E-3</v>
      </c>
      <c r="W31">
        <f t="shared" si="24"/>
        <v>3.803846728908288E-5</v>
      </c>
      <c r="X31" s="12">
        <f t="shared" si="25"/>
        <v>1.8216836960575838E-2</v>
      </c>
      <c r="Y31">
        <f t="shared" si="26"/>
        <v>5.1011110579895639E-3</v>
      </c>
      <c r="Z31">
        <f t="shared" si="27"/>
        <v>6.8316593315955558E-5</v>
      </c>
      <c r="AA31" s="12">
        <f t="shared" si="17"/>
        <v>1.3392492839173807E-2</v>
      </c>
      <c r="AB31">
        <f t="shared" si="28"/>
        <v>7.0281832500777202E-3</v>
      </c>
      <c r="AC31">
        <f t="shared" si="29"/>
        <v>8.8570814741642669E-5</v>
      </c>
      <c r="AD31" s="12">
        <f t="shared" si="18"/>
        <v>1.2602234687131019E-2</v>
      </c>
      <c r="AG31" s="12"/>
    </row>
    <row r="32" spans="1:33" x14ac:dyDescent="0.25">
      <c r="A32">
        <v>1</v>
      </c>
      <c r="B32" s="3" t="s">
        <v>15</v>
      </c>
      <c r="C32" s="4">
        <v>2.6623999999999999</v>
      </c>
      <c r="D32" s="3">
        <v>5.5254000000000003</v>
      </c>
      <c r="E32" s="3">
        <v>2.0753455528846154</v>
      </c>
      <c r="F32" s="10">
        <f t="shared" si="34"/>
        <v>1.7305480235115642E-4</v>
      </c>
      <c r="G32" s="11">
        <f t="shared" si="35"/>
        <v>8.3386018347942026E-5</v>
      </c>
      <c r="H32" s="36"/>
      <c r="I32" t="s">
        <v>15</v>
      </c>
      <c r="J32">
        <v>17.600000000000001</v>
      </c>
      <c r="K32">
        <f t="shared" si="30"/>
        <v>0.66332495807108005</v>
      </c>
      <c r="L32">
        <v>25.6</v>
      </c>
      <c r="M32">
        <f t="shared" si="31"/>
        <v>0.8</v>
      </c>
      <c r="N32">
        <v>75.2</v>
      </c>
      <c r="O32">
        <f t="shared" si="32"/>
        <v>1.3711309200802089</v>
      </c>
      <c r="P32" s="9">
        <v>185.6</v>
      </c>
      <c r="Q32">
        <f t="shared" si="33"/>
        <v>2.1540659228538015</v>
      </c>
      <c r="R32" s="33"/>
      <c r="S32">
        <f t="shared" si="21"/>
        <v>3.9071277771418763E-4</v>
      </c>
      <c r="T32">
        <f t="shared" si="22"/>
        <v>1.5259387627431632E-5</v>
      </c>
      <c r="U32" s="12">
        <f t="shared" si="15"/>
        <v>3.9055256182571302E-2</v>
      </c>
      <c r="V32">
        <f t="shared" si="23"/>
        <v>5.6811730911574747E-4</v>
      </c>
      <c r="W32">
        <f t="shared" si="24"/>
        <v>1.8447204533528316E-5</v>
      </c>
      <c r="X32" s="12">
        <f t="shared" si="25"/>
        <v>3.247076657854462E-2</v>
      </c>
      <c r="Y32">
        <f t="shared" si="26"/>
        <v>1.6715312268293851E-3</v>
      </c>
      <c r="Z32">
        <f t="shared" si="27"/>
        <v>3.3748338838723175E-5</v>
      </c>
      <c r="AA32" s="12">
        <f t="shared" si="17"/>
        <v>2.019007380600249E-2</v>
      </c>
      <c r="AB32">
        <f t="shared" si="28"/>
        <v>4.1388240313374181E-3</v>
      </c>
      <c r="AC32">
        <f t="shared" si="29"/>
        <v>6.1062055086954386E-5</v>
      </c>
      <c r="AD32" s="12">
        <f t="shared" si="18"/>
        <v>1.4753479400094914E-2</v>
      </c>
      <c r="AG32" s="12"/>
    </row>
    <row r="33" spans="1:33" x14ac:dyDescent="0.25">
      <c r="A33">
        <v>1</v>
      </c>
      <c r="B33" s="3" t="s">
        <v>16</v>
      </c>
      <c r="C33" s="4">
        <v>2.5741999999999998</v>
      </c>
      <c r="D33" s="3">
        <v>5.1252000000000004</v>
      </c>
      <c r="E33" s="3">
        <v>1.9909874912594208</v>
      </c>
      <c r="F33" s="10">
        <f t="shared" si="34"/>
        <v>1.7310314585262601E-4</v>
      </c>
      <c r="G33" s="11">
        <f t="shared" si="35"/>
        <v>8.6943361830529498E-5</v>
      </c>
      <c r="H33" s="36"/>
      <c r="I33" t="s">
        <v>16</v>
      </c>
      <c r="J33">
        <v>373.6</v>
      </c>
      <c r="K33">
        <f t="shared" si="30"/>
        <v>3.056141357987225</v>
      </c>
      <c r="L33">
        <v>439.2</v>
      </c>
      <c r="M33">
        <f t="shared" si="31"/>
        <v>3.3136083051561784</v>
      </c>
      <c r="N33">
        <v>1192.06</v>
      </c>
      <c r="O33">
        <f t="shared" si="32"/>
        <v>5.4590750132233934</v>
      </c>
      <c r="P33" s="9">
        <v>764</v>
      </c>
      <c r="Q33">
        <f t="shared" si="33"/>
        <v>4.3703546766824317</v>
      </c>
      <c r="R33" s="33"/>
      <c r="S33">
        <f t="shared" si="21"/>
        <v>7.9566439976204214E-3</v>
      </c>
      <c r="T33">
        <f t="shared" si="22"/>
        <v>1.0428231028766477E-4</v>
      </c>
      <c r="U33" s="12">
        <f t="shared" si="15"/>
        <v>1.3106318482874474E-2</v>
      </c>
      <c r="V33">
        <f t="shared" si="23"/>
        <v>9.3505789236283804E-3</v>
      </c>
      <c r="W33">
        <f t="shared" si="24"/>
        <v>1.085273418683802E-4</v>
      </c>
      <c r="X33" s="12">
        <f t="shared" si="25"/>
        <v>1.160648370061214E-2</v>
      </c>
      <c r="Y33">
        <f t="shared" si="26"/>
        <v>2.5419844046925315E-2</v>
      </c>
      <c r="Z33">
        <f t="shared" si="27"/>
        <v>2.4927650473599702E-4</v>
      </c>
      <c r="AA33" s="12">
        <f t="shared" si="17"/>
        <v>9.806374274988856E-3</v>
      </c>
      <c r="AB33">
        <f t="shared" si="28"/>
        <v>1.6344455668514696E-2</v>
      </c>
      <c r="AC33">
        <f t="shared" si="29"/>
        <v>1.7579979628284522E-4</v>
      </c>
      <c r="AD33" s="12">
        <f t="shared" si="18"/>
        <v>1.0755928484146395E-2</v>
      </c>
      <c r="AG33" s="12"/>
    </row>
    <row r="34" spans="1:33" x14ac:dyDescent="0.25">
      <c r="A34">
        <v>1</v>
      </c>
      <c r="B34" s="3" t="s">
        <v>17</v>
      </c>
      <c r="C34" s="4">
        <v>2.5093000000000001</v>
      </c>
      <c r="D34" s="3">
        <v>5.0574000000000003</v>
      </c>
      <c r="E34" s="3">
        <v>2.0154624795759775</v>
      </c>
      <c r="F34" s="10">
        <f t="shared" si="34"/>
        <v>1.7932560206231394E-4</v>
      </c>
      <c r="G34" s="11">
        <f t="shared" si="35"/>
        <v>8.8974914631028662E-5</v>
      </c>
      <c r="H34" s="36"/>
      <c r="I34" t="s">
        <v>17</v>
      </c>
      <c r="J34">
        <v>373.6</v>
      </c>
      <c r="K34">
        <f t="shared" si="30"/>
        <v>3.056141357987225</v>
      </c>
      <c r="L34">
        <v>451.2</v>
      </c>
      <c r="M34">
        <f t="shared" si="31"/>
        <v>3.3585711247493331</v>
      </c>
      <c r="N34">
        <v>1147.2599999999998</v>
      </c>
      <c r="O34">
        <f t="shared" si="32"/>
        <v>5.3555111800835586</v>
      </c>
      <c r="P34" s="9">
        <v>796.8</v>
      </c>
      <c r="Q34">
        <f t="shared" si="33"/>
        <v>4.4631827208842791</v>
      </c>
      <c r="R34" s="33"/>
      <c r="S34">
        <f t="shared" si="21"/>
        <v>8.0544541394398338E-3</v>
      </c>
      <c r="T34">
        <f t="shared" si="22"/>
        <v>1.0556435097285853E-4</v>
      </c>
      <c r="U34" s="12">
        <f t="shared" si="15"/>
        <v>1.3106332117026649E-2</v>
      </c>
      <c r="V34">
        <f t="shared" si="23"/>
        <v>9.724145442248219E-3</v>
      </c>
      <c r="W34">
        <f t="shared" si="24"/>
        <v>1.1222731714920587E-4</v>
      </c>
      <c r="X34" s="12">
        <f t="shared" si="25"/>
        <v>1.1541098168031817E-2</v>
      </c>
      <c r="Y34">
        <f t="shared" si="26"/>
        <v>2.4765255018784915E-2</v>
      </c>
      <c r="Z34">
        <f t="shared" si="27"/>
        <v>2.4388971646632364E-4</v>
      </c>
      <c r="AA34" s="12">
        <f t="shared" si="17"/>
        <v>9.8480599647097784E-3</v>
      </c>
      <c r="AB34">
        <f t="shared" si="28"/>
        <v>1.72557013021215E-2</v>
      </c>
      <c r="AC34">
        <f t="shared" si="29"/>
        <v>1.8451771115531572E-4</v>
      </c>
      <c r="AD34" s="12">
        <f t="shared" si="18"/>
        <v>1.0693144713430466E-2</v>
      </c>
      <c r="AG34" s="12"/>
    </row>
    <row r="35" spans="1:33" x14ac:dyDescent="0.25">
      <c r="A35">
        <v>1</v>
      </c>
      <c r="B35" s="3" t="s">
        <v>18</v>
      </c>
      <c r="C35" s="4">
        <v>2.4788999999999999</v>
      </c>
      <c r="D35" s="3">
        <v>5.0540000000000003</v>
      </c>
      <c r="E35" s="3">
        <v>2.0388075356004682</v>
      </c>
      <c r="F35" s="10">
        <f t="shared" si="34"/>
        <v>1.8321391048842223E-4</v>
      </c>
      <c r="G35" s="11">
        <f t="shared" si="35"/>
        <v>8.9863269234220384E-5</v>
      </c>
      <c r="H35" s="36"/>
      <c r="I35" t="s">
        <v>18</v>
      </c>
      <c r="J35">
        <v>360</v>
      </c>
      <c r="K35">
        <f t="shared" si="30"/>
        <v>3</v>
      </c>
      <c r="L35">
        <v>436.8</v>
      </c>
      <c r="M35">
        <f t="shared" si="31"/>
        <v>3.3045423283716611</v>
      </c>
      <c r="N35">
        <v>1176.06</v>
      </c>
      <c r="O35">
        <f t="shared" si="32"/>
        <v>5.422315003759925</v>
      </c>
      <c r="P35" s="9">
        <v>797.6</v>
      </c>
      <c r="Q35">
        <f t="shared" si="33"/>
        <v>4.4654227123532211</v>
      </c>
      <c r="R35" s="32"/>
      <c r="S35">
        <f t="shared" si="21"/>
        <v>7.8511497093785906E-3</v>
      </c>
      <c r="T35">
        <f t="shared" si="22"/>
        <v>1.036542243522968E-4</v>
      </c>
      <c r="U35" s="12">
        <f t="shared" si="15"/>
        <v>1.3202426165492253E-2</v>
      </c>
      <c r="V35">
        <f t="shared" si="23"/>
        <v>9.5228402104062145E-3</v>
      </c>
      <c r="W35">
        <f t="shared" si="24"/>
        <v>1.1065513141415522E-4</v>
      </c>
      <c r="X35" s="12">
        <f t="shared" si="25"/>
        <v>1.1619971454864412E-2</v>
      </c>
      <c r="Y35">
        <f t="shared" si="26"/>
        <v>2.5681000785937932E-2</v>
      </c>
      <c r="Z35">
        <f t="shared" si="27"/>
        <v>2.5221150289855143E-4</v>
      </c>
      <c r="AA35" s="12">
        <f t="shared" si="17"/>
        <v>9.8209374704997521E-3</v>
      </c>
      <c r="AB35">
        <f t="shared" si="28"/>
        <v>1.7473099373928724E-2</v>
      </c>
      <c r="AC35">
        <f t="shared" si="29"/>
        <v>1.8681679659297235E-4</v>
      </c>
      <c r="AD35" s="12">
        <f t="shared" si="18"/>
        <v>1.0691680542475372E-2</v>
      </c>
    </row>
    <row r="36" spans="1:33" s="14" customFormat="1" ht="30" x14ac:dyDescent="0.25">
      <c r="H36" s="37" t="s">
        <v>62</v>
      </c>
      <c r="I36" s="15" t="s">
        <v>65</v>
      </c>
      <c r="J36" s="17">
        <v>1.0399682623398199E-5</v>
      </c>
      <c r="K36" s="17">
        <v>7.8193618154104498E-8</v>
      </c>
      <c r="L36" s="17">
        <v>1.0492188917394526E-5</v>
      </c>
      <c r="M36" s="17">
        <v>8.0948492664080795E-8</v>
      </c>
      <c r="N36" s="17">
        <v>1.0500312447831847E-5</v>
      </c>
      <c r="O36" s="17">
        <v>7.7191647753708601E-8</v>
      </c>
      <c r="P36" s="14">
        <v>1.0516597304876615E-5</v>
      </c>
      <c r="Q36" s="17">
        <v>7.9448130157828502E-8</v>
      </c>
      <c r="R36" s="34"/>
    </row>
    <row r="37" spans="1:33" s="14" customFormat="1" ht="30.75" thickBot="1" x14ac:dyDescent="0.3">
      <c r="A37" s="41"/>
      <c r="B37" s="41"/>
      <c r="C37" s="41"/>
      <c r="D37" s="41"/>
      <c r="E37" s="41"/>
      <c r="F37" s="41"/>
      <c r="G37" s="41"/>
      <c r="H37" s="45" t="s">
        <v>63</v>
      </c>
      <c r="I37" s="42" t="s">
        <v>66</v>
      </c>
      <c r="J37" s="41"/>
      <c r="K37" s="41"/>
      <c r="L37" s="41"/>
      <c r="M37" s="41"/>
      <c r="N37" s="41"/>
      <c r="O37" s="41"/>
      <c r="P37" s="41">
        <v>1.0383338595297007E-5</v>
      </c>
      <c r="Q37" s="41">
        <v>8.2478135471388704E-7</v>
      </c>
      <c r="R37" s="43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</row>
    <row r="38" spans="1:33" ht="30.75" thickTop="1" x14ac:dyDescent="0.25">
      <c r="A38" s="44" t="s">
        <v>50</v>
      </c>
      <c r="B38">
        <f>1/8</f>
        <v>0.125</v>
      </c>
      <c r="H38" t="s">
        <v>59</v>
      </c>
    </row>
    <row r="39" spans="1:33" ht="30" x14ac:dyDescent="0.25">
      <c r="A39" s="44" t="s">
        <v>51</v>
      </c>
      <c r="B39">
        <v>0.5</v>
      </c>
      <c r="H39" t="s">
        <v>64</v>
      </c>
    </row>
    <row r="42" spans="1:33" x14ac:dyDescent="0.25">
      <c r="C42" s="5"/>
    </row>
    <row r="43" spans="1:33" x14ac:dyDescent="0.25">
      <c r="C43" s="8"/>
      <c r="D43" s="19"/>
    </row>
    <row r="44" spans="1:33" x14ac:dyDescent="0.25">
      <c r="C44" s="5"/>
      <c r="D44" s="19"/>
    </row>
    <row r="45" spans="1:33" x14ac:dyDescent="0.25">
      <c r="C45" s="8"/>
      <c r="D45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workbookViewId="0">
      <pane ySplit="1" topLeftCell="A8" activePane="bottomLeft" state="frozen"/>
      <selection pane="bottomLeft" activeCell="A19" sqref="A19:XFD19"/>
    </sheetView>
  </sheetViews>
  <sheetFormatPr defaultRowHeight="15" x14ac:dyDescent="0.25"/>
  <cols>
    <col min="1" max="1" width="17" bestFit="1" customWidth="1"/>
    <col min="13" max="13" width="9.85546875" bestFit="1" customWidth="1"/>
  </cols>
  <sheetData>
    <row r="1" spans="1:22" x14ac:dyDescent="0.25">
      <c r="A1" t="str">
        <f>Sm_Calculations!B5</f>
        <v>Sample ID</v>
      </c>
      <c r="B1" s="36" t="str">
        <f>Sm_Calculations!S5</f>
        <v>Sm 149</v>
      </c>
      <c r="C1" t="str">
        <f>Sm_Calculations!T5</f>
        <v>±</v>
      </c>
      <c r="D1" t="str">
        <f>Sm_Calculations!U5</f>
        <v>%</v>
      </c>
      <c r="E1" s="13" t="str">
        <f>Sm_Calculations!V5</f>
        <v>Sm 151</v>
      </c>
      <c r="F1" t="str">
        <f>Sm_Calculations!W5</f>
        <v>±</v>
      </c>
      <c r="G1" s="12" t="str">
        <f>Sm_Calculations!X5</f>
        <v>%</v>
      </c>
      <c r="H1" s="13" t="str">
        <f>Sm_Calculations!Y5</f>
        <v>Sm 152</v>
      </c>
      <c r="I1" t="str">
        <f>Sm_Calculations!Z5</f>
        <v>±</v>
      </c>
      <c r="J1" t="str">
        <f>Sm_Calculations!AA5</f>
        <v>%</v>
      </c>
      <c r="K1" s="13" t="str">
        <f>Sm_Calculations!AB5</f>
        <v>Sm 154</v>
      </c>
      <c r="L1" t="str">
        <f>Sm_Calculations!AC5</f>
        <v>±</v>
      </c>
      <c r="M1" t="str">
        <f>Sm_Calculations!AD5</f>
        <v>%</v>
      </c>
      <c r="N1" s="30"/>
      <c r="O1" t="s">
        <v>60</v>
      </c>
      <c r="P1" t="s">
        <v>60</v>
      </c>
      <c r="Q1" t="s">
        <v>60</v>
      </c>
      <c r="R1" t="s">
        <v>60</v>
      </c>
      <c r="T1" t="s">
        <v>61</v>
      </c>
      <c r="U1" t="s">
        <v>33</v>
      </c>
      <c r="V1" t="s">
        <v>36</v>
      </c>
    </row>
    <row r="2" spans="1:22" x14ac:dyDescent="0.25">
      <c r="A2" t="str">
        <f>Sm_Calculations!B6</f>
        <v>87G Trace</v>
      </c>
      <c r="B2" s="36">
        <f>IF(Sm_Calculations!S6&gt;SUM($B$30:$D$30),(Sm_Calculations!S6-SUM($B$30:$D$30))*Sm_Calculations!A6,"LLD")</f>
        <v>2.3681381531575929</v>
      </c>
      <c r="C2">
        <f>IF(Sm_Calculations!S6&gt;SUM($B$30:$D$30),((Sm_Calculations!T6^2+$B$31^2+$C$31^2+$D$31^2)^0.5)*Sm_Calculations!A6,"LLD")</f>
        <v>4.8408628805090073E-2</v>
      </c>
      <c r="D2" s="12">
        <f>IF(Sm_Calculations!S6&gt;SUM($B$30:$D$30),C2/B2,"LLD")</f>
        <v>2.0441640510095956E-2</v>
      </c>
      <c r="E2" s="13">
        <f>IF(Sm_Calculations!V6&gt;SUM($E$30:$G$30),(Sm_Calculations!V6-SUM($E$30:$G$30))*Sm_Calculations!A6,"LLD")</f>
        <v>2.773816000536967</v>
      </c>
      <c r="F2">
        <f>IF(Sm_Calculations!V6&gt;SUM($E$30:$G$30),((Sm_Calculations!W6^2+$E$31^2+$F$31^2+$G$31^2)^0.5)*Sm_Calculations!A6,"LLD")</f>
        <v>5.0908748825126277E-2</v>
      </c>
      <c r="G2" s="12">
        <f>IF(Sm_Calculations!V6&gt;SUM($E$30:$G$30),F2/E2,"LLD")</f>
        <v>1.8353325820916436E-2</v>
      </c>
      <c r="H2" s="13">
        <f>IF(Sm_Calculations!Y6&gt;SUM($H$30:$J$30),(Sm_Calculations!Y6-SUM($H$30:$J$30))*Sm_Calculations!A6,"LLD")</f>
        <v>7.3241642405040137</v>
      </c>
      <c r="I2">
        <f>IF(Sm_Calculations!Y6&gt;SUM($H$30:$J$30),((Sm_Calculations!Z6^2+$H$31^2+$I$31^2+$J$31^2)^0.5)*Sm_Calculations!A6,"LLD")</f>
        <v>0.13344799431008933</v>
      </c>
      <c r="J2" s="12">
        <f>IF(Sm_Calculations!Y6&gt;SUM($H$30:$J$30),I2/H2,"LLD")</f>
        <v>1.8220235091411068E-2</v>
      </c>
      <c r="K2" s="13">
        <f>IF(Sm_Calculations!AB6&gt;SUM($K$30:$M$30),(Sm_Calculations!AB6-SUM($K$30:$M$30))*Sm_Calculations!A6,"LLD")</f>
        <v>3.3110868099115285</v>
      </c>
      <c r="L2">
        <f>IF(Sm_Calculations!AB6&gt;SUM($K$30:$M$30),((Sm_Calculations!AC6^2+$K$31^2+$L$31^2+$M$31^2)^0.5)*Sm_Calculations!A6,"LLD")</f>
        <v>6.7731459526658086E-2</v>
      </c>
      <c r="M2" s="12">
        <f>IF(Sm_Calculations!AB6&gt;SUM($K$30:$M$30),L2/K2,"LLD")</f>
        <v>2.0455960056350156E-2</v>
      </c>
      <c r="N2" s="30"/>
      <c r="O2">
        <f>IF(C2="LLD","LLD",C2^2)</f>
        <v>2.3433953427889963E-3</v>
      </c>
      <c r="P2">
        <f>IF(F2="LLD","LLD",F2^2)</f>
        <v>2.5917007069397959E-3</v>
      </c>
      <c r="Q2">
        <f>IF(I2="LLD","LLD",I2^2)</f>
        <v>1.7808367185385632E-2</v>
      </c>
      <c r="R2">
        <f>IF(L2="LLD","LLD",L2^2)</f>
        <v>4.5875506096113225E-3</v>
      </c>
      <c r="T2">
        <f>IF(SUM(B2,E2,H2,K2)=0,"LLD",SUM(B2,E2,H2,K2))</f>
        <v>15.777205204110103</v>
      </c>
      <c r="U2">
        <f>IF(T2="LLD","LLD",SUM(O2:R2)^0.5)</f>
        <v>0.16532094194241015</v>
      </c>
      <c r="V2" s="12">
        <f>IF(T2="LLD","LLD",U2/T2)</f>
        <v>1.0478468131944089E-2</v>
      </c>
    </row>
    <row r="3" spans="1:22" x14ac:dyDescent="0.25">
      <c r="A3" t="str">
        <f>Sm_Calculations!B7</f>
        <v>90G Trace</v>
      </c>
      <c r="B3" s="36">
        <f>IF(Sm_Calculations!S7&gt;SUM($B$30:$D$30),(Sm_Calculations!S7-SUM($B$30:$D$30))*Sm_Calculations!A7,"LLD")</f>
        <v>7.7705091280967614E-2</v>
      </c>
      <c r="C3">
        <f>IF(Sm_Calculations!S7&gt;SUM($B$30:$D$30),((Sm_Calculations!T7^2+$B$31^2+$C$31^2+$D$31^2)^0.5)*Sm_Calculations!A7,"LLD")</f>
        <v>1.6118796085210645E-2</v>
      </c>
      <c r="D3" s="12">
        <f>IF(Sm_Calculations!S7&gt;0.007,C3/B3,"LLD")</f>
        <v>0.20743552088405612</v>
      </c>
      <c r="E3" s="13">
        <f>IF(Sm_Calculations!V7&gt;SUM($E$30:$G$30),(Sm_Calculations!V7-SUM($E$30:$G$30))*Sm_Calculations!A7,"LLD")</f>
        <v>8.1419660079651276E-2</v>
      </c>
      <c r="F3">
        <f>IF(Sm_Calculations!V7&gt;SUM($E$30:$G$30),((Sm_Calculations!W7^2+$E$31^2+$F$31^2+$G$31^2)^0.5)*Sm_Calculations!A7,"LLD")</f>
        <v>1.8579888230177712E-3</v>
      </c>
      <c r="G3" s="12">
        <f>IF(Sm_Calculations!V7&gt;0,F3/E3,"LLD")</f>
        <v>2.2819903954402865E-2</v>
      </c>
      <c r="H3" s="13">
        <f>IF(Sm_Calculations!Y7&gt;SUM($H$30:$J$30),(Sm_Calculations!Y7-SUM($H$30:$J$30))*Sm_Calculations!A7,"LLD")</f>
        <v>0.21325471642782118</v>
      </c>
      <c r="I3">
        <f>IF(Sm_Calculations!Y7&gt;SUM($H$30:$J$30),((Sm_Calculations!Z7^2+$H$31^2+$I$31^2+$J$31^2)^0.5)*Sm_Calculations!A7,"LLD")</f>
        <v>3.2201912695218667E-2</v>
      </c>
      <c r="J3" s="12">
        <f>IF(Sm_Calculations!Y7&gt;0.014,I3/H3,"LLD")</f>
        <v>0.15100211256578619</v>
      </c>
      <c r="K3" s="13">
        <f>IF(Sm_Calculations!AB7&gt;SUM($K$30:$M$30),(Sm_Calculations!AB7-SUM($K$30:$M$30))*Sm_Calculations!A7,"LLD")</f>
        <v>0.15991929496310742</v>
      </c>
      <c r="L3">
        <f>IF(Sm_Calculations!AB7&gt;SUM($K$30:$M$30),((Sm_Calculations!AC7^2+$K$31^2+$L$31^2+$M$31^2)^0.5)*Sm_Calculations!A7,"LLD")</f>
        <v>2.9570870953231191E-2</v>
      </c>
      <c r="M3" s="12">
        <f>IF(Sm_Calculations!AB7&gt;(0.012+0.0048),L3/K3,"LLD")</f>
        <v>0.1849112138723038</v>
      </c>
      <c r="N3" s="30"/>
      <c r="O3">
        <f t="shared" ref="O3:O29" si="0">IF(C3="LLD","LLD",C3^2)</f>
        <v>2.59815587236602E-4</v>
      </c>
      <c r="P3">
        <f t="shared" ref="P3:P29" si="1">IF(F3="LLD","LLD",F3^2)</f>
        <v>3.4521224664589626E-6</v>
      </c>
      <c r="Q3">
        <f t="shared" ref="Q3:Q29" si="2">IF(I3="LLD","LLD",I3^2)</f>
        <v>1.0369631812304852E-3</v>
      </c>
      <c r="R3">
        <f t="shared" ref="R3:R29" si="3">IF(L3="LLD","LLD",L3^2)</f>
        <v>8.744364089326522E-4</v>
      </c>
      <c r="T3">
        <f t="shared" ref="T3:T29" si="4">IF(SUM(B3,E3,H3,K3)=0,"LLD",SUM(B3,E3,H3,K3))</f>
        <v>0.53229876275154742</v>
      </c>
      <c r="U3">
        <f t="shared" ref="U3:U29" si="5">IF(T3="LLD","LLD",SUM(O3:R3)^0.5)</f>
        <v>4.6633328209191742E-2</v>
      </c>
      <c r="V3" s="12">
        <f t="shared" ref="V3:V29" si="6">IF(T3="LLD","LLD",U3/T3)</f>
        <v>8.7607433029030041E-2</v>
      </c>
    </row>
    <row r="4" spans="1:22" x14ac:dyDescent="0.25">
      <c r="A4" t="str">
        <f>Sm_Calculations!B8</f>
        <v>93G Trace</v>
      </c>
      <c r="B4" s="36">
        <f>IF(Sm_Calculations!S8&gt;SUM($B$30:$D$30),(Sm_Calculations!S8-SUM($B$30:$D$30))*Sm_Calculations!A8,"LLD")</f>
        <v>6.3801153338959634E-4</v>
      </c>
      <c r="C4">
        <f>IF(Sm_Calculations!S8&gt;SUM($B$30:$D$30),((Sm_Calculations!T8^2+$B$31^2+$C$31^2+$D$31^2)^0.5)*Sm_Calculations!A8,"LLD")</f>
        <v>1.6006548850824233E-2</v>
      </c>
      <c r="D4" s="12">
        <f>IF(Sm_Calculations!S8&gt;0.007,C4/B4,"LLD")</f>
        <v>25.08818103300645</v>
      </c>
      <c r="E4" s="13">
        <f>IF(Sm_Calculations!V8&gt;SUM($E$30:$G$30),(Sm_Calculations!V8-SUM($E$30:$G$30))*Sm_Calculations!A8,"LLD")</f>
        <v>4.2419047666938823E-3</v>
      </c>
      <c r="F4">
        <f>IF(Sm_Calculations!V8&gt;SUM($E$30:$G$30),((Sm_Calculations!W8^2+$E$31^2+$F$31^2+$G$31^2)^0.5)*Sm_Calculations!A8,"LLD")</f>
        <v>3.3785360266833927E-4</v>
      </c>
      <c r="G4" s="12">
        <f>IF(Sm_Calculations!V8&gt;0,F4/E4,"LLD")</f>
        <v>7.9646673192915768E-2</v>
      </c>
      <c r="H4" s="13" t="str">
        <f>IF(Sm_Calculations!Y8&gt;SUM($H$30:$J$30),(Sm_Calculations!Y8-SUM($H$30:$J$30))*Sm_Calculations!A8,"LLD")</f>
        <v>LLD</v>
      </c>
      <c r="I4" t="str">
        <f>IF(Sm_Calculations!Y8&gt;SUM($H$30:$J$30),((Sm_Calculations!Z8^2+$H$31^2+$I$31^2+$J$31^2)^0.5)*Sm_Calculations!A8,"LLD")</f>
        <v>LLD</v>
      </c>
      <c r="J4" s="12" t="str">
        <f>IF(Sm_Calculations!Y8&gt;0.014,I4/H4,"LLD")</f>
        <v>LLD</v>
      </c>
      <c r="K4" s="13">
        <f>IF(Sm_Calculations!AB8&gt;SUM($K$30:$M$30),(Sm_Calculations!AB8-SUM($K$30:$M$30))*Sm_Calculations!A8,"LLD")</f>
        <v>1.2184830231185408E-2</v>
      </c>
      <c r="L4">
        <f>IF(Sm_Calculations!AB8&gt;SUM($K$30:$M$30),((Sm_Calculations!AC8^2+$K$31^2+$L$31^2+$M$31^2)^0.5)*Sm_Calculations!A8,"LLD")</f>
        <v>2.9425416721061207E-2</v>
      </c>
      <c r="M4" s="12">
        <f>IF(Sm_Calculations!AB8&gt;(0.012+0.0048),L4/K4,"LLD")</f>
        <v>2.4149221747670206</v>
      </c>
      <c r="N4" s="30"/>
      <c r="O4">
        <f t="shared" si="0"/>
        <v>2.5620960611382257E-4</v>
      </c>
      <c r="P4">
        <f t="shared" si="1"/>
        <v>1.1414505683597607E-7</v>
      </c>
      <c r="Q4" t="str">
        <f t="shared" si="2"/>
        <v>LLD</v>
      </c>
      <c r="R4">
        <f t="shared" si="3"/>
        <v>8.6585514920810844E-4</v>
      </c>
      <c r="T4">
        <f t="shared" si="4"/>
        <v>1.7064746531268889E-2</v>
      </c>
      <c r="U4">
        <f t="shared" si="5"/>
        <v>3.3498938794815081E-2</v>
      </c>
      <c r="V4" s="12">
        <f t="shared" si="6"/>
        <v>1.9630493036291345</v>
      </c>
    </row>
    <row r="5" spans="1:22" x14ac:dyDescent="0.25">
      <c r="A5" t="str">
        <f>Sm_Calculations!B9</f>
        <v>96G Trace</v>
      </c>
      <c r="B5" s="36" t="str">
        <f>IF(Sm_Calculations!S9&gt;SUM($B$30:$D$30),(Sm_Calculations!S9-SUM($B$30:$D$30))*Sm_Calculations!A9,"LLD")</f>
        <v>LLD</v>
      </c>
      <c r="C5" t="str">
        <f>IF(Sm_Calculations!S9&gt;SUM($B$30:$D$30),((Sm_Calculations!T9^2+$B$31^2+$C$31^2+$D$31^2)^0.5)*Sm_Calculations!A9,"LLD")</f>
        <v>LLD</v>
      </c>
      <c r="D5" s="12" t="str">
        <f>IF(Sm_Calculations!S9&gt;0.007,C5/B5,"LLD")</f>
        <v>LLD</v>
      </c>
      <c r="E5" s="13">
        <f>IF(Sm_Calculations!V9&gt;SUM($E$30:$G$30),(Sm_Calculations!V9-SUM($E$30:$G$30))*Sm_Calculations!A9,"LLD")</f>
        <v>1.7497480810983131E-2</v>
      </c>
      <c r="F5">
        <f>IF(Sm_Calculations!V9&gt;SUM($E$30:$G$30),((Sm_Calculations!W9^2+$E$31^2+$F$31^2+$G$31^2)^0.5)*Sm_Calculations!A9,"LLD")</f>
        <v>8.1908131281631911E-4</v>
      </c>
      <c r="G5" s="12">
        <f>IF(Sm_Calculations!V9&gt;0,F5/E5,"LLD")</f>
        <v>4.6811385116775413E-2</v>
      </c>
      <c r="H5" s="13">
        <f>IF(Sm_Calculations!Y9&gt;SUM($H$30:$J$30),(Sm_Calculations!Y9-SUM($H$30:$J$30))*Sm_Calculations!A9,"LLD")</f>
        <v>2.1051299138085809E-2</v>
      </c>
      <c r="I5">
        <f>IF(Sm_Calculations!Y9&gt;SUM($H$30:$J$30),((Sm_Calculations!Z9^2+$H$31^2+$I$31^2+$J$31^2)^0.5)*Sm_Calculations!A9,"LLD")</f>
        <v>3.2022011958976464E-2</v>
      </c>
      <c r="J5" s="12">
        <f>IF(Sm_Calculations!Y9&gt;0.014,I5/H5,"LLD")</f>
        <v>1.5211418425498759</v>
      </c>
      <c r="K5" s="13">
        <f>IF(Sm_Calculations!AB9&gt;SUM($K$30:$M$30),(Sm_Calculations!AB9-SUM($K$30:$M$30))*Sm_Calculations!A9,"LLD")</f>
        <v>0.10158769767970595</v>
      </c>
      <c r="L5">
        <f>IF(Sm_Calculations!AB9&gt;SUM($K$30:$M$30),((Sm_Calculations!AC9^2+$K$31^2+$L$31^2+$M$31^2)^0.5)*Sm_Calculations!A9,"LLD")</f>
        <v>2.9511394593559625E-2</v>
      </c>
      <c r="M5" s="12">
        <f>IF(Sm_Calculations!AB9&gt;(0.012+0.0048),L5/K5,"LLD")</f>
        <v>0.29050165785433563</v>
      </c>
      <c r="N5" s="30"/>
      <c r="O5" t="str">
        <f t="shared" si="0"/>
        <v>LLD</v>
      </c>
      <c r="P5">
        <f t="shared" si="1"/>
        <v>6.7089419700490477E-7</v>
      </c>
      <c r="Q5">
        <f t="shared" si="2"/>
        <v>1.0254092499008317E-3</v>
      </c>
      <c r="R5">
        <f t="shared" si="3"/>
        <v>8.7092241085678023E-4</v>
      </c>
      <c r="T5">
        <f t="shared" si="4"/>
        <v>0.1401364776287749</v>
      </c>
      <c r="U5">
        <f t="shared" si="5"/>
        <v>4.3554592811259493E-2</v>
      </c>
      <c r="V5" s="12">
        <f t="shared" si="6"/>
        <v>0.31080125280897042</v>
      </c>
    </row>
    <row r="6" spans="1:22" x14ac:dyDescent="0.25">
      <c r="A6" t="str">
        <f>Sm_Calculations!B10</f>
        <v>30G Trace Waste</v>
      </c>
      <c r="B6" s="36">
        <f>IF(Sm_Calculations!S10&gt;SUM($B$30:$D$30),(Sm_Calculations!S10-SUM($B$30:$D$30))*Sm_Calculations!A10,"LLD")</f>
        <v>3.1486980008127419</v>
      </c>
      <c r="C6">
        <f>IF(Sm_Calculations!S10&gt;SUM($B$30:$D$30),((Sm_Calculations!T10^2+$B$31^2+$C$31^2+$D$31^2)^0.5)*Sm_Calculations!A10,"LLD")</f>
        <v>4.3852703496138096E-2</v>
      </c>
      <c r="D6" s="12">
        <f>IF(Sm_Calculations!S10&gt;0.007,C6/B6,"LLD")</f>
        <v>1.3927249766353851E-2</v>
      </c>
      <c r="E6" s="13">
        <f>IF(Sm_Calculations!V10&gt;SUM($E$30:$G$30),(Sm_Calculations!V10-SUM($E$30:$G$30))*Sm_Calculations!A10,"LLD")</f>
        <v>3.6962215385107</v>
      </c>
      <c r="F6">
        <f>IF(Sm_Calculations!V10&gt;SUM($E$30:$G$30),((Sm_Calculations!W10^2+$E$31^2+$F$31^2+$G$31^2)^0.5)*Sm_Calculations!A10,"LLD")</f>
        <v>4.3449706511347844E-2</v>
      </c>
      <c r="G6" s="12">
        <f>IF(Sm_Calculations!V10&gt;0,F6/E6,"LLD")</f>
        <v>1.175516836819657E-2</v>
      </c>
      <c r="H6" s="13">
        <f>IF(Sm_Calculations!Y10&gt;SUM($H$30:$J$30),(Sm_Calculations!Y10-SUM($H$30:$J$30))*Sm_Calculations!A10,"LLD")</f>
        <v>9.3047456901776666</v>
      </c>
      <c r="I6">
        <f>IF(Sm_Calculations!Y10&gt;SUM($H$30:$J$30),((Sm_Calculations!Z10^2+$H$31^2+$I$31^2+$J$31^2)^0.5)*Sm_Calculations!A10,"LLD")</f>
        <v>0.11019810060978689</v>
      </c>
      <c r="J6" s="12">
        <f>IF(Sm_Calculations!Y10&gt;0.014,I6/H6,"LLD")</f>
        <v>1.1843214664761327E-2</v>
      </c>
      <c r="K6" s="13">
        <f>IF(Sm_Calculations!AB10&gt;SUM($K$30:$M$30),(Sm_Calculations!AB10-SUM($K$30:$M$30))*Sm_Calculations!A10,"LLD")</f>
        <v>4.1568191273282196</v>
      </c>
      <c r="L6">
        <f>IF(Sm_Calculations!AB10&gt;SUM($K$30:$M$30),((Sm_Calculations!AC10^2+$K$31^2+$L$31^2+$M$31^2)^0.5)*Sm_Calculations!A10,"LLD")</f>
        <v>5.7777679562939943E-2</v>
      </c>
      <c r="M6" s="12">
        <f>IF(Sm_Calculations!AB10&gt;(0.012+0.0048),L6/K6,"LLD")</f>
        <v>1.3899493288772546E-2</v>
      </c>
      <c r="N6" s="30"/>
      <c r="O6">
        <f t="shared" si="0"/>
        <v>1.9230596039202024E-3</v>
      </c>
      <c r="P6">
        <f t="shared" si="1"/>
        <v>1.8878769959222632E-3</v>
      </c>
      <c r="Q6">
        <f t="shared" si="2"/>
        <v>1.2143621378004715E-2</v>
      </c>
      <c r="R6">
        <f t="shared" si="3"/>
        <v>3.338260255677768E-3</v>
      </c>
      <c r="T6">
        <f t="shared" si="4"/>
        <v>20.30648435682933</v>
      </c>
      <c r="U6">
        <f t="shared" si="5"/>
        <v>0.13889858974635036</v>
      </c>
      <c r="V6" s="12">
        <f t="shared" si="6"/>
        <v>6.840110149329566E-3</v>
      </c>
    </row>
    <row r="7" spans="1:22" s="59" customFormat="1" x14ac:dyDescent="0.25">
      <c r="A7" s="59" t="str">
        <f>Sm_Calculations!B11</f>
        <v>30G Trace Original</v>
      </c>
      <c r="B7" s="60">
        <f>IF(Sm_Calculations!S11&gt;SUM($B$30:$D$30),(Sm_Calculations!S11-SUM($B$30:$D$30))*Sm_Calculations!A11,"LLD")</f>
        <v>2.4178767730202102</v>
      </c>
      <c r="C7" s="59">
        <f>IF(Sm_Calculations!S11&gt;SUM($B$30:$D$30),((Sm_Calculations!T11^2+$B$31^2+$C$31^2+$D$31^2)^0.5)*Sm_Calculations!A11,"LLD")</f>
        <v>3.262145553358714E-2</v>
      </c>
      <c r="D7" s="61">
        <f>IF(Sm_Calculations!S11&gt;0.007,C7/B7,"LLD")</f>
        <v>1.3491777537049224E-2</v>
      </c>
      <c r="E7" s="62">
        <f>IF(Sm_Calculations!V11&gt;SUM($E$30:$G$30),(Sm_Calculations!V11-SUM($E$30:$G$30))*Sm_Calculations!A11,"LLD")</f>
        <v>2.6636243504272867</v>
      </c>
      <c r="F7" s="59">
        <f>IF(Sm_Calculations!V11&gt;SUM($E$30:$G$30),((Sm_Calculations!W11^2+$E$31^2+$F$31^2+$G$31^2)^0.5)*Sm_Calculations!A11,"LLD")</f>
        <v>2.7843897618579212E-2</v>
      </c>
      <c r="G7" s="61">
        <f>IF(Sm_Calculations!V11&gt;0,F7/E7,"LLD")</f>
        <v>1.0453387548477929E-2</v>
      </c>
      <c r="H7" s="62">
        <f>IF(Sm_Calculations!Y11&gt;SUM($H$30:$J$30),(Sm_Calculations!Y11-SUM($H$30:$J$30))*Sm_Calculations!A11,"LLD")</f>
        <v>7.0736663617925268</v>
      </c>
      <c r="I7" s="59">
        <f>IF(Sm_Calculations!Y11&gt;SUM($H$30:$J$30),((Sm_Calculations!Z11^2+$H$31^2+$I$31^2+$J$31^2)^0.5)*Sm_Calculations!A11,"LLD")</f>
        <v>7.7685067899736962E-2</v>
      </c>
      <c r="J7" s="61">
        <f>IF(Sm_Calculations!Y11&gt;0.014,I7/H7,"LLD")</f>
        <v>1.0982291774367898E-2</v>
      </c>
      <c r="K7" s="62">
        <f>IF(Sm_Calculations!AB11&gt;SUM($K$30:$M$30),(Sm_Calculations!AB11-SUM($K$30:$M$30))*Sm_Calculations!A11,"LLD")</f>
        <v>2.9775818008689328</v>
      </c>
      <c r="L7" s="59">
        <f>IF(Sm_Calculations!AB11&gt;SUM($K$30:$M$30),((Sm_Calculations!AC11^2+$K$31^2+$L$31^2+$M$31^2)^0.5)*Sm_Calculations!A11,"LLD")</f>
        <v>4.336636444096123E-2</v>
      </c>
      <c r="M7" s="61">
        <f>IF(Sm_Calculations!AB11&gt;(0.012+0.0048),L7/K7,"LLD")</f>
        <v>1.4564289863776654E-2</v>
      </c>
      <c r="N7" s="63"/>
      <c r="O7" s="59">
        <f t="shared" si="0"/>
        <v>1.064159361129803E-3</v>
      </c>
      <c r="P7" s="59">
        <f t="shared" si="1"/>
        <v>7.7528263459392111E-4</v>
      </c>
      <c r="Q7" s="59">
        <f t="shared" si="2"/>
        <v>6.0349697745867422E-3</v>
      </c>
      <c r="R7" s="59">
        <f t="shared" si="3"/>
        <v>1.8806415648262667E-3</v>
      </c>
      <c r="T7" s="59">
        <f t="shared" si="4"/>
        <v>15.132749286108957</v>
      </c>
      <c r="U7" s="59">
        <f t="shared" si="5"/>
        <v>9.8767673533078276E-2</v>
      </c>
      <c r="V7" s="61">
        <f t="shared" si="6"/>
        <v>6.5267501407521265E-3</v>
      </c>
    </row>
    <row r="8" spans="1:22" x14ac:dyDescent="0.25">
      <c r="A8" t="str">
        <f>Sm_Calculations!B14</f>
        <v>42G taper</v>
      </c>
      <c r="B8" s="36">
        <f>IF(Sm_Calculations!S14&gt;SUM($B$30:$D$30),(Sm_Calculations!S14-SUM($B$30:$D$30))*Sm_Calculations!A14,"LLD")</f>
        <v>6.7962519800691373E-2</v>
      </c>
      <c r="C8">
        <f>IF(Sm_Calculations!S14&gt;SUM($B$30:$D$30),((Sm_Calculations!T14^2+$B$31^2+$C$31^2+$D$31^2)^0.5)*Sm_Calculations!A14,"LLD")</f>
        <v>1.6052587864417961E-2</v>
      </c>
      <c r="D8" s="12">
        <f>IF(Sm_Calculations!S14&gt;SUM($B$30:$D$30),C8/B8,"LLD")</f>
        <v>0.23619765587700678</v>
      </c>
      <c r="E8" s="13">
        <f>IF(Sm_Calculations!V14&gt;SUM($E$30:$G$30),(Sm_Calculations!V14-SUM($E$30:$G$30))*Sm_Calculations!A14,"LLD")</f>
        <v>9.2757594148433209E-2</v>
      </c>
      <c r="F8">
        <f>IF(Sm_Calculations!V14&gt;SUM($E$30:$G$30),((Sm_Calculations!W14^2+$E$31^2+$F$31^2+$G$31^2)^0.5)*Sm_Calculations!A14,"LLD")</f>
        <v>1.4258133105711415E-3</v>
      </c>
      <c r="G8" s="12">
        <f>IF(Sm_Calculations!V14&gt;SUM($E$30:$G$30),F8/E8,"LLD")</f>
        <v>1.5371391675915143E-2</v>
      </c>
      <c r="H8" s="13">
        <f>IF(Sm_Calculations!Y14&gt;SUM($H$30:$J$30),(Sm_Calculations!Y14-SUM($H$30:$J$30))*Sm_Calculations!A14,"LLD")</f>
        <v>0.20751207086992302</v>
      </c>
      <c r="I8">
        <f>IF(Sm_Calculations!Y14&gt;SUM($H$30:$J$30),((Sm_Calculations!Z14^2+$H$31^2+$I$31^2+$J$31^2)^0.5)*Sm_Calculations!A14,"LLD")</f>
        <v>3.2110448392462076E-2</v>
      </c>
      <c r="J8" s="12">
        <f>IF(Sm_Calculations!Y14&gt;SUM($H$30:$J$30),I8/H8,"LLD")</f>
        <v>0.15474014720131732</v>
      </c>
      <c r="K8" s="13">
        <f>IF(Sm_Calculations!AB14&gt;SUM($K$30:$M$30),(Sm_Calculations!AB14-SUM($K$30:$M$30))*Sm_Calculations!A14,"LLD")</f>
        <v>0.26052646169693933</v>
      </c>
      <c r="L8">
        <f>IF(Sm_Calculations!AB14&gt;SUM($K$30:$M$30),((Sm_Calculations!AC14^2+$K$31^2+$L$31^2+$M$31^2)^0.5)*Sm_Calculations!A14,"LLD")</f>
        <v>2.95924004900062E-2</v>
      </c>
      <c r="M8" s="12">
        <f>IF(Sm_Calculations!AB14&gt;SUM($K$30:$M$30),L8/K8,"LLD")</f>
        <v>0.11358692816559238</v>
      </c>
      <c r="N8" s="30"/>
      <c r="O8">
        <f t="shared" si="0"/>
        <v>2.5768557714485877E-4</v>
      </c>
      <c r="P8">
        <f t="shared" si="1"/>
        <v>2.0329435966018383E-6</v>
      </c>
      <c r="Q8">
        <f t="shared" si="2"/>
        <v>1.0310808959649704E-3</v>
      </c>
      <c r="R8">
        <f t="shared" si="3"/>
        <v>8.7571016676091923E-4</v>
      </c>
      <c r="T8">
        <f t="shared" si="4"/>
        <v>0.6287586465159869</v>
      </c>
      <c r="U8">
        <f t="shared" si="5"/>
        <v>4.6545779437746557E-2</v>
      </c>
      <c r="V8" s="12">
        <f t="shared" si="6"/>
        <v>7.4028054636960092E-2</v>
      </c>
    </row>
    <row r="9" spans="1:22" x14ac:dyDescent="0.25">
      <c r="A9" t="str">
        <f>Sm_Calculations!B15</f>
        <v>70G</v>
      </c>
      <c r="B9" s="36" t="str">
        <f>IF(Sm_Calculations!S15&gt;SUM($B$30:$D$30),(Sm_Calculations!S15-SUM($B$30:$D$30))*Sm_Calculations!A15,"LLD")</f>
        <v>LLD</v>
      </c>
      <c r="C9" t="str">
        <f>IF(Sm_Calculations!S15&gt;SUM($B$30:$D$30),((Sm_Calculations!T15^2+$B$31^2+$C$31^2+$D$31^2)^0.5)*Sm_Calculations!A15,"LLD")</f>
        <v>LLD</v>
      </c>
      <c r="D9" s="12" t="str">
        <f>IF(Sm_Calculations!S15&gt;0.007,C9/B9,"LLD")</f>
        <v>LLD</v>
      </c>
      <c r="E9" s="13">
        <f>IF(Sm_Calculations!V15&gt;SUM($E$30:$G$30),(Sm_Calculations!V15-SUM($E$30:$G$30))*Sm_Calculations!A15,"LLD")</f>
        <v>2.2056454859550725E-2</v>
      </c>
      <c r="F9">
        <f>IF(Sm_Calculations!V15&gt;SUM($E$30:$G$30),((Sm_Calculations!W15^2+$E$31^2+$F$31^2+$G$31^2)^0.5)*Sm_Calculations!A15,"LLD")</f>
        <v>1.0368124929312126E-3</v>
      </c>
      <c r="G9" s="12">
        <f>IF(Sm_Calculations!V15&gt;0,F9/E9,"LLD")</f>
        <v>4.7007213966765812E-2</v>
      </c>
      <c r="H9" s="13">
        <f>IF(Sm_Calculations!Y15&gt;SUM($H$30:$J$30),(Sm_Calculations!Y15-SUM($H$30:$J$30))*Sm_Calculations!A15,"LLD")</f>
        <v>3.3129521058674678E-2</v>
      </c>
      <c r="I9">
        <f>IF(Sm_Calculations!Y15&gt;SUM($H$30:$J$30),((Sm_Calculations!Z15^2+$H$31^2+$I$31^2+$J$31^2)^0.5)*Sm_Calculations!A15,"LLD")</f>
        <v>3.203816478290962E-2</v>
      </c>
      <c r="J9" s="12">
        <f>IF(Sm_Calculations!Y15&gt;0.014,I9/H9,"LLD")</f>
        <v>0.96705789154536248</v>
      </c>
      <c r="K9" s="13">
        <f>IF(Sm_Calculations!AB15&gt;SUM($K$30:$M$30),(Sm_Calculations!AB15-SUM($K$30:$M$30))*Sm_Calculations!A15,"LLD")</f>
        <v>0.1117477966667179</v>
      </c>
      <c r="L9">
        <f>IF(Sm_Calculations!AB15&gt;SUM($K$30:$M$30),((Sm_Calculations!AC15^2+$K$31^2+$L$31^2+$M$31^2)^0.5)*Sm_Calculations!A15,"LLD")</f>
        <v>2.9548416245920296E-2</v>
      </c>
      <c r="M9" s="12">
        <f>IF(Sm_Calculations!AB15&gt;(0.012+0.0048),L9/K9,"LLD")</f>
        <v>0.2644205713876126</v>
      </c>
      <c r="N9" s="30"/>
      <c r="O9" t="str">
        <f t="shared" si="0"/>
        <v>LLD</v>
      </c>
      <c r="P9">
        <f t="shared" si="1"/>
        <v>1.0749801454982357E-6</v>
      </c>
      <c r="Q9">
        <f t="shared" si="2"/>
        <v>1.0264440026568702E-3</v>
      </c>
      <c r="R9">
        <f t="shared" si="3"/>
        <v>8.7310890264216646E-4</v>
      </c>
      <c r="T9">
        <f t="shared" si="4"/>
        <v>0.1669337725849433</v>
      </c>
      <c r="U9">
        <f t="shared" si="5"/>
        <v>4.35961911804751E-2</v>
      </c>
      <c r="V9" s="12">
        <f t="shared" si="6"/>
        <v>0.26115860502877825</v>
      </c>
    </row>
    <row r="10" spans="1:22" x14ac:dyDescent="0.25">
      <c r="A10" t="str">
        <f>Sm_Calculations!B16</f>
        <v>71G</v>
      </c>
      <c r="B10" s="36">
        <f>IF(Sm_Calculations!S16&gt;SUM($B$30:$D$30),(Sm_Calculations!S16-SUM($B$30:$D$30))*Sm_Calculations!A16,"LLD")</f>
        <v>4.7089983290790312E-3</v>
      </c>
      <c r="C10">
        <f>IF(Sm_Calculations!S16&gt;SUM($B$30:$D$30),((Sm_Calculations!T16^2+$B$31^2+$C$31^2+$D$31^2)^0.5)*Sm_Calculations!A16,"LLD")</f>
        <v>1.6012719720478377E-2</v>
      </c>
      <c r="D10" s="12">
        <f>IF(Sm_Calculations!S16&gt;0.007,C10/B10,"LLD")</f>
        <v>3.4004513489836139</v>
      </c>
      <c r="E10" s="13">
        <f>IF(Sm_Calculations!V16&gt;SUM($E$30:$G$30),(Sm_Calculations!V16-SUM($E$30:$G$30))*Sm_Calculations!A16,"LLD")</f>
        <v>7.4486609822629821E-3</v>
      </c>
      <c r="F10">
        <f>IF(Sm_Calculations!V16&gt;SUM($E$30:$G$30),((Sm_Calculations!W16^2+$E$31^2+$F$31^2+$G$31^2)^0.5)*Sm_Calculations!A16,"LLD")</f>
        <v>5.033407543415917E-4</v>
      </c>
      <c r="G10" s="12">
        <f>IF(Sm_Calculations!V16&gt;0,F10/E10,"LLD")</f>
        <v>6.7574662820628392E-2</v>
      </c>
      <c r="H10" s="13">
        <f>IF(Sm_Calculations!Y16&gt;SUM($H$30:$J$30),(Sm_Calculations!Y16-SUM($H$30:$J$30))*Sm_Calculations!A16,"LLD")</f>
        <v>8.3819571875402687E-3</v>
      </c>
      <c r="I10">
        <f>IF(Sm_Calculations!Y16&gt;SUM($H$30:$J$30),((Sm_Calculations!Z16^2+$H$31^2+$I$31^2+$J$31^2)^0.5)*Sm_Calculations!A16,"LLD")</f>
        <v>3.2012423927167209E-2</v>
      </c>
      <c r="J10" s="12">
        <f>IF(Sm_Calculations!Y16&gt;0.014,I10/H10,"LLD")</f>
        <v>3.8192063274617407</v>
      </c>
      <c r="K10" s="13">
        <f>IF(Sm_Calculations!AB16&gt;SUM($K$30:$M$30),(Sm_Calculations!AB16-SUM($K$30:$M$30))*Sm_Calculations!A16,"LLD")</f>
        <v>1.8485399779284612E-2</v>
      </c>
      <c r="L10">
        <f>IF(Sm_Calculations!AB16&gt;SUM($K$30:$M$30),((Sm_Calculations!AC16^2+$K$31^2+$L$31^2+$M$31^2)^0.5)*Sm_Calculations!A16,"LLD")</f>
        <v>2.9433187711123601E-2</v>
      </c>
      <c r="M10" s="12">
        <f>IF(Sm_Calculations!AB16&gt;(0.012+0.0048),L10/K10,"LLD")</f>
        <v>1.5922397168876739</v>
      </c>
      <c r="N10" s="30"/>
      <c r="O10">
        <f t="shared" si="0"/>
        <v>2.5640719284659709E-4</v>
      </c>
      <c r="P10">
        <f t="shared" si="1"/>
        <v>2.5335191498116256E-7</v>
      </c>
      <c r="Q10">
        <f t="shared" si="2"/>
        <v>1.0247952856926677E-3</v>
      </c>
      <c r="R10">
        <f t="shared" si="3"/>
        <v>8.6631253883823732E-4</v>
      </c>
      <c r="T10">
        <f t="shared" si="4"/>
        <v>3.9025016278166888E-2</v>
      </c>
      <c r="U10">
        <f t="shared" si="5"/>
        <v>4.6344021936949788E-2</v>
      </c>
      <c r="V10" s="12">
        <f t="shared" si="6"/>
        <v>1.1875465113611656</v>
      </c>
    </row>
    <row r="11" spans="1:22" x14ac:dyDescent="0.25">
      <c r="A11" t="str">
        <f>Sm_Calculations!B17</f>
        <v>72G</v>
      </c>
      <c r="B11" s="36">
        <f>IF(Sm_Calculations!S17&gt;SUM($B$30:$D$30),(Sm_Calculations!S17-SUM($B$30:$D$30))*Sm_Calculations!A17,"LLD")</f>
        <v>6.048278104915073E-3</v>
      </c>
      <c r="C11">
        <f>IF(Sm_Calculations!S17&gt;SUM($B$30:$D$30),((Sm_Calculations!T17^2+$B$31^2+$C$31^2+$D$31^2)^0.5)*Sm_Calculations!A17,"LLD")</f>
        <v>1.6017375410803791E-2</v>
      </c>
      <c r="D11" s="12">
        <f>IF(Sm_Calculations!S17&gt;0.007,C11/B11,"LLD")</f>
        <v>2.6482537894194103</v>
      </c>
      <c r="E11" s="13">
        <f>IF(Sm_Calculations!V17&gt;SUM($E$30:$G$30),(Sm_Calculations!V17-SUM($E$30:$G$30))*Sm_Calculations!A17,"LLD")</f>
        <v>1.3043865556783541E-2</v>
      </c>
      <c r="F11">
        <f>IF(Sm_Calculations!V17&gt;SUM($E$30:$G$30),((Sm_Calculations!W17^2+$E$31^2+$F$31^2+$G$31^2)^0.5)*Sm_Calculations!A17,"LLD")</f>
        <v>7.4251804502263987E-4</v>
      </c>
      <c r="G11" s="12">
        <f>IF(Sm_Calculations!V17&gt;0,F11/E11,"LLD")</f>
        <v>5.6924693204652731E-2</v>
      </c>
      <c r="H11" s="13">
        <f>IF(Sm_Calculations!Y17&gt;SUM($H$30:$J$30),(Sm_Calculations!Y17-SUM($H$30:$J$30))*Sm_Calculations!A17,"LLD")</f>
        <v>1.6778374608352031E-3</v>
      </c>
      <c r="I11">
        <f>IF(Sm_Calculations!Y17&gt;SUM($H$30:$J$30),((Sm_Calculations!Z17^2+$H$31^2+$I$31^2+$J$31^2)^0.5)*Sm_Calculations!A17,"LLD")</f>
        <v>3.2010433014772161E-2</v>
      </c>
      <c r="J11" s="12">
        <f>IF(Sm_Calculations!Y17&gt;0.014,I11/H11,"LLD")</f>
        <v>19.078387365864291</v>
      </c>
      <c r="K11" s="13">
        <f>IF(Sm_Calculations!AB17&gt;SUM($K$30:$M$30),(Sm_Calculations!AB17-SUM($K$30:$M$30))*Sm_Calculations!A17,"LLD")</f>
        <v>2.5142781342315183E-2</v>
      </c>
      <c r="L11">
        <f>IF(Sm_Calculations!AB17&gt;SUM($K$30:$M$30),((Sm_Calculations!AC17^2+$K$31^2+$L$31^2+$M$31^2)^0.5)*Sm_Calculations!A17,"LLD")</f>
        <v>2.9443677144812972E-2</v>
      </c>
      <c r="M11" s="12">
        <f>IF(Sm_Calculations!AB17&gt;(0.012+0.0048),L11/K11,"LLD")</f>
        <v>1.1710588714884698</v>
      </c>
      <c r="N11" s="30"/>
      <c r="O11">
        <f t="shared" si="0"/>
        <v>2.5655631505062189E-4</v>
      </c>
      <c r="P11">
        <f t="shared" si="1"/>
        <v>5.5133304718424305E-7</v>
      </c>
      <c r="Q11">
        <f t="shared" si="2"/>
        <v>1.0246678217932154E-3</v>
      </c>
      <c r="R11">
        <f t="shared" si="3"/>
        <v>8.6693012380798179E-4</v>
      </c>
      <c r="T11">
        <f t="shared" si="4"/>
        <v>4.5912762464849002E-2</v>
      </c>
      <c r="U11">
        <f t="shared" si="5"/>
        <v>4.6354132433894212E-2</v>
      </c>
      <c r="V11" s="12">
        <f t="shared" si="6"/>
        <v>1.009613230512608</v>
      </c>
    </row>
    <row r="12" spans="1:22" x14ac:dyDescent="0.25">
      <c r="A12" t="str">
        <f>Sm_Calculations!B18</f>
        <v>73G</v>
      </c>
      <c r="B12" s="36" t="str">
        <f>IF(Sm_Calculations!S18&gt;SUM($B$30:$D$30),(Sm_Calculations!S18-SUM($B$30:$D$30))*Sm_Calculations!A18,"LLD")</f>
        <v>LLD</v>
      </c>
      <c r="C12" t="str">
        <f>IF(Sm_Calculations!S18&gt;SUM($B$30:$D$30),((Sm_Calculations!T18^2+$B$31^2+$C$31^2+$D$31^2)^0.5)*Sm_Calculations!A18,"LLD")</f>
        <v>LLD</v>
      </c>
      <c r="D12" s="12" t="str">
        <f>IF(Sm_Calculations!S18&gt;0.007,C12/B12,"LLD")</f>
        <v>LLD</v>
      </c>
      <c r="E12" s="13">
        <f>IF(Sm_Calculations!V18&gt;SUM($E$30:$G$30),(Sm_Calculations!V18-SUM($E$30:$G$30))*Sm_Calculations!A18,"LLD")</f>
        <v>2.2789028253616152E-2</v>
      </c>
      <c r="F12">
        <f>IF(Sm_Calculations!V18&gt;SUM($E$30:$G$30),((Sm_Calculations!W18^2+$E$31^2+$F$31^2+$G$31^2)^0.5)*Sm_Calculations!A18,"LLD")</f>
        <v>1.0073993038315714E-3</v>
      </c>
      <c r="G12" s="12">
        <f>IF(Sm_Calculations!V18&gt;0,F12/E12,"LLD")</f>
        <v>4.4205452405445052E-2</v>
      </c>
      <c r="H12" s="13">
        <f>IF(Sm_Calculations!Y18&gt;SUM($H$30:$J$30),(Sm_Calculations!Y18-SUM($H$30:$J$30))*Sm_Calculations!A18,"LLD")</f>
        <v>1.2853783225834877E-2</v>
      </c>
      <c r="I12">
        <f>IF(Sm_Calculations!Y18&gt;SUM($H$30:$J$30),((Sm_Calculations!Z18^2+$H$31^2+$I$31^2+$J$31^2)^0.5)*Sm_Calculations!A18,"LLD")</f>
        <v>3.2018876554030185E-2</v>
      </c>
      <c r="J12" s="12">
        <f>IF(Sm_Calculations!Y18&gt;0.014,I12/H12,"LLD")</f>
        <v>2.491007977299267</v>
      </c>
      <c r="K12" s="13">
        <f>IF(Sm_Calculations!AB18&gt;SUM($K$30:$M$30),(Sm_Calculations!AB18-SUM($K$30:$M$30))*Sm_Calculations!A18,"LLD")</f>
        <v>4.3816426977447642E-2</v>
      </c>
      <c r="L12">
        <f>IF(Sm_Calculations!AB18&gt;SUM($K$30:$M$30),((Sm_Calculations!AC18^2+$K$31^2+$L$31^2+$M$31^2)^0.5)*Sm_Calculations!A18,"LLD")</f>
        <v>2.9461779811848634E-2</v>
      </c>
      <c r="M12" s="12">
        <f>IF(Sm_Calculations!AB18&gt;(0.012+0.0048),L12/K12,"LLD")</f>
        <v>0.67239119764403976</v>
      </c>
      <c r="N12" s="30"/>
      <c r="O12" t="str">
        <f t="shared" si="0"/>
        <v>LLD</v>
      </c>
      <c r="P12">
        <f t="shared" si="1"/>
        <v>1.0148533573603347E-6</v>
      </c>
      <c r="Q12">
        <f t="shared" si="2"/>
        <v>1.0252084557822239E-3</v>
      </c>
      <c r="R12">
        <f t="shared" si="3"/>
        <v>8.6799646968185168E-4</v>
      </c>
      <c r="T12">
        <f t="shared" si="4"/>
        <v>7.9459238456898673E-2</v>
      </c>
      <c r="U12">
        <f t="shared" si="5"/>
        <v>4.3522635246747599E-2</v>
      </c>
      <c r="V12" s="12">
        <f t="shared" si="6"/>
        <v>0.5477353683719951</v>
      </c>
    </row>
    <row r="13" spans="1:22" x14ac:dyDescent="0.25">
      <c r="A13" t="str">
        <f>Sm_Calculations!B19</f>
        <v xml:space="preserve">74G </v>
      </c>
      <c r="B13" s="36">
        <f>IF(Sm_Calculations!S19&gt;SUM($B$30:$D$30),(Sm_Calculations!S19-SUM($B$30:$D$30))*Sm_Calculations!A19,"LLD")</f>
        <v>3.0761675738163559E-3</v>
      </c>
      <c r="C13">
        <f>IF(Sm_Calculations!S19&gt;SUM($B$30:$D$30),((Sm_Calculations!T19^2+$B$31^2+$C$31^2+$D$31^2)^0.5)*Sm_Calculations!A19,"LLD")</f>
        <v>1.6006555708397392E-2</v>
      </c>
      <c r="D13" s="12">
        <f>IF(Sm_Calculations!S19&gt;0.007,C13/B13,"LLD")</f>
        <v>5.2034082423342545</v>
      </c>
      <c r="E13" s="13">
        <f>IF(Sm_Calculations!V19&gt;SUM($E$30:$G$30),(Sm_Calculations!V19-SUM($E$30:$G$30))*Sm_Calculations!A19,"LLD")</f>
        <v>2.3922805254170912E-2</v>
      </c>
      <c r="F13">
        <f>IF(Sm_Calculations!V19&gt;SUM($E$30:$G$30),((Sm_Calculations!W19^2+$E$31^2+$F$31^2+$G$31^2)^0.5)*Sm_Calculations!A19,"LLD")</f>
        <v>7.2119512069154096E-4</v>
      </c>
      <c r="G13" s="12">
        <f>IF(Sm_Calculations!V19&gt;0,F13/E13,"LLD")</f>
        <v>3.0146762180651931E-2</v>
      </c>
      <c r="H13" s="13">
        <f>IF(Sm_Calculations!Y19&gt;SUM($H$30:$J$30),(Sm_Calculations!Y19-SUM($H$30:$J$30))*Sm_Calculations!A19,"LLD")</f>
        <v>3.2030952965107905E-2</v>
      </c>
      <c r="I13">
        <f>IF(Sm_Calculations!Y19&gt;SUM($H$30:$J$30),((Sm_Calculations!Z19^2+$H$31^2+$I$31^2+$J$31^2)^0.5)*Sm_Calculations!A19,"LLD")</f>
        <v>3.2016944486293407E-2</v>
      </c>
      <c r="J13" s="12">
        <f>IF(Sm_Calculations!Y19&gt;0.014,I13/H13,"LLD")</f>
        <v>0.99956265806921951</v>
      </c>
      <c r="K13" s="13">
        <f>IF(Sm_Calculations!AB19&gt;SUM($K$30:$M$30),(Sm_Calculations!AB19-SUM($K$30:$M$30))*Sm_Calculations!A19,"LLD")</f>
        <v>9.4537665329980869E-2</v>
      </c>
      <c r="L13">
        <f>IF(Sm_Calculations!AB19&gt;SUM($K$30:$M$30),((Sm_Calculations!AC19^2+$K$31^2+$L$31^2+$M$31^2)^0.5)*Sm_Calculations!A19,"LLD")</f>
        <v>2.9467557647573795E-2</v>
      </c>
      <c r="M13" s="12">
        <f>IF(Sm_Calculations!AB19&gt;(0.012+0.0048),L13/K13,"LLD")</f>
        <v>0.31170177034431912</v>
      </c>
      <c r="N13" s="30"/>
      <c r="O13">
        <f t="shared" si="0"/>
        <v>2.5620982564602911E-4</v>
      </c>
      <c r="P13">
        <f t="shared" si="1"/>
        <v>5.2012240210928637E-7</v>
      </c>
      <c r="Q13">
        <f t="shared" si="2"/>
        <v>1.0250847342383937E-3</v>
      </c>
      <c r="R13">
        <f t="shared" si="3"/>
        <v>8.6833695371308489E-4</v>
      </c>
      <c r="T13">
        <f t="shared" si="4"/>
        <v>0.15356759112307605</v>
      </c>
      <c r="U13">
        <f t="shared" si="5"/>
        <v>4.6369727581684332E-2</v>
      </c>
      <c r="V13" s="12">
        <f t="shared" si="6"/>
        <v>0.30194995729614282</v>
      </c>
    </row>
    <row r="14" spans="1:22" x14ac:dyDescent="0.25">
      <c r="A14" t="str">
        <f>Sm_Calculations!B20</f>
        <v xml:space="preserve">75G trace waste </v>
      </c>
      <c r="B14" s="36" t="e">
        <f>IF(Sm_Calculations!S20&gt;SUM($B$30:$D$30),(Sm_Calculations!S20-SUM($B$30:$D$30))*Sm_Calculations!A20,"LLD")</f>
        <v>#VALUE!</v>
      </c>
      <c r="C14" t="e">
        <f>IF(Sm_Calculations!S20&gt;SUM($B$30:$D$30),((Sm_Calculations!T20^2+$B$31^2+$C$31^2+$D$31^2)^0.5)*Sm_Calculations!A20,"LLD")</f>
        <v>#VALUE!</v>
      </c>
      <c r="D14" s="12" t="e">
        <f>IF(Sm_Calculations!S20&gt;0.007,C14/B14,"LLD")</f>
        <v>#VALUE!</v>
      </c>
      <c r="E14" s="13" t="e">
        <f>IF(Sm_Calculations!V20&gt;SUM($E$30:$G$30),(Sm_Calculations!V20-SUM($E$30:$G$30))*Sm_Calculations!A20,"LLD")</f>
        <v>#VALUE!</v>
      </c>
      <c r="F14" t="e">
        <f>IF(Sm_Calculations!V20&gt;SUM($E$30:$G$30),((Sm_Calculations!W20^2+$E$31^2+$F$31^2+$G$31^2)^0.5)*Sm_Calculations!A20,"LLD")</f>
        <v>#VALUE!</v>
      </c>
      <c r="G14" s="12" t="e">
        <f>IF(Sm_Calculations!V20&gt;0,F14/E14,"LLD")</f>
        <v>#VALUE!</v>
      </c>
      <c r="H14" s="13" t="e">
        <f>IF(Sm_Calculations!Y20&gt;SUM($H$30:$J$30),(Sm_Calculations!Y20-SUM($H$30:$J$30))*Sm_Calculations!A20,"LLD")</f>
        <v>#VALUE!</v>
      </c>
      <c r="I14" t="e">
        <f>IF(Sm_Calculations!Y20&gt;SUM($H$30:$J$30),((Sm_Calculations!Z20^2+$H$31^2+$I$31^2+$J$31^2)^0.5)*Sm_Calculations!A20,"LLD")</f>
        <v>#VALUE!</v>
      </c>
      <c r="J14" s="12" t="e">
        <f>IF(Sm_Calculations!Y20&gt;0.014,I14/H14,"LLD")</f>
        <v>#VALUE!</v>
      </c>
      <c r="K14" s="13" t="e">
        <f>IF(Sm_Calculations!AB20&gt;SUM($K$30:$M$30),(Sm_Calculations!AB20-SUM($K$30:$M$30))*Sm_Calculations!A20,"LLD")</f>
        <v>#VALUE!</v>
      </c>
      <c r="L14" t="e">
        <f>IF(Sm_Calculations!AB20&gt;SUM($K$30:$M$30),((Sm_Calculations!AC20^2+$K$31^2+$L$31^2+$M$31^2)^0.5)*Sm_Calculations!A20,"LLD")</f>
        <v>#VALUE!</v>
      </c>
      <c r="M14" s="12" t="e">
        <f>IF(Sm_Calculations!AB20&gt;(0.012+0.0048),L14/K14,"LLD")</f>
        <v>#VALUE!</v>
      </c>
      <c r="N14" s="30"/>
      <c r="O14" t="e">
        <f t="shared" si="0"/>
        <v>#VALUE!</v>
      </c>
      <c r="P14" t="e">
        <f t="shared" si="1"/>
        <v>#VALUE!</v>
      </c>
      <c r="Q14" t="e">
        <f t="shared" si="2"/>
        <v>#VALUE!</v>
      </c>
      <c r="R14" t="e">
        <f t="shared" si="3"/>
        <v>#VALUE!</v>
      </c>
      <c r="T14" t="e">
        <f t="shared" si="4"/>
        <v>#VALUE!</v>
      </c>
      <c r="U14" t="e">
        <f t="shared" si="5"/>
        <v>#VALUE!</v>
      </c>
      <c r="V14" s="12" t="e">
        <f t="shared" si="6"/>
        <v>#VALUE!</v>
      </c>
    </row>
    <row r="15" spans="1:22" x14ac:dyDescent="0.25">
      <c r="A15" t="str">
        <f>Sm_Calculations!B21</f>
        <v>81G trace</v>
      </c>
      <c r="B15" s="36" t="str">
        <f>IF(Sm_Calculations!S21&gt;SUM($B$30:$D$30),(Sm_Calculations!S21-SUM($B$30:$D$30))*Sm_Calculations!A21,"LLD")</f>
        <v>LLD</v>
      </c>
      <c r="C15" t="str">
        <f>IF(Sm_Calculations!S21&gt;SUM($B$30:$D$30),((Sm_Calculations!T21^2+$B$31^2+$C$31^2+$D$31^2)^0.5)*Sm_Calculations!A21,"LLD")</f>
        <v>LLD</v>
      </c>
      <c r="D15" s="12" t="str">
        <f>IF(Sm_Calculations!S21&gt;0.007,C15/B15,"LLD")</f>
        <v>LLD</v>
      </c>
      <c r="E15" s="13">
        <f>IF(Sm_Calculations!V21&gt;SUM($E$30:$G$30),(Sm_Calculations!V21-SUM($E$30:$G$30))*Sm_Calculations!A21,"LLD")</f>
        <v>5.0374427781199049E-3</v>
      </c>
      <c r="F15">
        <f>IF(Sm_Calculations!V21&gt;SUM($E$30:$G$30),((Sm_Calculations!W21^2+$E$31^2+$F$31^2+$G$31^2)^0.5)*Sm_Calculations!A21,"LLD")</f>
        <v>6.3419197320131683E-4</v>
      </c>
      <c r="G15" s="12">
        <f>IF(Sm_Calculations!V21&gt;0,F15/E15,"LLD")</f>
        <v>0.12589561829980978</v>
      </c>
      <c r="H15" s="13" t="str">
        <f>IF(Sm_Calculations!Y21&gt;SUM($H$30:$J$30),(Sm_Calculations!Y21-SUM($H$30:$J$30))*Sm_Calculations!A21,"LLD")</f>
        <v>LLD</v>
      </c>
      <c r="I15" t="str">
        <f>IF(Sm_Calculations!Y21&gt;SUM($H$30:$J$30),((Sm_Calculations!Z21^2+$H$31^2+$I$31^2+$J$31^2)^0.5)*Sm_Calculations!A21,"LLD")</f>
        <v>LLD</v>
      </c>
      <c r="J15" s="12" t="str">
        <f>IF(Sm_Calculations!Y21&gt;0.014,I15/H15,"LLD")</f>
        <v>LLD</v>
      </c>
      <c r="K15" s="13">
        <f>IF(Sm_Calculations!AB21&gt;SUM($K$30:$M$30),(Sm_Calculations!AB21-SUM($K$30:$M$30))*Sm_Calculations!A21,"LLD")</f>
        <v>8.5093542381245273E-3</v>
      </c>
      <c r="L15">
        <f>IF(Sm_Calculations!AB21&gt;SUM($K$30:$M$30),((Sm_Calculations!AC21^2+$K$31^2+$L$31^2+$M$31^2)^0.5)*Sm_Calculations!A21,"LLD")</f>
        <v>2.9447394058570477E-2</v>
      </c>
      <c r="M15" s="12">
        <f>IF(Sm_Calculations!AB21&gt;(0.012+0.0048),L15/K15,"LLD")</f>
        <v>3.4605909255295875</v>
      </c>
      <c r="N15" s="30"/>
      <c r="O15" t="str">
        <f t="shared" si="0"/>
        <v>LLD</v>
      </c>
      <c r="P15">
        <f t="shared" si="1"/>
        <v>4.0219945887297977E-7</v>
      </c>
      <c r="Q15" t="str">
        <f t="shared" si="2"/>
        <v>LLD</v>
      </c>
      <c r="R15">
        <f t="shared" si="3"/>
        <v>8.6714901684073183E-4</v>
      </c>
      <c r="T15">
        <f t="shared" si="4"/>
        <v>1.3546797016244432E-2</v>
      </c>
      <c r="U15">
        <f t="shared" si="5"/>
        <v>2.945422238490782E-2</v>
      </c>
      <c r="V15" s="12">
        <f t="shared" si="6"/>
        <v>2.1742573059586148</v>
      </c>
    </row>
    <row r="16" spans="1:22" x14ac:dyDescent="0.25">
      <c r="A16" t="str">
        <f>Sm_Calculations!B22</f>
        <v>82G trace</v>
      </c>
      <c r="B16" s="36" t="str">
        <f>IF(Sm_Calculations!S22&gt;SUM($B$30:$D$30),(Sm_Calculations!S22-SUM($B$30:$D$30))*Sm_Calculations!A22,"LLD")</f>
        <v>LLD</v>
      </c>
      <c r="C16" t="str">
        <f>IF(Sm_Calculations!S22&gt;SUM($B$30:$D$30),((Sm_Calculations!T22^2+$B$31^2+$C$31^2+$D$31^2)^0.5)*Sm_Calculations!A22,"LLD")</f>
        <v>LLD</v>
      </c>
      <c r="D16" s="12" t="str">
        <f>IF(Sm_Calculations!S22&gt;0.007,C16/B16,"LLD")</f>
        <v>LLD</v>
      </c>
      <c r="E16" s="13">
        <f>IF(Sm_Calculations!V22&gt;SUM($E$30:$G$30),(Sm_Calculations!V22-SUM($E$30:$G$30))*Sm_Calculations!A22,"LLD")</f>
        <v>1.2570627957470458E-2</v>
      </c>
      <c r="F16">
        <f>IF(Sm_Calculations!V22&gt;SUM($E$30:$G$30),((Sm_Calculations!W22^2+$E$31^2+$F$31^2+$G$31^2)^0.5)*Sm_Calculations!A22,"LLD")</f>
        <v>6.539695591300101E-4</v>
      </c>
      <c r="G16" s="12">
        <f>IF(Sm_Calculations!V22&gt;0,F16/E16,"LLD")</f>
        <v>5.2023618974529416E-2</v>
      </c>
      <c r="H16" s="13">
        <f>IF(Sm_Calculations!Y22&gt;SUM($H$30:$J$30),(Sm_Calculations!Y22-SUM($H$30:$J$30))*Sm_Calculations!A22,"LLD")</f>
        <v>1.7385813724648969E-3</v>
      </c>
      <c r="I16">
        <f>IF(Sm_Calculations!Y22&gt;SUM($H$30:$J$30),((Sm_Calculations!Z22^2+$H$31^2+$I$31^2+$J$31^2)^0.5)*Sm_Calculations!A22,"LLD")</f>
        <v>3.2008447984620901E-2</v>
      </c>
      <c r="J16" s="12">
        <f>IF(Sm_Calculations!Y22&gt;0.014,I16/H16,"LLD")</f>
        <v>18.410670039125346</v>
      </c>
      <c r="K16" s="13">
        <f>IF(Sm_Calculations!AB22&gt;SUM($K$30:$M$30),(Sm_Calculations!AB22-SUM($K$30:$M$30))*Sm_Calculations!A22,"LLD")</f>
        <v>4.8463197946049072E-2</v>
      </c>
      <c r="L16">
        <f>IF(Sm_Calculations!AB22&gt;SUM($K$30:$M$30),((Sm_Calculations!AC22^2+$K$31^2+$L$31^2+$M$31^2)^0.5)*Sm_Calculations!A22,"LLD")</f>
        <v>2.9455127872292937E-2</v>
      </c>
      <c r="M16" s="12">
        <f>IF(Sm_Calculations!AB22&gt;(0.012+0.0048),L16/K16,"LLD")</f>
        <v>0.60778341340749775</v>
      </c>
      <c r="N16" s="30"/>
      <c r="O16" t="str">
        <f t="shared" si="0"/>
        <v>LLD</v>
      </c>
      <c r="P16">
        <f t="shared" si="1"/>
        <v>4.2767618426869977E-7</v>
      </c>
      <c r="Q16">
        <f t="shared" si="2"/>
        <v>1.0245407423841819E-3</v>
      </c>
      <c r="R16">
        <f t="shared" si="3"/>
        <v>8.6760455797312821E-4</v>
      </c>
      <c r="T16">
        <f t="shared" si="4"/>
        <v>6.2772407275984432E-2</v>
      </c>
      <c r="U16">
        <f t="shared" si="5"/>
        <v>4.3503712215644065E-2</v>
      </c>
      <c r="V16" s="12">
        <f t="shared" si="6"/>
        <v>0.69303877457456986</v>
      </c>
    </row>
    <row r="17" spans="1:22" x14ac:dyDescent="0.25">
      <c r="A17" t="str">
        <f>Sm_Calculations!B23</f>
        <v>83G Trace</v>
      </c>
      <c r="B17" s="36" t="e">
        <f>IF(Sm_Calculations!S23&gt;SUM($B$30:$D$30),(Sm_Calculations!S23-SUM($B$30:$D$30))*Sm_Calculations!A23,"LLD")</f>
        <v>#VALUE!</v>
      </c>
      <c r="C17" t="e">
        <f>IF(Sm_Calculations!S23&gt;SUM($B$30:$D$30),((Sm_Calculations!T23^2+$B$31^2+$C$31^2+$D$31^2)^0.5)*Sm_Calculations!A23,"LLD")</f>
        <v>#VALUE!</v>
      </c>
      <c r="D17" s="12" t="e">
        <f>IF(Sm_Calculations!S23&gt;0.007,C17/B17,"LLD")</f>
        <v>#VALUE!</v>
      </c>
      <c r="E17" s="13" t="e">
        <f>IF(Sm_Calculations!V23&gt;SUM($E$30:$G$30),(Sm_Calculations!V23-SUM($E$30:$G$30))*Sm_Calculations!A23,"LLD")</f>
        <v>#VALUE!</v>
      </c>
      <c r="F17" t="e">
        <f>IF(Sm_Calculations!V23&gt;SUM($E$30:$G$30),((Sm_Calculations!W23^2+$E$31^2+$F$31^2+$G$31^2)^0.5)*Sm_Calculations!A23,"LLD")</f>
        <v>#VALUE!</v>
      </c>
      <c r="G17" s="12" t="e">
        <f>IF(Sm_Calculations!V23&gt;0,F17/E17,"LLD")</f>
        <v>#VALUE!</v>
      </c>
      <c r="H17" s="13" t="e">
        <f>IF(Sm_Calculations!Y23&gt;SUM($H$30:$J$30),(Sm_Calculations!Y23-SUM($H$30:$J$30))*Sm_Calculations!A23,"LLD")</f>
        <v>#VALUE!</v>
      </c>
      <c r="I17" t="e">
        <f>IF(Sm_Calculations!Y23&gt;SUM($H$30:$J$30),((Sm_Calculations!Z23^2+$H$31^2+$I$31^2+$J$31^2)^0.5)*Sm_Calculations!A23,"LLD")</f>
        <v>#VALUE!</v>
      </c>
      <c r="J17" s="12" t="e">
        <f>IF(Sm_Calculations!Y23&gt;0.014,I17/H17,"LLD")</f>
        <v>#VALUE!</v>
      </c>
      <c r="K17" s="13" t="e">
        <f>IF(Sm_Calculations!AB23&gt;SUM($K$30:$M$30),(Sm_Calculations!AB23-SUM($K$30:$M$30))*Sm_Calculations!A23,"LLD")</f>
        <v>#VALUE!</v>
      </c>
      <c r="L17" t="e">
        <f>IF(Sm_Calculations!AB23&gt;SUM($K$30:$M$30),((Sm_Calculations!AC23^2+$K$31^2+$L$31^2+$M$31^2)^0.5)*Sm_Calculations!A23,"LLD")</f>
        <v>#VALUE!</v>
      </c>
      <c r="M17" s="12" t="e">
        <f>IF(Sm_Calculations!AB23&gt;(0.012+0.0048),L17/K17,"LLD")</f>
        <v>#VALUE!</v>
      </c>
      <c r="N17" s="30"/>
      <c r="O17" t="e">
        <f t="shared" si="0"/>
        <v>#VALUE!</v>
      </c>
      <c r="P17" t="e">
        <f t="shared" si="1"/>
        <v>#VALUE!</v>
      </c>
      <c r="Q17" t="e">
        <f t="shared" si="2"/>
        <v>#VALUE!</v>
      </c>
      <c r="R17" t="e">
        <f t="shared" si="3"/>
        <v>#VALUE!</v>
      </c>
      <c r="T17" t="e">
        <f t="shared" si="4"/>
        <v>#VALUE!</v>
      </c>
      <c r="U17" t="e">
        <f t="shared" si="5"/>
        <v>#VALUE!</v>
      </c>
      <c r="V17" s="12" t="e">
        <f t="shared" si="6"/>
        <v>#VALUE!</v>
      </c>
    </row>
    <row r="18" spans="1:22" x14ac:dyDescent="0.25">
      <c r="A18" t="str">
        <f>Sm_Calculations!B24</f>
        <v>84G trace</v>
      </c>
      <c r="B18" s="36" t="str">
        <f>IF(Sm_Calculations!S24&gt;SUM($B$30:$D$30),(Sm_Calculations!S24-SUM($B$30:$D$30))*Sm_Calculations!A24,"LLD")</f>
        <v>LLD</v>
      </c>
      <c r="C18" t="str">
        <f>IF(Sm_Calculations!S24&gt;SUM($B$30:$D$30),((Sm_Calculations!T24^2+$B$31^2+$C$31^2+$D$31^2)^0.5)*Sm_Calculations!A24,"LLD")</f>
        <v>LLD</v>
      </c>
      <c r="D18" s="12" t="str">
        <f>IF(Sm_Calculations!S24&gt;0.007,C18/B18,"LLD")</f>
        <v>LLD</v>
      </c>
      <c r="E18" s="13">
        <f>IF(Sm_Calculations!V24&gt;SUM($E$30:$G$30),(Sm_Calculations!V24-SUM($E$30:$G$30))*Sm_Calculations!A24,"LLD")</f>
        <v>1.156087540450464E-2</v>
      </c>
      <c r="F18">
        <f>IF(Sm_Calculations!V24&gt;SUM($E$30:$G$30),((Sm_Calculations!W24^2+$E$31^2+$F$31^2+$G$31^2)^0.5)*Sm_Calculations!A24,"LLD")</f>
        <v>6.5734251799143837E-4</v>
      </c>
      <c r="G18" s="12">
        <f>IF(Sm_Calculations!V24&gt;0,F18/E18,"LLD")</f>
        <v>5.6859233837543821E-2</v>
      </c>
      <c r="H18" s="13">
        <f>IF(Sm_Calculations!Y24&gt;SUM($H$30:$J$30),(Sm_Calculations!Y24-SUM($H$30:$J$30))*Sm_Calculations!A24,"LLD")</f>
        <v>1.4948717423872873E-2</v>
      </c>
      <c r="I18">
        <f>IF(Sm_Calculations!Y24&gt;SUM($H$30:$J$30),((Sm_Calculations!Z24^2+$H$31^2+$I$31^2+$J$31^2)^0.5)*Sm_Calculations!A24,"LLD")</f>
        <v>3.2017742641160661E-2</v>
      </c>
      <c r="J18" s="12">
        <f>IF(Sm_Calculations!Y24&gt;0.014,I18/H18,"LLD")</f>
        <v>2.141838776752099</v>
      </c>
      <c r="K18" s="13">
        <f>IF(Sm_Calculations!AB24&gt;SUM($K$30:$M$30),(Sm_Calculations!AB24-SUM($K$30:$M$30))*Sm_Calculations!A24,"LLD")</f>
        <v>6.3356869119612066E-2</v>
      </c>
      <c r="L18">
        <f>IF(Sm_Calculations!AB24&gt;SUM($K$30:$M$30),((Sm_Calculations!AC24^2+$K$31^2+$L$31^2+$M$31^2)^0.5)*Sm_Calculations!A24,"LLD")</f>
        <v>2.9472647309845723E-2</v>
      </c>
      <c r="M18" s="12">
        <f>IF(Sm_Calculations!AB24&gt;(0.012+0.0048),L18/K18,"LLD")</f>
        <v>0.46518471823795488</v>
      </c>
      <c r="N18" s="30"/>
      <c r="O18" t="str">
        <f t="shared" si="0"/>
        <v>LLD</v>
      </c>
      <c r="P18">
        <f t="shared" si="1"/>
        <v>4.320991859593245E-7</v>
      </c>
      <c r="Q18">
        <f t="shared" si="2"/>
        <v>1.0251358438355977E-3</v>
      </c>
      <c r="R18">
        <f t="shared" si="3"/>
        <v>8.686369394505563E-4</v>
      </c>
      <c r="T18">
        <f t="shared" si="4"/>
        <v>8.9866461947989584E-2</v>
      </c>
      <c r="U18">
        <f t="shared" si="5"/>
        <v>4.3522464113054458E-2</v>
      </c>
      <c r="V18" s="12">
        <f t="shared" si="6"/>
        <v>0.48430151994014387</v>
      </c>
    </row>
    <row r="19" spans="1:22" s="64" customFormat="1" x14ac:dyDescent="0.25">
      <c r="A19" s="64" t="str">
        <f>Sm_Calculations!B25</f>
        <v>86G Trace</v>
      </c>
      <c r="B19" s="65">
        <f>IF(Sm_Calculations!S25&gt;SUM($B$30:$D$30),(Sm_Calculations!S25-SUM($B$30:$D$30))*Sm_Calculations!A25,"LLD")</f>
        <v>0.43400055307284302</v>
      </c>
      <c r="C19" s="64">
        <f>IF(Sm_Calculations!S25&gt;SUM($B$30:$D$30),((Sm_Calculations!T25^2+$B$31^2+$C$31^2+$D$31^2)^0.5)*Sm_Calculations!A25,"LLD")</f>
        <v>1.9445970190087397E-2</v>
      </c>
      <c r="D19" s="66">
        <f>IF(Sm_Calculations!S25&gt;0.007,C19/B19,"LLD")</f>
        <v>4.4806325827017018E-2</v>
      </c>
      <c r="E19" s="67">
        <f>IF(Sm_Calculations!V25&gt;SUM($E$30:$G$30),(Sm_Calculations!V25-SUM($E$30:$G$30))*Sm_Calculations!A25,"LLD")</f>
        <v>0.46201228764939439</v>
      </c>
      <c r="F19" s="64">
        <f>IF(Sm_Calculations!V25&gt;SUM($E$30:$G$30),((Sm_Calculations!W25^2+$E$31^2+$F$31^2+$G$31^2)^0.5)*Sm_Calculations!A25,"LLD")</f>
        <v>1.1217843269513529E-2</v>
      </c>
      <c r="G19" s="66">
        <f>IF(Sm_Calculations!V25&gt;0,F19/E19,"LLD")</f>
        <v>2.428040026075318E-2</v>
      </c>
      <c r="H19" s="67">
        <f>IF(Sm_Calculations!Y25&gt;SUM($H$30:$J$30),(Sm_Calculations!Y25-SUM($H$30:$J$30))*Sm_Calculations!A25,"LLD")</f>
        <v>1.2011762441267366</v>
      </c>
      <c r="I19" s="64">
        <f>IF(Sm_Calculations!Y25&gt;SUM($H$30:$J$30),((Sm_Calculations!Z25^2+$H$31^2+$I$31^2+$J$31^2)^0.5)*Sm_Calculations!A25,"LLD")</f>
        <v>4.0897411939935346E-2</v>
      </c>
      <c r="J19" s="66">
        <f>IF(Sm_Calculations!Y25&gt;0.014,I19/H19,"LLD")</f>
        <v>3.4047802843177308E-2</v>
      </c>
      <c r="K19" s="67">
        <f>IF(Sm_Calculations!AB25&gt;SUM($K$30:$M$30),(Sm_Calculations!AB25-SUM($K$30:$M$30))*Sm_Calculations!A25,"LLD")</f>
        <v>0.48997969072872988</v>
      </c>
      <c r="L19" s="64">
        <f>IF(Sm_Calculations!AB25&gt;SUM($K$30:$M$30),((Sm_Calculations!AC25^2+$K$31^2+$L$31^2+$M$31^2)^0.5)*Sm_Calculations!A25,"LLD")</f>
        <v>3.1821333861140944E-2</v>
      </c>
      <c r="M19" s="66">
        <f>IF(Sm_Calculations!AB25&gt;(0.012+0.0048),L19/K19,"LLD")</f>
        <v>6.4944189449595707E-2</v>
      </c>
      <c r="N19" s="68"/>
      <c r="O19" s="64">
        <f t="shared" si="0"/>
        <v>3.7814575663376766E-4</v>
      </c>
      <c r="P19" s="64">
        <f t="shared" si="1"/>
        <v>1.2584000761936998E-4</v>
      </c>
      <c r="Q19" s="64">
        <f t="shared" si="2"/>
        <v>1.6725983033847663E-3</v>
      </c>
      <c r="R19" s="64">
        <f t="shared" si="3"/>
        <v>1.0125972887021952E-3</v>
      </c>
      <c r="T19" s="64">
        <f t="shared" si="4"/>
        <v>2.587168775577704</v>
      </c>
      <c r="U19" s="64">
        <f t="shared" si="5"/>
        <v>5.6472837332120114E-2</v>
      </c>
      <c r="V19" s="66">
        <f t="shared" si="6"/>
        <v>2.1828045338677205E-2</v>
      </c>
    </row>
    <row r="20" spans="1:22" x14ac:dyDescent="0.25">
      <c r="A20" t="str">
        <f>Sm_Calculations!B26</f>
        <v>24G Taper Waste</v>
      </c>
      <c r="B20" s="36">
        <f>IF(Sm_Calculations!S26&gt;SUM($B$30:$D$30),(Sm_Calculations!S26-SUM($B$30:$D$30))*Sm_Calculations!A26,"LLD")</f>
        <v>2.3375022524257782</v>
      </c>
      <c r="C20">
        <f>IF(Sm_Calculations!S26&gt;SUM($B$30:$D$30),((Sm_Calculations!T26^2+$B$31^2+$C$31^2+$D$31^2)^0.5)*Sm_Calculations!A26,"LLD")</f>
        <v>3.1350837052250766E-2</v>
      </c>
      <c r="D20" s="12">
        <f>IF(Sm_Calculations!S26&gt;0.007,C20/B20,"LLD")</f>
        <v>1.3412109879131009E-2</v>
      </c>
      <c r="E20" s="13">
        <f>IF(Sm_Calculations!V26&gt;SUM($E$30:$G$30),(Sm_Calculations!V26-SUM($E$30:$G$30))*Sm_Calculations!A26,"LLD")</f>
        <v>3.0556355371978414</v>
      </c>
      <c r="F20">
        <f>IF(Sm_Calculations!V26&gt;SUM($E$30:$G$30),((Sm_Calculations!W26^2+$E$31^2+$F$31^2+$G$31^2)^0.5)*Sm_Calculations!A26,"LLD")</f>
        <v>3.0945128114149022E-2</v>
      </c>
      <c r="G20" s="12">
        <f>IF(Sm_Calculations!V26&gt;0,F20/E20,"LLD")</f>
        <v>1.0127231385234881E-2</v>
      </c>
      <c r="H20" s="13">
        <f>IF(Sm_Calculations!Y26&gt;SUM($H$30:$J$30),(Sm_Calculations!Y26-SUM($H$30:$J$30))*Sm_Calculations!A26,"LLD")</f>
        <v>7.5310470628948387</v>
      </c>
      <c r="I20">
        <f>IF(Sm_Calculations!Y26&gt;SUM($H$30:$J$30),((Sm_Calculations!Z26^2+$H$31^2+$I$31^2+$J$31^2)^0.5)*Sm_Calculations!A26,"LLD")</f>
        <v>8.0151883617211928E-2</v>
      </c>
      <c r="J20" s="12">
        <f>IF(Sm_Calculations!Y26&gt;0.014,I20/H20,"LLD")</f>
        <v>1.0642860540882421E-2</v>
      </c>
      <c r="K20" s="13">
        <f>IF(Sm_Calculations!AB26&gt;SUM($K$30:$M$30),(Sm_Calculations!AB26-SUM($K$30:$M$30))*Sm_Calculations!A26,"LLD")</f>
        <v>4.8237020312188132</v>
      </c>
      <c r="L20">
        <f>IF(Sm_Calculations!AB26&gt;SUM($K$30:$M$30),((Sm_Calculations!AC26^2+$K$31^2+$L$31^2+$M$31^2)^0.5)*Sm_Calculations!A26,"LLD")</f>
        <v>5.7583312294171921E-2</v>
      </c>
      <c r="M20" s="12">
        <f>IF(Sm_Calculations!AB26&gt;(0.012+0.0048),L20/K20,"LLD")</f>
        <v>1.1937576558729157E-2</v>
      </c>
      <c r="N20" s="30"/>
      <c r="O20">
        <f t="shared" si="0"/>
        <v>9.8287498387677943E-4</v>
      </c>
      <c r="P20">
        <f t="shared" si="1"/>
        <v>9.5760095400109619E-4</v>
      </c>
      <c r="Q20">
        <f t="shared" si="2"/>
        <v>6.4243244473870861E-3</v>
      </c>
      <c r="R20">
        <f t="shared" si="3"/>
        <v>3.3158378547681311E-3</v>
      </c>
      <c r="T20">
        <f t="shared" si="4"/>
        <v>17.747886883737273</v>
      </c>
      <c r="U20">
        <f t="shared" si="5"/>
        <v>0.1080770014389421</v>
      </c>
      <c r="V20" s="12">
        <f t="shared" si="6"/>
        <v>6.0895701075250322E-3</v>
      </c>
    </row>
    <row r="21" spans="1:22" x14ac:dyDescent="0.25">
      <c r="A21" t="str">
        <f>Sm_Calculations!B27</f>
        <v>24G Trace Original</v>
      </c>
      <c r="B21" s="36">
        <f>IF(Sm_Calculations!S27&gt;SUM($B$30:$D$30),(Sm_Calculations!S27-SUM($B$30:$D$30))*Sm_Calculations!A27,"LLD")</f>
        <v>2.7166027112620053</v>
      </c>
      <c r="C21">
        <f>IF(Sm_Calculations!S27&gt;SUM($B$30:$D$30),((Sm_Calculations!T27^2+$B$31^2+$C$31^2+$D$31^2)^0.5)*Sm_Calculations!A27,"LLD")</f>
        <v>3.9366497750513332E-2</v>
      </c>
      <c r="D21" s="12">
        <f>IF(Sm_Calculations!S27&gt;0.007,C21/B21,"LLD")</f>
        <v>1.4491076515279453E-2</v>
      </c>
      <c r="E21" s="13">
        <f>IF(Sm_Calculations!V27&gt;SUM($E$30:$G$30),(Sm_Calculations!V27-SUM($E$30:$G$30))*Sm_Calculations!A27,"LLD")</f>
        <v>3.1233159384341374</v>
      </c>
      <c r="F21">
        <f>IF(Sm_Calculations!V27&gt;SUM($E$30:$G$30),((Sm_Calculations!W27^2+$E$31^2+$F$31^2+$G$31^2)^0.5)*Sm_Calculations!A27,"LLD")</f>
        <v>3.7622429298382755E-2</v>
      </c>
      <c r="G21" s="12">
        <f>IF(Sm_Calculations!V27&gt;0,F21/E21,"LLD")</f>
        <v>1.2045668782788788E-2</v>
      </c>
      <c r="H21" s="13">
        <f>IF(Sm_Calculations!Y27&gt;SUM($H$30:$J$30),(Sm_Calculations!Y27-SUM($H$30:$J$30))*Sm_Calculations!A27,"LLD")</f>
        <v>8.0402747760154369</v>
      </c>
      <c r="I21">
        <f>IF(Sm_Calculations!Y27&gt;SUM($H$30:$J$30),((Sm_Calculations!Z27^2+$H$31^2+$I$31^2+$J$31^2)^0.5)*Sm_Calculations!A27,"LLD")</f>
        <v>9.8315306531652574E-2</v>
      </c>
      <c r="J21" s="12">
        <f>IF(Sm_Calculations!Y27&gt;0.014,I21/H21,"LLD")</f>
        <v>1.2227854056049467E-2</v>
      </c>
      <c r="K21" s="13">
        <f>IF(Sm_Calculations!AB27&gt;SUM($K$30:$M$30),(Sm_Calculations!AB27-SUM($K$30:$M$30))*Sm_Calculations!A27,"LLD")</f>
        <v>3.6066985767842268</v>
      </c>
      <c r="L21">
        <f>IF(Sm_Calculations!AB27&gt;SUM($K$30:$M$30),((Sm_Calculations!AC27^2+$K$31^2+$L$31^2+$M$31^2)^0.5)*Sm_Calculations!A27,"LLD")</f>
        <v>5.3022732721551079E-2</v>
      </c>
      <c r="M21" s="12">
        <f>IF(Sm_Calculations!AB27&gt;(0.012+0.0048),L21/K21,"LLD")</f>
        <v>1.4701182145591647E-2</v>
      </c>
      <c r="N21" s="30"/>
      <c r="O21">
        <f t="shared" si="0"/>
        <v>1.5497211451411712E-3</v>
      </c>
      <c r="P21">
        <f t="shared" si="1"/>
        <v>1.4154471863118091E-3</v>
      </c>
      <c r="Q21">
        <f t="shared" si="2"/>
        <v>9.6658994984128079E-3</v>
      </c>
      <c r="R21">
        <f t="shared" si="3"/>
        <v>2.8114101852610433E-3</v>
      </c>
      <c r="T21">
        <f t="shared" si="4"/>
        <v>17.486892002495807</v>
      </c>
      <c r="U21">
        <f t="shared" si="5"/>
        <v>0.12426776740219819</v>
      </c>
      <c r="V21" s="12">
        <f t="shared" si="6"/>
        <v>7.1063381294092821E-3</v>
      </c>
    </row>
    <row r="22" spans="1:22" x14ac:dyDescent="0.25">
      <c r="A22" t="str">
        <f>Sm_Calculations!B28</f>
        <v>53G</v>
      </c>
      <c r="B22" s="36">
        <f>IF(Sm_Calculations!S28&gt;SUM($B$30:$D$30),(Sm_Calculations!S28-SUM($B$30:$D$30))*Sm_Calculations!A28,"LLD")</f>
        <v>0.11586189237138886</v>
      </c>
      <c r="C22">
        <f>IF(Sm_Calculations!S28&gt;SUM($B$30:$D$30),((Sm_Calculations!T28^2+$B$31^2+$C$31^2+$D$31^2)^0.5)*Sm_Calculations!A28,"LLD")</f>
        <v>1.6726267355786601E-2</v>
      </c>
      <c r="D22" s="12">
        <f>IF(Sm_Calculations!S28&gt;0.007,C22/B22,"LLD")</f>
        <v>0.14436383709469788</v>
      </c>
      <c r="E22" s="13">
        <f>IF(Sm_Calculations!V28&gt;SUM($E$30:$G$30),(Sm_Calculations!V28-SUM($E$30:$G$30))*Sm_Calculations!A28,"LLD")</f>
        <v>0.25834624093898984</v>
      </c>
      <c r="F22">
        <f>IF(Sm_Calculations!V28&gt;SUM($E$30:$G$30),((Sm_Calculations!W28^2+$E$31^2+$F$31^2+$G$31^2)^0.5)*Sm_Calculations!A28,"LLD")</f>
        <v>8.0965742019410113E-3</v>
      </c>
      <c r="G22" s="12">
        <f>IF(Sm_Calculations!V28&gt;0,F22/E22,"LLD")</f>
        <v>3.1340011654565049E-2</v>
      </c>
      <c r="H22" s="13">
        <f>IF(Sm_Calculations!Y28&gt;SUM($H$30:$J$30),(Sm_Calculations!Y28-SUM($H$30:$J$30))*Sm_Calculations!A28,"LLD")</f>
        <v>0.43141025150157947</v>
      </c>
      <c r="I22">
        <f>IF(Sm_Calculations!Y28&gt;SUM($H$30:$J$30),((Sm_Calculations!Z28^2+$H$31^2+$I$31^2+$J$31^2)^0.5)*Sm_Calculations!A28,"LLD")</f>
        <v>3.4289263222685648E-2</v>
      </c>
      <c r="J22" s="12">
        <f>IF(Sm_Calculations!Y28&gt;0.014,I22/H22,"LLD")</f>
        <v>7.9481799756351196E-2</v>
      </c>
      <c r="K22" s="13">
        <f>IF(Sm_Calculations!AB28&gt;SUM($K$30:$M$30),(Sm_Calculations!AB28-SUM($K$30:$M$30))*Sm_Calculations!A28,"LLD")</f>
        <v>0.35344781011347887</v>
      </c>
      <c r="L22">
        <f>IF(Sm_Calculations!AB28&gt;SUM($K$30:$M$30),((Sm_Calculations!AC28^2+$K$31^2+$L$31^2+$M$31^2)^0.5)*Sm_Calculations!A28,"LLD")</f>
        <v>3.1294813232315297E-2</v>
      </c>
      <c r="M22" s="12">
        <f>IF(Sm_Calculations!AB28&gt;(0.012+0.0048),L22/K22,"LLD")</f>
        <v>8.8541539477264564E-2</v>
      </c>
      <c r="N22" s="30"/>
      <c r="O22">
        <f t="shared" si="0"/>
        <v>2.7976801965725251E-4</v>
      </c>
      <c r="P22">
        <f t="shared" si="1"/>
        <v>6.5554513807536722E-5</v>
      </c>
      <c r="Q22">
        <f t="shared" si="2"/>
        <v>1.1757535723546225E-3</v>
      </c>
      <c r="R22">
        <f t="shared" si="3"/>
        <v>9.7936533524549656E-4</v>
      </c>
      <c r="T22">
        <f t="shared" si="4"/>
        <v>1.1590661949254371</v>
      </c>
      <c r="U22">
        <f t="shared" si="5"/>
        <v>5.0004414215796072E-2</v>
      </c>
      <c r="V22" s="12">
        <f t="shared" si="6"/>
        <v>4.3141983119448037E-2</v>
      </c>
    </row>
    <row r="23" spans="1:22" x14ac:dyDescent="0.25">
      <c r="A23" t="str">
        <f>Sm_Calculations!B29</f>
        <v>94G</v>
      </c>
      <c r="B23" s="36" t="str">
        <f>IF(Sm_Calculations!S29&gt;SUM($B$30:$D$30),(Sm_Calculations!S29-SUM($B$30:$D$30))*Sm_Calculations!A29,"LLD")</f>
        <v>LLD</v>
      </c>
      <c r="C23" t="str">
        <f>IF(Sm_Calculations!S29&gt;SUM($B$30:$D$30),((Sm_Calculations!T29^2+$B$31^2+$C$31^2+$D$31^2)^0.5)*Sm_Calculations!A29,"LLD")</f>
        <v>LLD</v>
      </c>
      <c r="D23" s="12" t="str">
        <f>IF(Sm_Calculations!S29&gt;0.007,C23/B23,"LLD")</f>
        <v>LLD</v>
      </c>
      <c r="E23" s="13">
        <f>IF(Sm_Calculations!V29&gt;SUM($E$30:$G$30),(Sm_Calculations!V29-SUM($E$30:$G$30))*Sm_Calculations!A29,"LLD")</f>
        <v>5.8486769260152678E-2</v>
      </c>
      <c r="F23">
        <f>IF(Sm_Calculations!V29&gt;SUM($E$30:$G$30),((Sm_Calculations!W29^2+$E$31^2+$F$31^2+$G$31^2)^0.5)*Sm_Calculations!A29,"LLD")</f>
        <v>4.2236928003492272E-3</v>
      </c>
      <c r="G23" s="12">
        <f>IF(Sm_Calculations!V29&gt;0,F23/E23,"LLD")</f>
        <v>7.2216209815966867E-2</v>
      </c>
      <c r="H23" s="13">
        <f>IF(Sm_Calculations!Y29&gt;SUM($H$30:$J$30),(Sm_Calculations!Y29-SUM($H$30:$J$30))*Sm_Calculations!A29,"LLD")</f>
        <v>0.13245231412905803</v>
      </c>
      <c r="I23">
        <f>IF(Sm_Calculations!Y29&gt;SUM($H$30:$J$30),((Sm_Calculations!Z29^2+$H$31^2+$I$31^2+$J$31^2)^0.5)*Sm_Calculations!A29,"LLD")</f>
        <v>3.294740624573235E-2</v>
      </c>
      <c r="J23" s="12">
        <f>IF(Sm_Calculations!Y29&gt;0.014,I23/H23,"LLD")</f>
        <v>0.24874919296335787</v>
      </c>
      <c r="K23" s="13">
        <f>IF(Sm_Calculations!AB29&gt;SUM($K$30:$M$30),(Sm_Calculations!AB29-SUM($K$30:$M$30))*Sm_Calculations!A29,"LLD")</f>
        <v>0.51213350216913578</v>
      </c>
      <c r="L23">
        <f>IF(Sm_Calculations!AB29&gt;SUM($K$30:$M$30),((Sm_Calculations!AC29^2+$K$31^2+$L$31^2+$M$31^2)^0.5)*Sm_Calculations!A29,"LLD")</f>
        <v>3.6797792675531488E-2</v>
      </c>
      <c r="M23" s="12">
        <f>IF(Sm_Calculations!AB29&gt;(0.012+0.0048),L23/K23,"LLD")</f>
        <v>7.1851953679411412E-2</v>
      </c>
      <c r="N23" s="30"/>
      <c r="O23" t="str">
        <f t="shared" si="0"/>
        <v>LLD</v>
      </c>
      <c r="P23">
        <f t="shared" si="1"/>
        <v>1.7839580871721897E-5</v>
      </c>
      <c r="Q23">
        <f t="shared" si="2"/>
        <v>1.0855315783213229E-3</v>
      </c>
      <c r="R23">
        <f t="shared" si="3"/>
        <v>1.3540775457913988E-3</v>
      </c>
      <c r="T23">
        <f t="shared" si="4"/>
        <v>0.70307258555834651</v>
      </c>
      <c r="U23">
        <f t="shared" si="5"/>
        <v>4.9572660862459698E-2</v>
      </c>
      <c r="V23" s="12">
        <f t="shared" si="6"/>
        <v>7.050859595541116E-2</v>
      </c>
    </row>
    <row r="24" spans="1:22" x14ac:dyDescent="0.25">
      <c r="A24" t="str">
        <f>Sm_Calculations!B30</f>
        <v>47G</v>
      </c>
      <c r="B24" s="36">
        <f>IF(Sm_Calculations!S30&gt;SUM($B$30:$D$30),(Sm_Calculations!S30-SUM($B$30:$D$30))*Sm_Calculations!A30,"LLD")</f>
        <v>7.8333395138720056E-4</v>
      </c>
      <c r="C24">
        <f>IF(Sm_Calculations!S30&gt;SUM($B$30:$D$30),((Sm_Calculations!T30^2+$B$31^2+$C$31^2+$D$31^2)^0.5)*Sm_Calculations!A30,"LLD")</f>
        <v>1.6000328247150204E-2</v>
      </c>
      <c r="D24" s="12">
        <f>IF(Sm_Calculations!S30&gt;0.007,C24/B24,"LLD")</f>
        <v>20.425934837645343</v>
      </c>
      <c r="E24" s="13">
        <f>IF(Sm_Calculations!V30&gt;SUM($E$30:$G$30),(Sm_Calculations!V30-SUM($E$30:$G$30))*Sm_Calculations!A30,"LLD")</f>
        <v>8.5314713313943951E-3</v>
      </c>
      <c r="F24">
        <f>IF(Sm_Calculations!V30&gt;SUM($E$30:$G$30),((Sm_Calculations!W30^2+$E$31^2+$F$31^2+$G$31^2)^0.5)*Sm_Calculations!A30,"LLD")</f>
        <v>1.0104986646970717E-4</v>
      </c>
      <c r="G24" s="12">
        <f>IF(Sm_Calculations!V30&gt;0,F24/E24,"LLD")</f>
        <v>1.1844365707221036E-2</v>
      </c>
      <c r="H24" s="13">
        <f>IF(Sm_Calculations!Y30&gt;SUM($H$30:$J$30),(Sm_Calculations!Y30-SUM($H$30:$J$30))*Sm_Calculations!A30,"LLD")</f>
        <v>8.2692339252375107E-3</v>
      </c>
      <c r="I24">
        <f>IF(Sm_Calculations!Y30&gt;SUM($H$30:$J$30),((Sm_Calculations!Z30^2+$H$31^2+$I$31^2+$J$31^2)^0.5)*Sm_Calculations!A30,"LLD")</f>
        <v>3.2000768476930314E-2</v>
      </c>
      <c r="J24" s="12">
        <f>IF(Sm_Calculations!Y30&gt;0.014,I24/H24,"LLD")</f>
        <v>3.8698588969970613</v>
      </c>
      <c r="K24" s="13">
        <f>IF(Sm_Calculations!AB30&gt;SUM($K$30:$M$30),(Sm_Calculations!AB30-SUM($K$30:$M$30))*Sm_Calculations!A30,"LLD")</f>
        <v>1.0658047960423363E-3</v>
      </c>
      <c r="L24">
        <f>IF(Sm_Calculations!AB30&gt;SUM($K$30:$M$30),((Sm_Calculations!AC30^2+$K$31^2+$L$31^2+$M$31^2)^0.5)*Sm_Calculations!A30,"LLD")</f>
        <v>2.9411495282532261E-2</v>
      </c>
      <c r="M24" s="12">
        <f>IF(Sm_Calculations!AB30&gt;(0.012+0.0048),L24/K24,"LLD")</f>
        <v>27.595574153678296</v>
      </c>
      <c r="N24" s="30"/>
      <c r="O24">
        <f t="shared" si="0"/>
        <v>2.5601050401655271E-4</v>
      </c>
      <c r="P24">
        <f t="shared" si="1"/>
        <v>1.0211075513545649E-8</v>
      </c>
      <c r="Q24">
        <f t="shared" si="2"/>
        <v>1.0240491831140968E-3</v>
      </c>
      <c r="R24">
        <f t="shared" si="3"/>
        <v>8.6503605475441738E-4</v>
      </c>
      <c r="T24">
        <f t="shared" si="4"/>
        <v>1.8649844004061441E-2</v>
      </c>
      <c r="U24">
        <f t="shared" si="5"/>
        <v>4.6315288544503105E-2</v>
      </c>
      <c r="V24" s="12">
        <f t="shared" si="6"/>
        <v>2.4834142598949818</v>
      </c>
    </row>
    <row r="25" spans="1:22" x14ac:dyDescent="0.25">
      <c r="A25" t="str">
        <f>Sm_Calculations!B31</f>
        <v>48G</v>
      </c>
      <c r="B25" s="36" t="str">
        <f>IF(Sm_Calculations!S31&gt;SUM($B$30:$D$30),(Sm_Calculations!S31-SUM($B$30:$D$30))*Sm_Calculations!A31,"LLD")</f>
        <v>LLD</v>
      </c>
      <c r="C25" t="str">
        <f>IF(Sm_Calculations!S31&gt;SUM($B$30:$D$30),((Sm_Calculations!T31^2+$B$31^2+$C$31^2+$D$31^2)^0.5)*Sm_Calculations!A31,"LLD")</f>
        <v>LLD</v>
      </c>
      <c r="D25" s="12" t="str">
        <f>IF(Sm_Calculations!S31&gt;0.007,C25/B25,"LLD")</f>
        <v>LLD</v>
      </c>
      <c r="E25" s="13">
        <f>IF(Sm_Calculations!V31&gt;SUM($E$30:$G$30),(Sm_Calculations!V31-SUM($E$30:$G$30))*Sm_Calculations!A31,"LLD")</f>
        <v>2.0880939633704928E-3</v>
      </c>
      <c r="F25">
        <f>IF(Sm_Calculations!V31&gt;SUM($E$30:$G$30),((Sm_Calculations!W31^2+$E$31^2+$F$31^2+$G$31^2)^0.5)*Sm_Calculations!A31,"LLD")</f>
        <v>3.803846728908288E-5</v>
      </c>
      <c r="G25" s="12">
        <f>IF(Sm_Calculations!V31&gt;0,F25/E25,"LLD")</f>
        <v>1.8216836960575838E-2</v>
      </c>
      <c r="H25" s="13" t="str">
        <f>IF(Sm_Calculations!Y31&gt;SUM($H$30:$J$30),(Sm_Calculations!Y31-SUM($H$30:$J$30))*Sm_Calculations!A31,"LLD")</f>
        <v>LLD</v>
      </c>
      <c r="I25" t="str">
        <f>IF(Sm_Calculations!Y31&gt;SUM($H$30:$J$30),((Sm_Calculations!Z31^2+$H$31^2+$I$31^2+$J$31^2)^0.5)*Sm_Calculations!A31,"LLD")</f>
        <v>LLD</v>
      </c>
      <c r="J25" s="12" t="str">
        <f>IF(Sm_Calculations!Y31&gt;0.014,I25/H25,"LLD")</f>
        <v>LLD</v>
      </c>
      <c r="K25" s="13" t="str">
        <f>IF(Sm_Calculations!AB31&gt;SUM($K$30:$M$30),(Sm_Calculations!AB31-SUM($K$30:$M$30))*Sm_Calculations!A31,"LLD")</f>
        <v>LLD</v>
      </c>
      <c r="L25" t="str">
        <f>IF(Sm_Calculations!AB31&gt;SUM($K$30:$M$30),((Sm_Calculations!AC31^2+$K$31^2+$L$31^2+$M$31^2)^0.5)*Sm_Calculations!A31,"LLD")</f>
        <v>LLD</v>
      </c>
      <c r="M25" s="12" t="str">
        <f>IF(Sm_Calculations!AB31&gt;(0.012+0.0048),L25/K25,"LLD")</f>
        <v>LLD</v>
      </c>
      <c r="N25" s="30"/>
      <c r="O25" t="str">
        <f t="shared" si="0"/>
        <v>LLD</v>
      </c>
      <c r="P25">
        <f t="shared" si="1"/>
        <v>1.4469249937026282E-9</v>
      </c>
      <c r="Q25" t="str">
        <f t="shared" si="2"/>
        <v>LLD</v>
      </c>
      <c r="R25" t="str">
        <f t="shared" si="3"/>
        <v>LLD</v>
      </c>
      <c r="T25">
        <f t="shared" si="4"/>
        <v>2.0880939633704928E-3</v>
      </c>
      <c r="U25">
        <f t="shared" si="5"/>
        <v>3.803846728908288E-5</v>
      </c>
      <c r="V25" s="12">
        <f t="shared" si="6"/>
        <v>1.8216836960575838E-2</v>
      </c>
    </row>
    <row r="26" spans="1:22" x14ac:dyDescent="0.25">
      <c r="A26" t="str">
        <f>Sm_Calculations!B32</f>
        <v>49G</v>
      </c>
      <c r="B26" s="36" t="str">
        <f>IF(Sm_Calculations!S32&gt;SUM($B$30:$D$30),(Sm_Calculations!S32-SUM($B$30:$D$30))*Sm_Calculations!A32,"LLD")</f>
        <v>LLD</v>
      </c>
      <c r="C26" t="str">
        <f>IF(Sm_Calculations!S32&gt;SUM($B$30:$D$30),((Sm_Calculations!T32^2+$B$31^2+$C$31^2+$D$31^2)^0.5)*Sm_Calculations!A32,"LLD")</f>
        <v>LLD</v>
      </c>
      <c r="D26" s="12" t="str">
        <f>IF(Sm_Calculations!S32&gt;0.007,C26/B26,"LLD")</f>
        <v>LLD</v>
      </c>
      <c r="E26" s="13">
        <f>IF(Sm_Calculations!V32&gt;SUM($E$30:$G$30),(Sm_Calculations!V32-SUM($E$30:$G$30))*Sm_Calculations!A32,"LLD")</f>
        <v>5.6811730911574747E-4</v>
      </c>
      <c r="F26">
        <f>IF(Sm_Calculations!V32&gt;SUM($E$30:$G$30),((Sm_Calculations!W32^2+$E$31^2+$F$31^2+$G$31^2)^0.5)*Sm_Calculations!A32,"LLD")</f>
        <v>1.8447204533528316E-5</v>
      </c>
      <c r="G26" s="12">
        <f>IF(Sm_Calculations!V32&gt;0,F26/E26,"LLD")</f>
        <v>3.247076657854462E-2</v>
      </c>
      <c r="H26" s="13" t="str">
        <f>IF(Sm_Calculations!Y32&gt;SUM($H$30:$J$30),(Sm_Calculations!Y32-SUM($H$30:$J$30))*Sm_Calculations!A32,"LLD")</f>
        <v>LLD</v>
      </c>
      <c r="I26" t="str">
        <f>IF(Sm_Calculations!Y32&gt;SUM($H$30:$J$30),((Sm_Calculations!Z32^2+$H$31^2+$I$31^2+$J$31^2)^0.5)*Sm_Calculations!A32,"LLD")</f>
        <v>LLD</v>
      </c>
      <c r="J26" s="12" t="str">
        <f>IF(Sm_Calculations!Y32&gt;0.014,I26/H26,"LLD")</f>
        <v>LLD</v>
      </c>
      <c r="K26" s="13" t="str">
        <f>IF(Sm_Calculations!AB32&gt;SUM($K$30:$M$30),(Sm_Calculations!AB32-SUM($K$30:$M$30))*Sm_Calculations!A32,"LLD")</f>
        <v>LLD</v>
      </c>
      <c r="L26" t="str">
        <f>IF(Sm_Calculations!AB32&gt;SUM($K$30:$M$30),((Sm_Calculations!AC32^2+$K$31^2+$L$31^2+$M$31^2)^0.5)*Sm_Calculations!A32,"LLD")</f>
        <v>LLD</v>
      </c>
      <c r="M26" s="12" t="str">
        <f>IF(Sm_Calculations!AB32&gt;(0.012+0.0048),L26/K26,"LLD")</f>
        <v>LLD</v>
      </c>
      <c r="N26" s="30"/>
      <c r="O26" t="str">
        <f t="shared" si="0"/>
        <v>LLD</v>
      </c>
      <c r="P26">
        <f t="shared" si="1"/>
        <v>3.4029935510182766E-10</v>
      </c>
      <c r="Q26" t="str">
        <f t="shared" si="2"/>
        <v>LLD</v>
      </c>
      <c r="R26" t="str">
        <f t="shared" si="3"/>
        <v>LLD</v>
      </c>
      <c r="T26">
        <f t="shared" si="4"/>
        <v>5.6811730911574747E-4</v>
      </c>
      <c r="U26">
        <f t="shared" si="5"/>
        <v>1.8447204533528316E-5</v>
      </c>
      <c r="V26" s="12">
        <f t="shared" si="6"/>
        <v>3.247076657854462E-2</v>
      </c>
    </row>
    <row r="27" spans="1:22" x14ac:dyDescent="0.25">
      <c r="A27" t="str">
        <f>Sm_Calculations!B33</f>
        <v>50G</v>
      </c>
      <c r="B27" s="36">
        <f>IF(Sm_Calculations!S33&gt;SUM($B$30:$D$30),(Sm_Calculations!S33-SUM($B$30:$D$30))*Sm_Calculations!A33,"LLD")</f>
        <v>9.5664399762042125E-4</v>
      </c>
      <c r="C27">
        <f>IF(Sm_Calculations!S33&gt;SUM($B$30:$D$30),((Sm_Calculations!T33^2+$B$31^2+$C$31^2+$D$31^2)^0.5)*Sm_Calculations!A33,"LLD")</f>
        <v>1.6000339833898494E-2</v>
      </c>
      <c r="D27" s="12">
        <f>IF(Sm_Calculations!S33&gt;0.007,C27/B27,"LLD")</f>
        <v>16.725490228024338</v>
      </c>
      <c r="E27" s="13">
        <f>IF(Sm_Calculations!V33&gt;SUM($E$30:$G$30),(Sm_Calculations!V33-SUM($E$30:$G$30))*Sm_Calculations!A33,"LLD")</f>
        <v>9.3505789236283804E-3</v>
      </c>
      <c r="F27">
        <f>IF(Sm_Calculations!V33&gt;SUM($E$30:$G$30),((Sm_Calculations!W33^2+$E$31^2+$F$31^2+$G$31^2)^0.5)*Sm_Calculations!A33,"LLD")</f>
        <v>1.085273418683802E-4</v>
      </c>
      <c r="G27" s="12">
        <f>IF(Sm_Calculations!V33&gt;0,F27/E27,"LLD")</f>
        <v>1.160648370061214E-2</v>
      </c>
      <c r="H27" s="13">
        <f>IF(Sm_Calculations!Y33&gt;SUM($H$30:$J$30),(Sm_Calculations!Y33-SUM($H$30:$J$30))*Sm_Calculations!A33,"LLD")</f>
        <v>1.1419844046925315E-2</v>
      </c>
      <c r="I27">
        <f>IF(Sm_Calculations!Y33&gt;SUM($H$30:$J$30),((Sm_Calculations!Z33^2+$H$31^2+$I$31^2+$J$31^2)^0.5)*Sm_Calculations!A33,"LLD")</f>
        <v>3.2000970903643115E-2</v>
      </c>
      <c r="J27" s="12">
        <f>IF(Sm_Calculations!Y33&gt;0.014,I27/H27,"LLD")</f>
        <v>2.8022248615784799</v>
      </c>
      <c r="K27" s="13" t="str">
        <f>IF(Sm_Calculations!AB33&gt;SUM($K$30:$M$30),(Sm_Calculations!AB33-SUM($K$30:$M$30))*Sm_Calculations!A33,"LLD")</f>
        <v>LLD</v>
      </c>
      <c r="L27" t="str">
        <f>IF(Sm_Calculations!AB33&gt;SUM($K$30:$M$30),((Sm_Calculations!AC33^2+$K$31^2+$L$31^2+$M$31^2)^0.5)*Sm_Calculations!A33,"LLD")</f>
        <v>LLD</v>
      </c>
      <c r="M27" s="12" t="str">
        <f>IF(Sm_Calculations!AB33&gt;(0.012+0.0048),L27/K27,"LLD")</f>
        <v>LLD</v>
      </c>
      <c r="N27" s="30"/>
      <c r="O27">
        <f t="shared" si="0"/>
        <v>2.560108748002389E-4</v>
      </c>
      <c r="P27">
        <f t="shared" si="1"/>
        <v>1.1778183933016271E-8</v>
      </c>
      <c r="Q27">
        <f t="shared" si="2"/>
        <v>1.0240621387758132E-3</v>
      </c>
      <c r="R27" t="str">
        <f t="shared" si="3"/>
        <v>LLD</v>
      </c>
      <c r="T27">
        <f t="shared" si="4"/>
        <v>2.1727066968174114E-2</v>
      </c>
      <c r="U27">
        <f t="shared" si="5"/>
        <v>3.5778272621242981E-2</v>
      </c>
      <c r="V27" s="12">
        <f t="shared" si="6"/>
        <v>1.6467143344129755</v>
      </c>
    </row>
    <row r="28" spans="1:22" x14ac:dyDescent="0.25">
      <c r="A28" t="str">
        <f>Sm_Calculations!B34</f>
        <v>51G</v>
      </c>
      <c r="B28" s="36">
        <f>IF(Sm_Calculations!S34&gt;SUM($B$30:$D$30),(Sm_Calculations!S34-SUM($B$30:$D$30))*Sm_Calculations!A34,"LLD")</f>
        <v>1.0544541394398336E-3</v>
      </c>
      <c r="C28">
        <f>IF(Sm_Calculations!S34&gt;SUM($B$30:$D$30),((Sm_Calculations!T34^2+$B$31^2+$C$31^2+$D$31^2)^0.5)*Sm_Calculations!A34,"LLD")</f>
        <v>1.6000348240966394E-2</v>
      </c>
      <c r="D28" s="12">
        <f>IF(Sm_Calculations!S34&gt;0.007,C28/B28,"LLD")</f>
        <v>15.174057972275959</v>
      </c>
      <c r="E28" s="13">
        <f>IF(Sm_Calculations!V34&gt;SUM($E$30:$G$30),(Sm_Calculations!V34-SUM($E$30:$G$30))*Sm_Calculations!A34,"LLD")</f>
        <v>9.724145442248219E-3</v>
      </c>
      <c r="F28">
        <f>IF(Sm_Calculations!V34&gt;SUM($E$30:$G$30),((Sm_Calculations!W34^2+$E$31^2+$F$31^2+$G$31^2)^0.5)*Sm_Calculations!A34,"LLD")</f>
        <v>1.1222731714920587E-4</v>
      </c>
      <c r="G28" s="12">
        <f>IF(Sm_Calculations!V34&gt;0,F28/E28,"LLD")</f>
        <v>1.1541098168031817E-2</v>
      </c>
      <c r="H28" s="13">
        <f>IF(Sm_Calculations!Y34&gt;SUM($H$30:$J$30),(Sm_Calculations!Y34-SUM($H$30:$J$30))*Sm_Calculations!A34,"LLD")</f>
        <v>1.0765255018784914E-2</v>
      </c>
      <c r="I28">
        <f>IF(Sm_Calculations!Y34&gt;SUM($H$30:$J$30),((Sm_Calculations!Z34^2+$H$31^2+$I$31^2+$J$31^2)^0.5)*Sm_Calculations!A34,"LLD")</f>
        <v>3.2000929395781585E-2</v>
      </c>
      <c r="J28" s="12">
        <f>IF(Sm_Calculations!Y34&gt;0.014,I28/H28,"LLD")</f>
        <v>2.9726122920396514</v>
      </c>
      <c r="K28" s="13">
        <f>IF(Sm_Calculations!AB34&gt;SUM($K$30:$M$30),(Sm_Calculations!AB34-SUM($K$30:$M$30))*Sm_Calculations!A34,"LLD")</f>
        <v>4.5570130212150076E-4</v>
      </c>
      <c r="L28">
        <f>IF(Sm_Calculations!AB34&gt;SUM($K$30:$M$30),((Sm_Calculations!AC34^2+$K$31^2+$L$31^2+$M$31^2)^0.5)*Sm_Calculations!A34,"LLD")</f>
        <v>2.9411461146732071E-2</v>
      </c>
      <c r="M28" s="12">
        <f>IF(Sm_Calculations!AB34&gt;(0.012+0.0048),L28/K28,"LLD")</f>
        <v>64.541095252105023</v>
      </c>
      <c r="N28" s="30"/>
      <c r="O28">
        <f t="shared" si="0"/>
        <v>2.5601114383219637E-4</v>
      </c>
      <c r="P28">
        <f t="shared" si="1"/>
        <v>1.2594970714508439E-8</v>
      </c>
      <c r="Q28">
        <f t="shared" si="2"/>
        <v>1.024059482193798E-3</v>
      </c>
      <c r="R28">
        <f t="shared" si="3"/>
        <v>8.6503404678573022E-4</v>
      </c>
      <c r="T28">
        <f t="shared" si="4"/>
        <v>2.1999555902594465E-2</v>
      </c>
      <c r="U28">
        <f t="shared" si="5"/>
        <v>4.6315410694308203E-2</v>
      </c>
      <c r="V28" s="12">
        <f t="shared" si="6"/>
        <v>2.1052884385200752</v>
      </c>
    </row>
    <row r="29" spans="1:22" ht="15.75" thickBot="1" x14ac:dyDescent="0.3">
      <c r="A29" t="str">
        <f>Sm_Calculations!B35</f>
        <v>52G</v>
      </c>
      <c r="B29" s="36">
        <f>IF(Sm_Calculations!S35&gt;SUM($B$30:$D$30),(Sm_Calculations!S35-SUM($B$30:$D$30))*Sm_Calculations!A35,"LLD")</f>
        <v>8.5114970937859042E-4</v>
      </c>
      <c r="C29">
        <f>IF(Sm_Calculations!S35&gt;SUM($B$30:$D$30),((Sm_Calculations!T35^2+$B$31^2+$C$31^2+$D$31^2)^0.5)*Sm_Calculations!A35,"LLD")</f>
        <v>1.6000335752671756E-2</v>
      </c>
      <c r="D29" s="12">
        <f>IF(Sm_Calculations!S35&gt;0.007,C29/B29,"LLD")</f>
        <v>18.798497580823145</v>
      </c>
      <c r="E29" s="13">
        <f>IF(Sm_Calculations!V35&gt;SUM($E$30:$G$30),(Sm_Calculations!V35-SUM($E$30:$G$30))*Sm_Calculations!A35,"LLD")</f>
        <v>9.5228402104062145E-3</v>
      </c>
      <c r="F29">
        <f>IF(Sm_Calculations!V35&gt;SUM($E$30:$G$30),((Sm_Calculations!W35^2+$E$31^2+$F$31^2+$G$31^2)^0.5)*Sm_Calculations!A35,"LLD")</f>
        <v>1.1065513141415522E-4</v>
      </c>
      <c r="G29" s="12">
        <f>IF(Sm_Calculations!V35&gt;0,F29/E29,"LLD")</f>
        <v>1.1619971454864412E-2</v>
      </c>
      <c r="H29" s="13">
        <f>IF(Sm_Calculations!Y35&gt;SUM($H$30:$J$30),(Sm_Calculations!Y35-SUM($H$30:$J$30))*Sm_Calculations!A35,"LLD")</f>
        <v>1.1681000785937931E-2</v>
      </c>
      <c r="I29">
        <f>IF(Sm_Calculations!Y35&gt;SUM($H$30:$J$30),((Sm_Calculations!Z35^2+$H$31^2+$I$31^2+$J$31^2)^0.5)*Sm_Calculations!A35,"LLD")</f>
        <v>3.2000993900849303E-2</v>
      </c>
      <c r="J29" s="12">
        <f>IF(Sm_Calculations!Y35&gt;0.014,I29/H29,"LLD")</f>
        <v>2.7395763845314876</v>
      </c>
      <c r="K29" s="13">
        <f>IF(Sm_Calculations!AB35&gt;SUM($K$30:$M$30),(Sm_Calculations!AB35-SUM($K$30:$M$30))*Sm_Calculations!A35,"LLD")</f>
        <v>6.7309937392872471E-4</v>
      </c>
      <c r="L29">
        <f>IF(Sm_Calculations!AB35&gt;SUM($K$30:$M$30),((Sm_Calculations!AC35^2+$K$31^2+$L$31^2+$M$31^2)^0.5)*Sm_Calculations!A35,"LLD")</f>
        <v>2.9411475660284191E-2</v>
      </c>
      <c r="M29" s="12">
        <f>IF(Sm_Calculations!AB35&gt;(0.012+0.0048),L29/K29,"LLD")</f>
        <v>43.695592061861888</v>
      </c>
      <c r="N29" s="30"/>
      <c r="O29">
        <f t="shared" si="0"/>
        <v>2.5601074419822603E-4</v>
      </c>
      <c r="P29">
        <f t="shared" si="1"/>
        <v>1.2244558108283962E-8</v>
      </c>
      <c r="Q29">
        <f t="shared" si="2"/>
        <v>1.0240636106421943E-3</v>
      </c>
      <c r="R29">
        <f t="shared" si="3"/>
        <v>8.6503490051548942E-4</v>
      </c>
      <c r="T29">
        <f t="shared" si="4"/>
        <v>2.2728090079651458E-2</v>
      </c>
      <c r="U29">
        <f t="shared" si="5"/>
        <v>4.6315456382443408E-2</v>
      </c>
      <c r="V29" s="12">
        <f t="shared" si="6"/>
        <v>2.0378067941533637</v>
      </c>
    </row>
    <row r="30" spans="1:22" ht="31.5" thickTop="1" thickBot="1" x14ac:dyDescent="0.3">
      <c r="A30" s="53" t="s">
        <v>69</v>
      </c>
      <c r="B30" s="58">
        <f>B36*PPB_Nd_to_Stock!$B$16</f>
        <v>7.0000000000000001E-3</v>
      </c>
      <c r="C30" s="58">
        <f>C36*PPB_Nd_to_Stock!$B$16</f>
        <v>0</v>
      </c>
      <c r="D30" s="58">
        <f>D36*PPB_Nd_to_Stock!$B$16</f>
        <v>0</v>
      </c>
      <c r="E30" s="58">
        <f>E36*PPB_Nd_to_Stock!$B$16</f>
        <v>0</v>
      </c>
      <c r="F30" s="58">
        <f>F36*PPB_Nd_to_Stock!$B$16</f>
        <v>0</v>
      </c>
      <c r="G30" s="58">
        <f>G36*PPB_Nd_to_Stock!$B$16</f>
        <v>0</v>
      </c>
      <c r="H30" s="58">
        <f>H36*PPB_Nd_to_Stock!$B$16</f>
        <v>1.4E-2</v>
      </c>
      <c r="I30" s="58">
        <f>I36*PPB_Nd_to_Stock!$B$16</f>
        <v>0</v>
      </c>
      <c r="J30" s="58">
        <f>J36*PPB_Nd_to_Stock!$B$16</f>
        <v>0</v>
      </c>
      <c r="K30" s="58">
        <f>K36*PPB_Nd_to_Stock!$B$16</f>
        <v>1.2E-2</v>
      </c>
      <c r="L30" s="58">
        <f>L36*PPB_Nd_to_Stock!$B$16</f>
        <v>0</v>
      </c>
      <c r="M30" s="58">
        <f>M36*PPB_Nd_to_Stock!$B$16</f>
        <v>4.7999999999999996E-3</v>
      </c>
      <c r="N30" s="30"/>
      <c r="V30" s="12"/>
    </row>
    <row r="31" spans="1:22" ht="16.5" thickTop="1" thickBot="1" x14ac:dyDescent="0.3">
      <c r="A31" s="57" t="s">
        <v>68</v>
      </c>
      <c r="B31" s="58">
        <f>B37*PPB_Nd_to_Stock!$B$16</f>
        <v>1.6E-2</v>
      </c>
      <c r="C31" s="58">
        <f>C37*PPB_Nd_to_Stock!$B$16</f>
        <v>0</v>
      </c>
      <c r="D31" s="58">
        <f>D37*PPB_Nd_to_Stock!$B$16</f>
        <v>0</v>
      </c>
      <c r="E31" s="58">
        <f>E37*PPB_Nd_to_Stock!$B$16</f>
        <v>0</v>
      </c>
      <c r="F31" s="58">
        <f>F37*PPB_Nd_to_Stock!$B$16</f>
        <v>0</v>
      </c>
      <c r="G31" s="58">
        <f>G37*PPB_Nd_to_Stock!$B$16</f>
        <v>0</v>
      </c>
      <c r="H31" s="58">
        <f>H37*PPB_Nd_to_Stock!$B$16</f>
        <v>3.2000000000000001E-2</v>
      </c>
      <c r="I31" s="58">
        <f>I37*PPB_Nd_to_Stock!$B$16</f>
        <v>0</v>
      </c>
      <c r="J31" s="58">
        <f>J37*PPB_Nd_to_Stock!$B$16</f>
        <v>0</v>
      </c>
      <c r="K31" s="58">
        <f>K37*PPB_Nd_to_Stock!$B$16</f>
        <v>2.8000000000000001E-2</v>
      </c>
      <c r="L31" s="58">
        <f>L37*PPB_Nd_to_Stock!$B$16</f>
        <v>0</v>
      </c>
      <c r="M31" s="58">
        <f>M37*PPB_Nd_to_Stock!$B$16</f>
        <v>8.9999999999999993E-3</v>
      </c>
    </row>
    <row r="32" spans="1:22" ht="15.75" thickTop="1" x14ac:dyDescent="0.25">
      <c r="B32" t="s">
        <v>56</v>
      </c>
      <c r="N32" s="29"/>
      <c r="T32" t="s">
        <v>41</v>
      </c>
    </row>
    <row r="33" spans="2:20" x14ac:dyDescent="0.25">
      <c r="B33" t="s">
        <v>57</v>
      </c>
      <c r="N33" s="29"/>
      <c r="T33" t="s">
        <v>42</v>
      </c>
    </row>
    <row r="34" spans="2:20" x14ac:dyDescent="0.25">
      <c r="T34" t="s">
        <v>44</v>
      </c>
    </row>
    <row r="35" spans="2:20" ht="15.75" thickBot="1" x14ac:dyDescent="0.3"/>
    <row r="36" spans="2:20" ht="15.75" thickTop="1" x14ac:dyDescent="0.25">
      <c r="B36" s="58">
        <v>7.0000000000000001E-3</v>
      </c>
      <c r="C36" s="54"/>
      <c r="D36" s="55"/>
      <c r="E36" s="58"/>
      <c r="F36" s="54">
        <v>0</v>
      </c>
      <c r="G36" s="55"/>
      <c r="H36" s="58">
        <v>1.4E-2</v>
      </c>
      <c r="I36" s="54">
        <v>0</v>
      </c>
      <c r="J36" s="55"/>
      <c r="K36" s="58">
        <v>1.2E-2</v>
      </c>
      <c r="L36" s="54"/>
      <c r="M36" s="56">
        <v>4.7999999999999996E-3</v>
      </c>
    </row>
    <row r="37" spans="2:20" ht="15.75" thickBot="1" x14ac:dyDescent="0.3">
      <c r="B37" s="57">
        <v>1.6E-2</v>
      </c>
      <c r="C37" s="50"/>
      <c r="D37" s="50"/>
      <c r="E37" s="57"/>
      <c r="F37" s="50">
        <v>0</v>
      </c>
      <c r="G37" s="50"/>
      <c r="H37" s="57">
        <v>3.2000000000000001E-2</v>
      </c>
      <c r="I37" s="50">
        <v>0</v>
      </c>
      <c r="J37" s="50"/>
      <c r="K37" s="57">
        <v>2.8000000000000001E-2</v>
      </c>
      <c r="L37" s="50"/>
      <c r="M37" s="52">
        <v>8.9999999999999993E-3</v>
      </c>
    </row>
    <row r="38" spans="2:20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topLeftCell="D13" workbookViewId="0">
      <selection activeCell="E33" sqref="E33"/>
    </sheetView>
  </sheetViews>
  <sheetFormatPr defaultRowHeight="15" x14ac:dyDescent="0.25"/>
  <cols>
    <col min="1" max="1" width="12.7109375" customWidth="1"/>
  </cols>
  <sheetData>
    <row r="1" spans="1:24" x14ac:dyDescent="0.25">
      <c r="I1" t="s">
        <v>73</v>
      </c>
    </row>
    <row r="2" spans="1:24" x14ac:dyDescent="0.25">
      <c r="A2" s="44" t="s">
        <v>0</v>
      </c>
      <c r="B2" t="s">
        <v>71</v>
      </c>
      <c r="C2" t="s">
        <v>33</v>
      </c>
      <c r="D2" t="s">
        <v>36</v>
      </c>
      <c r="E2" t="s">
        <v>72</v>
      </c>
      <c r="F2" t="s">
        <v>33</v>
      </c>
      <c r="G2" t="s">
        <v>36</v>
      </c>
      <c r="I2" t="str">
        <f>PPB_Sm_Aliquot_Sent!B1</f>
        <v>Sm 149</v>
      </c>
      <c r="J2" t="str">
        <f>PPB_Sm_Aliquot_Sent!C1</f>
        <v>±</v>
      </c>
      <c r="K2" t="str">
        <f>PPB_Sm_Aliquot_Sent!D1</f>
        <v>%</v>
      </c>
      <c r="L2" t="str">
        <f>PPB_Sm_Aliquot_Sent!E1</f>
        <v>Sm 151</v>
      </c>
      <c r="M2" t="str">
        <f>PPB_Sm_Aliquot_Sent!F1</f>
        <v>±</v>
      </c>
      <c r="N2" t="str">
        <f>PPB_Sm_Aliquot_Sent!G1</f>
        <v>%</v>
      </c>
      <c r="O2" t="str">
        <f>PPB_Sm_Aliquot_Sent!H1</f>
        <v>Sm 152</v>
      </c>
      <c r="P2" t="str">
        <f>PPB_Sm_Aliquot_Sent!I1</f>
        <v>±</v>
      </c>
      <c r="Q2" t="str">
        <f>PPB_Sm_Aliquot_Sent!J1</f>
        <v>%</v>
      </c>
      <c r="R2" t="str">
        <f>PPB_Sm_Aliquot_Sent!K1</f>
        <v>Sm 154</v>
      </c>
      <c r="S2" t="str">
        <f>PPB_Sm_Aliquot_Sent!L1</f>
        <v>±</v>
      </c>
      <c r="T2" t="str">
        <f>PPB_Sm_Aliquot_Sent!M1</f>
        <v>%</v>
      </c>
      <c r="U2" t="str">
        <f>PPB_Sm_Aliquot_Sent!T1</f>
        <v>Sum Sm</v>
      </c>
      <c r="V2" t="str">
        <f>PPB_Sm_Aliquot_Sent!U1</f>
        <v>±</v>
      </c>
      <c r="W2" t="str">
        <f>PPB_Sm_Aliquot_Sent!V1</f>
        <v>%</v>
      </c>
    </row>
    <row r="3" spans="1:24" ht="30" x14ac:dyDescent="0.25">
      <c r="A3" s="44" t="s">
        <v>4</v>
      </c>
      <c r="B3">
        <v>16.222168082066549</v>
      </c>
      <c r="C3">
        <v>0.18048887306052336</v>
      </c>
      <c r="D3">
        <v>1.1126063553739901E-2</v>
      </c>
      <c r="E3">
        <v>147.14483425909813</v>
      </c>
      <c r="F3">
        <v>3.3284350764654405</v>
      </c>
      <c r="G3">
        <v>2.2620128618342165E-2</v>
      </c>
      <c r="I3">
        <f>IF(PPB_Sm_Aliquot_Sent!B2="LLD","LLD",PPB_Sm_Aliquot_Sent!B2/B3)</f>
        <v>0.14598160623027615</v>
      </c>
      <c r="J3">
        <f>IF(I3="LLD","LLD",((PPB_Sm_Aliquot_Sent!C2/B3)^2+((PPB_Sm_Aliquot_Sent!B2*C3)^2)/(B3^4))^0.5)</f>
        <v>3.397484580394388E-3</v>
      </c>
      <c r="K3" s="12">
        <f>IF(I3="LLD","LLD",J3/I3)</f>
        <v>2.3273374421124569E-2</v>
      </c>
      <c r="L3">
        <f>IF(PPB_Sm_Aliquot_Sent!E2="LLD","LLD",PPB_Sm_Aliquot_Sent!E2/B3)</f>
        <v>0.17098922822796997</v>
      </c>
      <c r="M3">
        <f>IF(L3="LLD","LLD",((PPB_Sm_Aliquot_Sent!F2/B3)^2+((L3*C3)^2)/(B3^2))^0.5)</f>
        <v>3.6698362049265225E-3</v>
      </c>
      <c r="N3" s="12">
        <f>IF(L3="LLD","LLD",M3/L3)</f>
        <v>2.1462382414135138E-2</v>
      </c>
      <c r="O3">
        <f>IF(PPB_Sm_Aliquot_Sent!H2="LLD","LLD",PPB_Sm_Aliquot_Sent!H2/B3)</f>
        <v>0.4514910832788625</v>
      </c>
      <c r="P3">
        <f>IF(O3="LLD","LLD",((PPB_Sm_Aliquot_Sent!I2/B3)^2+((O3*C3)^2)/(B3^2))^0.5)</f>
        <v>9.6387399207039197E-3</v>
      </c>
      <c r="Q3" s="12">
        <f>IF(O3="LLD","LLD",P3/O3)</f>
        <v>2.1348682792812927E-2</v>
      </c>
      <c r="R3">
        <f>IF(PPB_Sm_Aliquot_Sent!K2="LLD","LLD",PPB_Sm_Aliquot_Sent!K2/B3)</f>
        <v>0.20410877221595941</v>
      </c>
      <c r="S3">
        <f>IF(R3="LLD","LLD",((PPB_Sm_Aliquot_Sent!L2/B3)^2+((R3*C3)^2)/(B3^2))^0.5)</f>
        <v>4.7528672105770359E-3</v>
      </c>
      <c r="T3" s="12">
        <f>IF(R3="LLD","LLD",S3/R3)</f>
        <v>2.3285952675998731E-2</v>
      </c>
      <c r="U3">
        <f>IF(PPB_Sm_Aliquot_Sent!T2="LLD","LLD",PPB_Sm_Aliquot_Sent!T2/B3)</f>
        <v>0.97257068995306817</v>
      </c>
      <c r="V3">
        <f>IF(U3="LLD","LLD",((PPB_Sm_Aliquot_Sent!U2/B3)^2+((U3*C3)^2)/(B3^2))^0.5)</f>
        <v>1.4864354531361134E-2</v>
      </c>
      <c r="W3">
        <f>IF(U3="LLD","LLD",V3/U3)</f>
        <v>1.528357237670654E-2</v>
      </c>
    </row>
    <row r="4" spans="1:24" ht="30" x14ac:dyDescent="0.25">
      <c r="A4" s="44" t="s">
        <v>5</v>
      </c>
      <c r="B4">
        <v>317.03283010032436</v>
      </c>
      <c r="C4">
        <v>1.7785995702331086</v>
      </c>
      <c r="D4">
        <v>5.6101431819230666E-3</v>
      </c>
      <c r="E4">
        <v>1209.5541597455838</v>
      </c>
      <c r="F4">
        <v>21.497816728767241</v>
      </c>
      <c r="G4">
        <v>1.7773339503283647E-2</v>
      </c>
      <c r="I4">
        <f>IF(PPB_Sm_Aliquot_Sent!B3="LLD","LLD",PPB_Sm_Aliquot_Sent!B3/B4)</f>
        <v>2.4510108702741605E-4</v>
      </c>
      <c r="J4">
        <f>IF(I4="LLD","LLD",((PPB_Sm_Aliquot_Sent!C3/B4)^2+((PPB_Sm_Aliquot_Sent!B3*C4)^2)/(B4^4))^0.5)</f>
        <v>5.0861262565243561E-5</v>
      </c>
      <c r="K4" s="12">
        <f t="shared" ref="K4:K30" si="0">IF(I4="LLD","LLD",J4/I4)</f>
        <v>0.207511370847386</v>
      </c>
      <c r="L4">
        <f>IF(PPB_Sm_Aliquot_Sent!E3="LLD","LLD",PPB_Sm_Aliquot_Sent!E3/B4)</f>
        <v>2.5681775623643204E-4</v>
      </c>
      <c r="M4">
        <f>IF(L4="LLD","LLD",((PPB_Sm_Aliquot_Sent!F3/B4)^2+((L4*C4)^2)/(B4^2))^0.5)</f>
        <v>6.0350627582343247E-6</v>
      </c>
      <c r="N4" s="12">
        <f t="shared" ref="N4:N30" si="1">IF(L4="LLD","LLD",M4/L4)</f>
        <v>2.3499398354210034E-2</v>
      </c>
      <c r="O4">
        <f>IF(PPB_Sm_Aliquot_Sent!H3="LLD","LLD",PPB_Sm_Aliquot_Sent!H3/B4)</f>
        <v>6.7265814824394427E-4</v>
      </c>
      <c r="P4">
        <f>IF(O4="LLD","LLD",((PPB_Sm_Aliquot_Sent!I3/B4)^2+((O4*C4)^2)/(B4^2))^0.5)</f>
        <v>1.0164287906299759E-4</v>
      </c>
      <c r="Q4" s="12">
        <f t="shared" ref="Q4:Q30" si="2">IF(O4="LLD","LLD",P4/O4)</f>
        <v>0.15110629274074605</v>
      </c>
      <c r="R4">
        <f>IF(PPB_Sm_Aliquot_Sent!K3="LLD","LLD",PPB_Sm_Aliquot_Sent!K3/B4)</f>
        <v>5.0442503040616106E-4</v>
      </c>
      <c r="S4">
        <f>IF(R4="LLD","LLD",((PPB_Sm_Aliquot_Sent!L3/B4)^2+((R4*C4)^2)/(B4^2))^0.5)</f>
        <v>9.3316763855196786E-5</v>
      </c>
      <c r="T4" s="12">
        <f t="shared" ref="T4:T30" si="3">IF(R4="LLD","LLD",S4/R4)</f>
        <v>0.18499629921231009</v>
      </c>
      <c r="U4">
        <f>IF(PPB_Sm_Aliquot_Sent!T3="LLD","LLD",PPB_Sm_Aliquot_Sent!T3/B4)</f>
        <v>1.6790020219139533E-3</v>
      </c>
      <c r="V4">
        <f>IF(U4="LLD","LLD",((PPB_Sm_Aliquot_Sent!U3/B4)^2+((U4*C4)^2)/(B4^2))^0.5)</f>
        <v>1.4739434641948817E-4</v>
      </c>
      <c r="W4">
        <f t="shared" ref="W4:W30" si="4">IF(U4="LLD","LLD",V4/U4)</f>
        <v>8.7786878452634734E-2</v>
      </c>
    </row>
    <row r="5" spans="1:24" ht="30" x14ac:dyDescent="0.25">
      <c r="A5" s="44" t="s">
        <v>6</v>
      </c>
      <c r="B5">
        <v>23.657804657347775</v>
      </c>
      <c r="C5">
        <v>0.11346477136017526</v>
      </c>
      <c r="D5">
        <v>4.7960820119856183E-3</v>
      </c>
      <c r="E5">
        <v>5.997005804364143</v>
      </c>
      <c r="F5">
        <v>0.10559180913132844</v>
      </c>
      <c r="G5">
        <v>1.7607421532673379E-2</v>
      </c>
      <c r="I5">
        <f>IF(PPB_Sm_Aliquot_Sent!B4="LLD","LLD",PPB_Sm_Aliquot_Sent!B4/B5)</f>
        <v>2.6968332126769805E-5</v>
      </c>
      <c r="J5">
        <f>IF(I5="LLD","LLD",((PPB_Sm_Aliquot_Sent!C4/B5)^2+((PPB_Sm_Aliquot_Sent!B4*C5)^2)/(B5^4))^0.5)</f>
        <v>6.765864109177656E-4</v>
      </c>
      <c r="K5" s="12">
        <f t="shared" si="0"/>
        <v>25.088181491437503</v>
      </c>
      <c r="L5">
        <f>IF(PPB_Sm_Aliquot_Sent!E4="LLD","LLD",PPB_Sm_Aliquot_Sent!E4/B5)</f>
        <v>1.7930255271494125E-4</v>
      </c>
      <c r="M5">
        <f>IF(L5="LLD","LLD",((PPB_Sm_Aliquot_Sent!F4/B5)^2+((L5*C5)^2)/(B5^2))^0.5)</f>
        <v>1.4306720177510495E-5</v>
      </c>
      <c r="N5" s="12">
        <f t="shared" si="1"/>
        <v>7.9790945309382189E-2</v>
      </c>
      <c r="O5" t="str">
        <f>IF(PPB_Sm_Aliquot_Sent!H4="LLD","LLD",PPB_Sm_Aliquot_Sent!H4/B5)</f>
        <v>LLD</v>
      </c>
      <c r="P5" t="str">
        <f>IF(O5="LLD","LLD",((PPB_Sm_Aliquot_Sent!I4/B5)^2+((O5*C5)^2)/(B5^2))^0.5)</f>
        <v>LLD</v>
      </c>
      <c r="Q5" s="12" t="str">
        <f t="shared" si="2"/>
        <v>LLD</v>
      </c>
      <c r="R5">
        <f>IF(PPB_Sm_Aliquot_Sent!K4="LLD","LLD",PPB_Sm_Aliquot_Sent!K4/B5)</f>
        <v>5.1504484070549522E-4</v>
      </c>
      <c r="S5">
        <f>IF(R5="LLD","LLD",((PPB_Sm_Aliquot_Sent!L4/B5)^2+((R5*C5)^2)/(B5^2))^0.5)</f>
        <v>1.2437956597463639E-3</v>
      </c>
      <c r="T5" s="12">
        <f t="shared" si="3"/>
        <v>2.4149269373180098</v>
      </c>
      <c r="U5">
        <f>IF(PPB_Sm_Aliquot_Sent!T4="LLD","LLD",PPB_Sm_Aliquot_Sent!T4/B5)</f>
        <v>7.2131572554720634E-4</v>
      </c>
      <c r="V5">
        <f>IF(U5="LLD","LLD",((PPB_Sm_Aliquot_Sent!U4/B5)^2+((U5*C5)^2)/(B5^2))^0.5)</f>
        <v>1.4159825588028155E-3</v>
      </c>
      <c r="W5">
        <f t="shared" si="4"/>
        <v>1.9630551624652566</v>
      </c>
    </row>
    <row r="6" spans="1:24" ht="30" x14ac:dyDescent="0.25">
      <c r="A6" s="44" t="s">
        <v>7</v>
      </c>
      <c r="B6">
        <v>1.8878511569293668</v>
      </c>
      <c r="C6">
        <v>1.1342253582892873E-2</v>
      </c>
      <c r="D6">
        <v>6.0080232179645504E-3</v>
      </c>
      <c r="E6">
        <v>4.8567704262399571</v>
      </c>
      <c r="F6">
        <v>8.7239407241545303E-2</v>
      </c>
      <c r="G6">
        <v>1.7962431736573723E-2</v>
      </c>
      <c r="I6" t="str">
        <f>IF(PPB_Sm_Aliquot_Sent!B5="LLD","LLD",PPB_Sm_Aliquot_Sent!B5/B6)</f>
        <v>LLD</v>
      </c>
      <c r="J6" t="str">
        <f>IF(I6="LLD","LLD",((PPB_Sm_Aliquot_Sent!C5/B6)^2+((PPB_Sm_Aliquot_Sent!B5*C6)^2)/(B6^4))^0.5)</f>
        <v>LLD</v>
      </c>
      <c r="K6" s="12" t="str">
        <f t="shared" si="0"/>
        <v>LLD</v>
      </c>
      <c r="L6">
        <f>IF(PPB_Sm_Aliquot_Sent!E5="LLD","LLD",PPB_Sm_Aliquot_Sent!E5/B6)</f>
        <v>9.268464172484437E-3</v>
      </c>
      <c r="M6">
        <f>IF(L6="LLD","LLD",((PPB_Sm_Aliquot_Sent!F5/B6)^2+((L6*C6)^2)/(B6^2))^0.5)</f>
        <v>4.374285144623441E-4</v>
      </c>
      <c r="N6" s="12">
        <f t="shared" si="1"/>
        <v>4.719536120784186E-2</v>
      </c>
      <c r="O6">
        <f>IF(PPB_Sm_Aliquot_Sent!H5="LLD","LLD",PPB_Sm_Aliquot_Sent!H5/B6)</f>
        <v>1.1150931608573543E-2</v>
      </c>
      <c r="P6">
        <f>IF(O6="LLD","LLD",((PPB_Sm_Aliquot_Sent!I5/B6)^2+((O6*C6)^2)/(B6^2))^0.5)</f>
        <v>1.6962280957207143E-2</v>
      </c>
      <c r="Q6" s="12">
        <f t="shared" si="2"/>
        <v>1.5211537073875931</v>
      </c>
      <c r="R6">
        <f>IF(PPB_Sm_Aliquot_Sent!K5="LLD","LLD",PPB_Sm_Aliquot_Sent!K5/B6)</f>
        <v>5.3811285549089934E-2</v>
      </c>
      <c r="S6">
        <f>IF(R6="LLD","LLD",((PPB_Sm_Aliquot_Sent!L5/B6)^2+((R6*C6)^2)/(B6^2))^0.5)</f>
        <v>1.5635610472022946E-2</v>
      </c>
      <c r="T6" s="12">
        <f t="shared" si="3"/>
        <v>0.29056377881474676</v>
      </c>
      <c r="U6">
        <f>IF(PPB_Sm_Aliquot_Sent!T5="LLD","LLD",PPB_Sm_Aliquot_Sent!T5/B6)</f>
        <v>7.4230681330147916E-2</v>
      </c>
      <c r="V6">
        <f>IF(U6="LLD","LLD",((PPB_Sm_Aliquot_Sent!U5/B6)^2+((U6*C6)^2)/(B6^2))^0.5)</f>
        <v>2.307529891364778E-2</v>
      </c>
      <c r="W6">
        <f t="shared" si="4"/>
        <v>0.31085931720090543</v>
      </c>
    </row>
    <row r="7" spans="1:24" ht="45" x14ac:dyDescent="0.25">
      <c r="A7" s="44" t="s">
        <v>8</v>
      </c>
      <c r="B7">
        <v>171.80960542702243</v>
      </c>
      <c r="C7">
        <v>1.1436143422057752</v>
      </c>
      <c r="D7">
        <v>6.6562887410362799E-3</v>
      </c>
      <c r="E7">
        <v>4408.1109922014384</v>
      </c>
      <c r="F7">
        <v>80.968583733039324</v>
      </c>
      <c r="G7">
        <v>1.8368090975087518E-2</v>
      </c>
      <c r="I7">
        <f>IF(PPB_Sm_Aliquot_Sent!B6="LLD","LLD",PPB_Sm_Aliquot_Sent!B6/B7)</f>
        <v>1.83266703452746E-2</v>
      </c>
      <c r="J7">
        <f>IF(I7="LLD","LLD",((PPB_Sm_Aliquot_Sent!C6/B7)^2+((PPB_Sm_Aliquot_Sent!B6*C7)^2)/(B7^4))^0.5)</f>
        <v>2.8289307753452783E-4</v>
      </c>
      <c r="K7" s="12">
        <f t="shared" si="0"/>
        <v>1.5436141546981542E-2</v>
      </c>
      <c r="L7">
        <f>IF(PPB_Sm_Aliquot_Sent!E6="LLD","LLD",PPB_Sm_Aliquot_Sent!E6/B7)</f>
        <v>2.1513474344603517E-2</v>
      </c>
      <c r="M7">
        <f>IF(L7="LLD","LLD",((PPB_Sm_Aliquot_Sent!F6/B7)^2+((L7*C7)^2)/(B7^2))^0.5)</f>
        <v>2.9062320154646815E-4</v>
      </c>
      <c r="N7" s="12">
        <f t="shared" si="1"/>
        <v>1.3508892003739446E-2</v>
      </c>
      <c r="O7">
        <f>IF(PPB_Sm_Aliquot_Sent!H6="LLD","LLD",PPB_Sm_Aliquot_Sent!H6/B7)</f>
        <v>5.4157307835329002E-2</v>
      </c>
      <c r="P7">
        <f>IF(O7="LLD","LLD",((PPB_Sm_Aliquot_Sent!I6/B7)^2+((O7*C7)^2)/(B7^2))^0.5)</f>
        <v>7.3575829758829806E-4</v>
      </c>
      <c r="Q7" s="12">
        <f t="shared" si="2"/>
        <v>1.3585577403984863E-2</v>
      </c>
      <c r="R7">
        <f>IF(PPB_Sm_Aliquot_Sent!K6="LLD","LLD",PPB_Sm_Aliquot_Sent!K6/B7)</f>
        <v>2.4194334868511545E-2</v>
      </c>
      <c r="S7">
        <f>IF(R7="LLD","LLD",((PPB_Sm_Aliquot_Sent!L6/B7)^2+((R7*C7)^2)/(B7^2))^0.5)</f>
        <v>3.7286138495767603E-4</v>
      </c>
      <c r="T7" s="12">
        <f t="shared" si="3"/>
        <v>1.5411102929014504E-2</v>
      </c>
      <c r="U7">
        <f>IF(PPB_Sm_Aliquot_Sent!T6="LLD","LLD",PPB_Sm_Aliquot_Sent!T6/B7)</f>
        <v>0.11819178739371868</v>
      </c>
      <c r="V7">
        <f>IF(U7="LLD","LLD",((PPB_Sm_Aliquot_Sent!U6/B7)^2+((U7*C7)^2)/(B7^2))^0.5)</f>
        <v>1.1280555493689392E-3</v>
      </c>
      <c r="W7">
        <f t="shared" si="4"/>
        <v>9.544280311212976E-3</v>
      </c>
    </row>
    <row r="8" spans="1:24" ht="45" x14ac:dyDescent="0.25">
      <c r="A8" s="16" t="s">
        <v>9</v>
      </c>
      <c r="B8" s="14">
        <v>4063.112460710674</v>
      </c>
      <c r="C8" s="14">
        <v>20.955813963647469</v>
      </c>
      <c r="D8" s="14">
        <v>5.1575766524518283E-3</v>
      </c>
      <c r="E8" s="14">
        <v>233709.3215890218</v>
      </c>
      <c r="F8" s="14">
        <v>4114.906078601146</v>
      </c>
      <c r="G8" s="14">
        <v>1.7606940324944396E-2</v>
      </c>
      <c r="H8" s="14"/>
      <c r="I8">
        <f>IF(PPB_Sm_Aliquot_Sent!B7="LLD","LLD",PPB_Sm_Aliquot_Sent!B7/B8)</f>
        <v>5.9507995321333106E-4</v>
      </c>
      <c r="J8">
        <f>IF(I8="LLD","LLD",((PPB_Sm_Aliquot_Sent!C7/B8)^2+((PPB_Sm_Aliquot_Sent!B7*C8)^2)/(B8^4))^0.5)</f>
        <v>8.5953249983442002E-6</v>
      </c>
      <c r="K8" s="20">
        <f t="shared" si="0"/>
        <v>1.4443983454544049E-2</v>
      </c>
      <c r="L8">
        <f>IF(PPB_Sm_Aliquot_Sent!E7="LLD","LLD",PPB_Sm_Aliquot_Sent!E7/B8)</f>
        <v>6.5556254624598686E-4</v>
      </c>
      <c r="M8">
        <f>IF(L8="LLD","LLD",((PPB_Sm_Aliquot_Sent!F7/B8)^2+((L8*C8)^2)/(B8^2))^0.5)</f>
        <v>7.6415624558306832E-6</v>
      </c>
      <c r="N8" s="20">
        <f t="shared" si="1"/>
        <v>1.1656496393195926E-2</v>
      </c>
      <c r="O8">
        <f>IF(PPB_Sm_Aliquot_Sent!H7="LLD","LLD",PPB_Sm_Aliquot_Sent!H7/B8)</f>
        <v>1.7409477168533209E-3</v>
      </c>
      <c r="P8">
        <f>IF(O8="LLD","LLD",((PPB_Sm_Aliquot_Sent!I7/B8)^2+((O8*C8)^2)/(B8^2))^0.5)</f>
        <v>2.112303634791763E-5</v>
      </c>
      <c r="Q8" s="20">
        <f t="shared" si="2"/>
        <v>1.2133067606473846E-2</v>
      </c>
      <c r="R8">
        <f>IF(PPB_Sm_Aliquot_Sent!K7="LLD","LLD",PPB_Sm_Aliquot_Sent!K7/B8)</f>
        <v>7.3283273098183647E-4</v>
      </c>
      <c r="S8">
        <f>IF(R8="LLD","LLD",((PPB_Sm_Aliquot_Sent!L7/B8)^2+((R8*C8)^2)/(B8^2))^0.5)</f>
        <v>1.1322660234499043E-5</v>
      </c>
      <c r="T8" s="20">
        <f t="shared" si="3"/>
        <v>1.5450538377740226E-2</v>
      </c>
      <c r="U8">
        <f>IF(PPB_Sm_Aliquot_Sent!T7="LLD","LLD",PPB_Sm_Aliquot_Sent!T7/B8)</f>
        <v>3.7244229472944757E-3</v>
      </c>
      <c r="V8">
        <f>IF(U8="LLD","LLD",((PPB_Sm_Aliquot_Sent!U7/B8)^2+((U8*C8)^2)/(B8^2))^0.5)</f>
        <v>3.0981975409064988E-5</v>
      </c>
      <c r="W8">
        <f t="shared" si="4"/>
        <v>8.3185974975186847E-3</v>
      </c>
      <c r="X8" s="14"/>
    </row>
    <row r="9" spans="1:24" ht="30" x14ac:dyDescent="0.25">
      <c r="A9" s="44" t="s">
        <v>19</v>
      </c>
      <c r="B9">
        <v>251.28666680903572</v>
      </c>
      <c r="C9">
        <v>0.9380661224376633</v>
      </c>
      <c r="D9">
        <v>3.7330517147992686E-3</v>
      </c>
      <c r="E9">
        <v>5668.3036690166873</v>
      </c>
      <c r="F9">
        <v>97.239223219752219</v>
      </c>
      <c r="G9">
        <v>1.7154907164072395E-2</v>
      </c>
      <c r="I9">
        <f>IF(PPB_Sm_Aliquot_Sent!B8="LLD","LLD",PPB_Sm_Aliquot_Sent!B8/B9)</f>
        <v>2.7045812125137228E-4</v>
      </c>
      <c r="J9">
        <f>IF(I9="LLD","LLD",((PPB_Sm_Aliquot_Sent!C8/B9)^2+((PPB_Sm_Aliquot_Sent!B8*C9)^2)/(B9^4))^0.5)</f>
        <v>6.3889552276548479E-5</v>
      </c>
      <c r="K9" s="12">
        <f t="shared" si="0"/>
        <v>0.23622715406341049</v>
      </c>
      <c r="L9">
        <f>IF(PPB_Sm_Aliquot_Sent!E8="LLD","LLD",PPB_Sm_Aliquot_Sent!E8/B9)</f>
        <v>3.6913058430960831E-4</v>
      </c>
      <c r="M9">
        <f>IF(L9="LLD","LLD",((PPB_Sm_Aliquot_Sent!F8/B9)^2+((L9*C9)^2)/(B9^2))^0.5)</f>
        <v>5.8389803110066075E-6</v>
      </c>
      <c r="N9" s="12">
        <f t="shared" si="1"/>
        <v>1.5818197026202418E-2</v>
      </c>
      <c r="O9">
        <f>IF(PPB_Sm_Aliquot_Sent!H8="LLD","LLD",PPB_Sm_Aliquot_Sent!H8/B9)</f>
        <v>8.2579817506840095E-4</v>
      </c>
      <c r="P9">
        <f>IF(O9="LLD","LLD",((PPB_Sm_Aliquot_Sent!I8/B9)^2+((O9*C9)^2)/(B9^2))^0.5)</f>
        <v>1.2782131085779829E-4</v>
      </c>
      <c r="Q9" s="12">
        <f t="shared" si="2"/>
        <v>0.15478516993236371</v>
      </c>
      <c r="R9">
        <f>IF(PPB_Sm_Aliquot_Sent!K8="LLD","LLD",PPB_Sm_Aliquot_Sent!K8/B9)</f>
        <v>1.036769936921983E-3</v>
      </c>
      <c r="S9">
        <f>IF(R9="LLD","LLD",((PPB_Sm_Aliquot_Sent!L8/B9)^2+((R9*C9)^2)/(B9^2))^0.5)</f>
        <v>1.1782709444431329E-4</v>
      </c>
      <c r="T9" s="12">
        <f t="shared" si="3"/>
        <v>0.11364825526685751</v>
      </c>
      <c r="U9">
        <f>IF(PPB_Sm_Aliquot_Sent!T8="LLD","LLD",PPB_Sm_Aliquot_Sent!T8/B9)</f>
        <v>2.5021568175513645E-3</v>
      </c>
      <c r="V9">
        <f>IF(U9="LLD","LLD",((PPB_Sm_Aliquot_Sent!U8/B9)^2+((U9*C9)^2)/(B9^2))^0.5)</f>
        <v>1.8546516578195967E-4</v>
      </c>
      <c r="W9">
        <f t="shared" si="4"/>
        <v>7.4122119157766342E-2</v>
      </c>
    </row>
    <row r="10" spans="1:24" x14ac:dyDescent="0.25">
      <c r="A10" s="44" t="s">
        <v>20</v>
      </c>
      <c r="B10">
        <v>35.959884095712276</v>
      </c>
      <c r="C10">
        <v>0.25252405264652589</v>
      </c>
      <c r="D10">
        <v>7.022382273936081E-3</v>
      </c>
      <c r="E10">
        <v>102.32821557923549</v>
      </c>
      <c r="F10">
        <v>1.882433071843796</v>
      </c>
      <c r="G10">
        <v>1.8396031448297635E-2</v>
      </c>
      <c r="I10" t="str">
        <f>IF(PPB_Sm_Aliquot_Sent!B9="LLD","LLD",PPB_Sm_Aliquot_Sent!B9/B10)</f>
        <v>LLD</v>
      </c>
      <c r="J10" t="str">
        <f>IF(I10="LLD","LLD",((PPB_Sm_Aliquot_Sent!C9/B10)^2+((PPB_Sm_Aliquot_Sent!B9*C10)^2)/(B10^4))^0.5)</f>
        <v>LLD</v>
      </c>
      <c r="K10" s="12" t="str">
        <f t="shared" si="0"/>
        <v>LLD</v>
      </c>
      <c r="L10">
        <f>IF(PPB_Sm_Aliquot_Sent!E9="LLD","LLD",PPB_Sm_Aliquot_Sent!E9/B10)</f>
        <v>6.133627906264764E-4</v>
      </c>
      <c r="M10">
        <f>IF(L10="LLD","LLD",((PPB_Sm_Aliquot_Sent!F9/B10)^2+((L10*C10)^2)/(B10^2))^0.5)</f>
        <v>2.9152430880674024E-5</v>
      </c>
      <c r="N10" s="12">
        <f t="shared" si="1"/>
        <v>4.7528854580334616E-2</v>
      </c>
      <c r="O10">
        <f>IF(PPB_Sm_Aliquot_Sent!H9="LLD","LLD",PPB_Sm_Aliquot_Sent!H9/B10)</f>
        <v>9.2129109678150824E-4</v>
      </c>
      <c r="P10">
        <f>IF(O10="LLD","LLD",((PPB_Sm_Aliquot_Sent!I9/B10)^2+((O10*C10)^2)/(B10^2))^0.5)</f>
        <v>8.9096531526085656E-4</v>
      </c>
      <c r="Q10" s="12">
        <f t="shared" si="2"/>
        <v>0.9670833880555304</v>
      </c>
      <c r="R10">
        <f>IF(PPB_Sm_Aliquot_Sent!K9="LLD","LLD",PPB_Sm_Aliquot_Sent!K9/B10)</f>
        <v>3.1075683216688203E-3</v>
      </c>
      <c r="S10">
        <f>IF(R10="LLD","LLD",((PPB_Sm_Aliquot_Sent!L9/B10)^2+((R10*C10)^2)/(B10^2))^0.5)</f>
        <v>8.2199471747990106E-4</v>
      </c>
      <c r="T10" s="12">
        <f t="shared" si="3"/>
        <v>0.26451380384727152</v>
      </c>
      <c r="U10">
        <f>IF(PPB_Sm_Aliquot_Sent!T9="LLD","LLD",PPB_Sm_Aliquot_Sent!T9/B10)</f>
        <v>4.642222209076805E-3</v>
      </c>
      <c r="V10">
        <f>IF(U10="LLD","LLD",((PPB_Sm_Aliquot_Sent!U9/B10)^2+((U10*C10)^2)/(B10^2))^0.5)</f>
        <v>1.2127944861121628E-3</v>
      </c>
      <c r="W10">
        <f t="shared" si="4"/>
        <v>0.26125300157774012</v>
      </c>
    </row>
    <row r="11" spans="1:24" x14ac:dyDescent="0.25">
      <c r="A11" s="44" t="s">
        <v>21</v>
      </c>
      <c r="B11">
        <v>183.40042322239918</v>
      </c>
      <c r="C11">
        <v>0.99992008657755271</v>
      </c>
      <c r="D11">
        <v>5.4521143899706652E-3</v>
      </c>
      <c r="E11">
        <v>522.85463717311825</v>
      </c>
      <c r="F11">
        <v>9.2633466998310787</v>
      </c>
      <c r="G11">
        <v>1.7716868210090993E-2</v>
      </c>
      <c r="I11">
        <f>IF(PPB_Sm_Aliquot_Sent!B10="LLD","LLD",PPB_Sm_Aliquot_Sent!B10/B11)</f>
        <v>2.5676049413303147E-5</v>
      </c>
      <c r="J11">
        <f>IF(I11="LLD","LLD",((PPB_Sm_Aliquot_Sent!C10/B11)^2+((PPB_Sm_Aliquot_Sent!B10*C11)^2)/(B11^4))^0.5)</f>
        <v>8.7310269089467264E-5</v>
      </c>
      <c r="K11" s="12">
        <f t="shared" si="0"/>
        <v>3.4004557198051857</v>
      </c>
      <c r="L11">
        <f>IF(PPB_Sm_Aliquot_Sent!E10="LLD","LLD",PPB_Sm_Aliquot_Sent!E10/B11)</f>
        <v>4.0614197346918972E-5</v>
      </c>
      <c r="M11">
        <f>IF(L11="LLD","LLD",((PPB_Sm_Aliquot_Sent!F10/B11)^2+((L11*C11)^2)/(B11^2))^0.5)</f>
        <v>2.7534091304346825E-6</v>
      </c>
      <c r="N11" s="12">
        <f t="shared" si="1"/>
        <v>6.7794252017725973E-2</v>
      </c>
      <c r="O11">
        <f>IF(PPB_Sm_Aliquot_Sent!H10="LLD","LLD",PPB_Sm_Aliquot_Sent!H10/B11)</f>
        <v>4.5703041684783628E-5</v>
      </c>
      <c r="P11">
        <f>IF(O11="LLD","LLD",((PPB_Sm_Aliquot_Sent!I10/B11)^2+((O11*C11)^2)/(B11^2))^0.5)</f>
        <v>1.7454952384406909E-4</v>
      </c>
      <c r="Q11" s="12">
        <f t="shared" si="2"/>
        <v>3.8192102190472719</v>
      </c>
      <c r="R11">
        <f>IF(PPB_Sm_Aliquot_Sent!K10="LLD","LLD",PPB_Sm_Aliquot_Sent!K10/B11)</f>
        <v>1.0079256882012985E-4</v>
      </c>
      <c r="S11">
        <f>IF(R11="LLD","LLD",((PPB_Sm_Aliquot_Sent!L10/B11)^2+((R11*C11)^2)/(B11^2))^0.5)</f>
        <v>1.6048687208890846E-4</v>
      </c>
      <c r="T11" s="12">
        <f t="shared" si="3"/>
        <v>1.5922490513691197</v>
      </c>
      <c r="U11">
        <f>IF(PPB_Sm_Aliquot_Sent!T10="LLD","LLD",PPB_Sm_Aliquot_Sent!T10/B11)</f>
        <v>2.1278585726513556E-4</v>
      </c>
      <c r="V11">
        <f>IF(U11="LLD","LLD",((PPB_Sm_Aliquot_Sent!U10/B11)^2+((U11*C11)^2)/(B11^2))^0.5)</f>
        <v>2.5269576557625321E-4</v>
      </c>
      <c r="W11">
        <f t="shared" si="4"/>
        <v>1.1875590268266236</v>
      </c>
    </row>
    <row r="12" spans="1:24" x14ac:dyDescent="0.25">
      <c r="A12" s="44" t="s">
        <v>22</v>
      </c>
      <c r="B12">
        <v>10.023590741023934</v>
      </c>
      <c r="C12">
        <v>6.4224821054148507E-2</v>
      </c>
      <c r="D12">
        <v>6.4073666526799737E-3</v>
      </c>
      <c r="E12">
        <v>31.436836099355151</v>
      </c>
      <c r="F12">
        <v>0.56958926599643611</v>
      </c>
      <c r="G12">
        <v>1.8118530255279722E-2</v>
      </c>
      <c r="I12">
        <f>IF(PPB_Sm_Aliquot_Sent!B11="LLD","LLD",PPB_Sm_Aliquot_Sent!B11/B12)</f>
        <v>6.0340433495165093E-4</v>
      </c>
      <c r="J12">
        <f>IF(I12="LLD","LLD",((PPB_Sm_Aliquot_Sent!C11/B12)^2+((PPB_Sm_Aliquot_Sent!B11*C12)^2)/(B12^4))^0.5)</f>
        <v>1.5979724936952388E-3</v>
      </c>
      <c r="K12" s="12">
        <f t="shared" si="0"/>
        <v>2.6482615406189942</v>
      </c>
      <c r="L12">
        <f>IF(PPB_Sm_Aliquot_Sent!E11="LLD","LLD",PPB_Sm_Aliquot_Sent!E11/B12)</f>
        <v>1.3013166532626289E-3</v>
      </c>
      <c r="M12">
        <f>IF(L12="LLD","LLD",((PPB_Sm_Aliquot_Sent!F11/B12)^2+((L12*C12)^2)/(B12^2))^0.5)</f>
        <v>7.4544832023138615E-5</v>
      </c>
      <c r="N12" s="12">
        <f t="shared" si="1"/>
        <v>5.7284160497171582E-2</v>
      </c>
      <c r="O12">
        <f>IF(PPB_Sm_Aliquot_Sent!H11="LLD","LLD",PPB_Sm_Aliquot_Sent!H11/B12)</f>
        <v>1.6738886335095998E-4</v>
      </c>
      <c r="P12">
        <f>IF(O12="LLD","LLD",((PPB_Sm_Aliquot_Sent!I11/B12)^2+((O12*C12)^2)/(B12^2))^0.5)</f>
        <v>3.1935097558414764E-3</v>
      </c>
      <c r="Q12" s="12">
        <f t="shared" si="2"/>
        <v>19.078388441802879</v>
      </c>
      <c r="R12">
        <f>IF(PPB_Sm_Aliquot_Sent!K11="LLD","LLD",PPB_Sm_Aliquot_Sent!K11/B12)</f>
        <v>2.5083607254047552E-3</v>
      </c>
      <c r="S12">
        <f>IF(R12="LLD","LLD",((PPB_Sm_Aliquot_Sent!L11/B12)^2+((R12*C12)^2)/(B12^2))^0.5)</f>
        <v>2.937482048425056E-3</v>
      </c>
      <c r="T12" s="12">
        <f t="shared" si="3"/>
        <v>1.1710764000863778</v>
      </c>
      <c r="U12">
        <f>IF(PPB_Sm_Aliquot_Sent!T11="LLD","LLD",PPB_Sm_Aliquot_Sent!T11/B12)</f>
        <v>4.5804705769699949E-3</v>
      </c>
      <c r="V12">
        <f>IF(U12="LLD","LLD",((PPB_Sm_Aliquot_Sent!U11/B12)^2+((U12*C12)^2)/(B12^2))^0.5)</f>
        <v>4.6245968243910709E-3</v>
      </c>
      <c r="W12">
        <f t="shared" si="4"/>
        <v>1.0096335620280887</v>
      </c>
    </row>
    <row r="13" spans="1:24" x14ac:dyDescent="0.25">
      <c r="A13" s="44" t="s">
        <v>23</v>
      </c>
      <c r="B13">
        <v>3.8710145055081004</v>
      </c>
      <c r="C13">
        <v>2.4758152127887532E-2</v>
      </c>
      <c r="D13">
        <v>6.3957787015933264E-3</v>
      </c>
      <c r="E13">
        <v>12.165403327394344</v>
      </c>
      <c r="F13">
        <v>0.22105887514097666</v>
      </c>
      <c r="G13">
        <v>1.8171109431546015E-2</v>
      </c>
      <c r="I13" t="str">
        <f>IF(PPB_Sm_Aliquot_Sent!B12="LLD","LLD",PPB_Sm_Aliquot_Sent!B12/B13)</f>
        <v>LLD</v>
      </c>
      <c r="J13" t="str">
        <f>IF(I13="LLD","LLD",((PPB_Sm_Aliquot_Sent!C12/B13)^2+((PPB_Sm_Aliquot_Sent!B12*C13)^2)/(B13^4))^0.5)</f>
        <v>LLD</v>
      </c>
      <c r="K13" s="12" t="str">
        <f t="shared" si="0"/>
        <v>LLD</v>
      </c>
      <c r="L13">
        <f>IF(PPB_Sm_Aliquot_Sent!E12="LLD","LLD",PPB_Sm_Aliquot_Sent!E12/B13)</f>
        <v>5.8870945126114731E-3</v>
      </c>
      <c r="M13">
        <f>IF(L13="LLD","LLD",((PPB_Sm_Aliquot_Sent!F12/B13)^2+((L13*C13)^2)/(B13^2))^0.5)</f>
        <v>2.629514116236735E-4</v>
      </c>
      <c r="N13" s="12">
        <f t="shared" si="1"/>
        <v>4.4665736393457375E-2</v>
      </c>
      <c r="O13">
        <f>IF(PPB_Sm_Aliquot_Sent!H12="LLD","LLD",PPB_Sm_Aliquot_Sent!H12/B13)</f>
        <v>3.3205205528279774E-3</v>
      </c>
      <c r="P13">
        <f>IF(O13="LLD","LLD",((PPB_Sm_Aliquot_Sent!I12/B13)^2+((O13*C13)^2)/(B13^2))^0.5)</f>
        <v>8.2714704497316768E-3</v>
      </c>
      <c r="Q13" s="12">
        <f t="shared" si="2"/>
        <v>2.4910161880152013</v>
      </c>
      <c r="R13">
        <f>IF(PPB_Sm_Aliquot_Sent!K12="LLD","LLD",PPB_Sm_Aliquot_Sent!K12/B13)</f>
        <v>1.1319106894355696E-2</v>
      </c>
      <c r="S13">
        <f>IF(R13="LLD","LLD",((PPB_Sm_Aliquot_Sent!L12/B13)^2+((R13*C13)^2)/(B13^2))^0.5)</f>
        <v>7.6112121410813723E-3</v>
      </c>
      <c r="T13" s="12">
        <f t="shared" si="3"/>
        <v>0.67242161524923172</v>
      </c>
      <c r="U13">
        <f>IF(PPB_Sm_Aliquot_Sent!T12="LLD","LLD",PPB_Sm_Aliquot_Sent!T12/B13)</f>
        <v>2.0526721959795147E-2</v>
      </c>
      <c r="V13">
        <f>IF(U13="LLD","LLD",((PPB_Sm_Aliquot_Sent!U12/B13)^2+((U13*C13)^2)/(B13^2))^0.5)</f>
        <v>1.1243978076550018E-2</v>
      </c>
      <c r="W13">
        <f t="shared" si="4"/>
        <v>0.54777270811058576</v>
      </c>
    </row>
    <row r="14" spans="1:24" x14ac:dyDescent="0.25">
      <c r="A14" s="44" t="s">
        <v>24</v>
      </c>
      <c r="B14">
        <v>29.396766085112688</v>
      </c>
      <c r="C14">
        <v>0.12222887139311493</v>
      </c>
      <c r="D14">
        <v>4.1579019623867713E-3</v>
      </c>
      <c r="E14">
        <v>83.35764650467523</v>
      </c>
      <c r="F14">
        <v>1.4403676725814387</v>
      </c>
      <c r="G14">
        <v>1.7279370675378339E-2</v>
      </c>
      <c r="I14">
        <f>IF(PPB_Sm_Aliquot_Sent!B13="LLD","LLD",PPB_Sm_Aliquot_Sent!B13/B14)</f>
        <v>1.0464306056352946E-4</v>
      </c>
      <c r="J14">
        <f>IF(I14="LLD","LLD",((PPB_Sm_Aliquot_Sent!C13/B14)^2+((PPB_Sm_Aliquot_Sent!B13*C14)^2)/(B14^4))^0.5)</f>
        <v>5.4450073767584712E-4</v>
      </c>
      <c r="K14" s="12">
        <f t="shared" si="0"/>
        <v>5.2034099035671586</v>
      </c>
      <c r="L14">
        <f>IF(PPB_Sm_Aliquot_Sent!E13="LLD","LLD",PPB_Sm_Aliquot_Sent!E13/B14)</f>
        <v>8.1379037357058343E-4</v>
      </c>
      <c r="M14">
        <f>IF(L14="LLD","LLD",((PPB_Sm_Aliquot_Sent!F13/B14)^2+((L14*C14)^2)/(B14^2))^0.5)</f>
        <v>2.4765386239025898E-5</v>
      </c>
      <c r="N14" s="12">
        <f t="shared" si="1"/>
        <v>3.0432144497317397E-2</v>
      </c>
      <c r="O14">
        <f>IF(PPB_Sm_Aliquot_Sent!H13="LLD","LLD",PPB_Sm_Aliquot_Sent!H13/B14)</f>
        <v>1.0896080498231824E-3</v>
      </c>
      <c r="P14">
        <f>IF(O14="LLD","LLD",((PPB_Sm_Aliquot_Sent!I13/B14)^2+((O14*C14)^2)/(B14^2))^0.5)</f>
        <v>1.0891409412681027E-3</v>
      </c>
      <c r="Q14" s="12">
        <f t="shared" si="2"/>
        <v>0.99957130588824528</v>
      </c>
      <c r="R14">
        <f>IF(PPB_Sm_Aliquot_Sent!K13="LLD","LLD",PPB_Sm_Aliquot_Sent!K13/B14)</f>
        <v>3.2159205899133674E-3</v>
      </c>
      <c r="S14">
        <f>IF(R14="LLD","LLD",((PPB_Sm_Aliquot_Sent!L13/B14)^2+((R14*C14)^2)/(B14^2))^0.5)</f>
        <v>1.0024973207018769E-3</v>
      </c>
      <c r="T14" s="12">
        <f t="shared" si="3"/>
        <v>0.31172950098524754</v>
      </c>
      <c r="U14">
        <f>IF(PPB_Sm_Aliquot_Sent!T13="LLD","LLD",PPB_Sm_Aliquot_Sent!T13/B14)</f>
        <v>5.2239620738706635E-3</v>
      </c>
      <c r="V14">
        <f>IF(U14="LLD","LLD",((PPB_Sm_Aliquot_Sent!U13/B14)^2+((U14*C14)^2)/(B14^2))^0.5)</f>
        <v>1.5775246670415213E-3</v>
      </c>
      <c r="W14">
        <f t="shared" si="4"/>
        <v>0.30197858344569944</v>
      </c>
    </row>
    <row r="15" spans="1:24" ht="30" x14ac:dyDescent="0.25">
      <c r="A15" s="44" t="s">
        <v>25</v>
      </c>
      <c r="B15" t="e">
        <v>#VALUE!</v>
      </c>
      <c r="C15" t="e">
        <v>#VALUE!</v>
      </c>
      <c r="D15" t="e">
        <v>#VALUE!</v>
      </c>
      <c r="E15" t="e">
        <v>#VALUE!</v>
      </c>
      <c r="F15" t="e">
        <v>#VALUE!</v>
      </c>
      <c r="G15" t="e">
        <v>#VALUE!</v>
      </c>
      <c r="I15" t="e">
        <f>IF(PPB_Sm_Aliquot_Sent!B14="LLD","LLD",PPB_Sm_Aliquot_Sent!B14/B15)</f>
        <v>#VALUE!</v>
      </c>
      <c r="J15" t="e">
        <f>IF(I15="LLD","LLD",((PPB_Sm_Aliquot_Sent!C14/B15)^2+((PPB_Sm_Aliquot_Sent!B14*C15)^2)/(B15^4))^0.5)</f>
        <v>#VALUE!</v>
      </c>
      <c r="K15" s="12" t="e">
        <f t="shared" si="0"/>
        <v>#VALUE!</v>
      </c>
      <c r="L15" t="e">
        <f>IF(PPB_Sm_Aliquot_Sent!E14="LLD","LLD",PPB_Sm_Aliquot_Sent!E14/B15)</f>
        <v>#VALUE!</v>
      </c>
      <c r="M15" t="e">
        <f>IF(L15="LLD","LLD",((PPB_Sm_Aliquot_Sent!F14/B15)^2+((L15*C15)^2)/(B15^2))^0.5)</f>
        <v>#VALUE!</v>
      </c>
      <c r="N15" s="12" t="e">
        <f t="shared" si="1"/>
        <v>#VALUE!</v>
      </c>
      <c r="O15" t="e">
        <f>IF(PPB_Sm_Aliquot_Sent!H14="LLD","LLD",PPB_Sm_Aliquot_Sent!H14/B15)</f>
        <v>#VALUE!</v>
      </c>
      <c r="P15" t="e">
        <f>IF(O15="LLD","LLD",((PPB_Sm_Aliquot_Sent!I14/B15)^2+((O15*C15)^2)/(B15^2))^0.5)</f>
        <v>#VALUE!</v>
      </c>
      <c r="Q15" s="12" t="e">
        <f t="shared" si="2"/>
        <v>#VALUE!</v>
      </c>
      <c r="R15" t="e">
        <f>IF(PPB_Sm_Aliquot_Sent!K14="LLD","LLD",PPB_Sm_Aliquot_Sent!K14/B15)</f>
        <v>#VALUE!</v>
      </c>
      <c r="S15" t="e">
        <f>IF(R15="LLD","LLD",((PPB_Sm_Aliquot_Sent!L14/B15)^2+((R15*C15)^2)/(B15^2))^0.5)</f>
        <v>#VALUE!</v>
      </c>
      <c r="T15" s="12" t="e">
        <f t="shared" si="3"/>
        <v>#VALUE!</v>
      </c>
      <c r="U15" t="e">
        <f>IF(PPB_Sm_Aliquot_Sent!T14="LLD","LLD",PPB_Sm_Aliquot_Sent!T14/B15)</f>
        <v>#VALUE!</v>
      </c>
      <c r="V15" t="e">
        <f>IF(U15="LLD","LLD",((PPB_Sm_Aliquot_Sent!U14/B15)^2+((U15*C15)^2)/(B15^2))^0.5)</f>
        <v>#VALUE!</v>
      </c>
      <c r="W15" t="e">
        <f t="shared" si="4"/>
        <v>#VALUE!</v>
      </c>
    </row>
    <row r="16" spans="1:24" x14ac:dyDescent="0.25">
      <c r="A16" s="44" t="s">
        <v>27</v>
      </c>
      <c r="B16">
        <v>25.024731219806906</v>
      </c>
      <c r="C16">
        <v>0.28447079217182136</v>
      </c>
      <c r="D16">
        <v>1.1367586315838816E-2</v>
      </c>
      <c r="E16">
        <v>10.397808635121049</v>
      </c>
      <c r="F16">
        <v>0.21792992917207379</v>
      </c>
      <c r="G16">
        <v>2.0959217160043137E-2</v>
      </c>
      <c r="I16" t="str">
        <f>IF(PPB_Sm_Aliquot_Sent!B15="LLD","LLD",PPB_Sm_Aliquot_Sent!B15/B16)</f>
        <v>LLD</v>
      </c>
      <c r="J16" t="str">
        <f>IF(I16="LLD","LLD",((PPB_Sm_Aliquot_Sent!C15/B16)^2+((PPB_Sm_Aliquot_Sent!B15*C16)^2)/(B16^4))^0.5)</f>
        <v>LLD</v>
      </c>
      <c r="K16" s="12" t="str">
        <f t="shared" si="0"/>
        <v>LLD</v>
      </c>
      <c r="L16">
        <f>IF(PPB_Sm_Aliquot_Sent!E15="LLD","LLD",PPB_Sm_Aliquot_Sent!E15/B16)</f>
        <v>2.0129857675085848E-4</v>
      </c>
      <c r="M16">
        <f>IF(L16="LLD","LLD",((PPB_Sm_Aliquot_Sent!F15/B16)^2+((L16*C16)^2)/(B16^2))^0.5)</f>
        <v>2.5445707702106625E-5</v>
      </c>
      <c r="N16" s="12">
        <f t="shared" si="1"/>
        <v>0.12640778744104114</v>
      </c>
      <c r="O16" t="str">
        <f>IF(PPB_Sm_Aliquot_Sent!H15="LLD","LLD",PPB_Sm_Aliquot_Sent!H15/B16)</f>
        <v>LLD</v>
      </c>
      <c r="P16" t="str">
        <f>IF(O16="LLD","LLD",((PPB_Sm_Aliquot_Sent!I15/B16)^2+((O16*C16)^2)/(B16^2))^0.5)</f>
        <v>LLD</v>
      </c>
      <c r="Q16" s="12" t="str">
        <f t="shared" si="2"/>
        <v>LLD</v>
      </c>
      <c r="R16">
        <f>IF(PPB_Sm_Aliquot_Sent!K15="LLD","LLD",PPB_Sm_Aliquot_Sent!K15/B16)</f>
        <v>3.4003778755431469E-4</v>
      </c>
      <c r="S16">
        <f>IF(R16="LLD","LLD",((PPB_Sm_Aliquot_Sent!L15/B16)^2+((R16*C16)^2)/(B16^2))^0.5)</f>
        <v>1.1767380306105697E-3</v>
      </c>
      <c r="T16" s="12">
        <f t="shared" si="3"/>
        <v>3.4606095959926448</v>
      </c>
      <c r="U16">
        <f>IF(PPB_Sm_Aliquot_Sent!T15="LLD","LLD",PPB_Sm_Aliquot_Sent!T15/B16)</f>
        <v>5.4133636430517317E-4</v>
      </c>
      <c r="V16">
        <f>IF(U16="LLD","LLD",((PPB_Sm_Aliquot_Sent!U15/B16)^2+((U16*C16)^2)/(B16^2))^0.5)</f>
        <v>1.1770206315070764E-3</v>
      </c>
      <c r="W16">
        <f t="shared" si="4"/>
        <v>2.1742870221139299</v>
      </c>
    </row>
    <row r="17" spans="1:27" x14ac:dyDescent="0.25">
      <c r="A17" s="44" t="s">
        <v>28</v>
      </c>
      <c r="B17">
        <v>6.2902910951364328</v>
      </c>
      <c r="C17">
        <v>3.4534602482299268E-2</v>
      </c>
      <c r="D17">
        <v>5.4901437723607017E-3</v>
      </c>
      <c r="E17">
        <v>2.6873581103720672</v>
      </c>
      <c r="F17">
        <v>4.8428642031228944E-2</v>
      </c>
      <c r="G17">
        <v>1.8020911260138661E-2</v>
      </c>
      <c r="I17" t="str">
        <f>IF(PPB_Sm_Aliquot_Sent!B16="LLD","LLD",PPB_Sm_Aliquot_Sent!B16/B17)</f>
        <v>LLD</v>
      </c>
      <c r="J17" t="str">
        <f>IF(I17="LLD","LLD",((PPB_Sm_Aliquot_Sent!C16/B17)^2+((PPB_Sm_Aliquot_Sent!B16*C17)^2)/(B17^4))^0.5)</f>
        <v>LLD</v>
      </c>
      <c r="K17" s="12" t="str">
        <f t="shared" si="0"/>
        <v>LLD</v>
      </c>
      <c r="L17">
        <f>IF(PPB_Sm_Aliquot_Sent!E16="LLD","LLD",PPB_Sm_Aliquot_Sent!E16/B17)</f>
        <v>1.9984175243002501E-3</v>
      </c>
      <c r="M17">
        <f>IF(L17="LLD","LLD",((PPB_Sm_Aliquot_Sent!F16/B17)^2+((L17*C17)^2)/(B17^2))^0.5)</f>
        <v>1.045422349544104E-4</v>
      </c>
      <c r="N17" s="12">
        <f t="shared" si="1"/>
        <v>5.2312509114438473E-2</v>
      </c>
      <c r="O17">
        <f>IF(PPB_Sm_Aliquot_Sent!H16="LLD","LLD",PPB_Sm_Aliquot_Sent!H16/B17)</f>
        <v>2.7639124265793429E-4</v>
      </c>
      <c r="P17">
        <f>IF(O17="LLD","LLD",((PPB_Sm_Aliquot_Sent!I16/B17)^2+((O17*C17)^2)/(B17^2))^0.5)</f>
        <v>5.0885481965308905E-3</v>
      </c>
      <c r="Q17" s="12">
        <f t="shared" si="2"/>
        <v>18.410670857717985</v>
      </c>
      <c r="R17">
        <f>IF(PPB_Sm_Aliquot_Sent!K16="LLD","LLD",PPB_Sm_Aliquot_Sent!K16/B17)</f>
        <v>7.7044443910584924E-3</v>
      </c>
      <c r="S17">
        <f>IF(R17="LLD","LLD",((PPB_Sm_Aliquot_Sent!L16/B17)^2+((R17*C17)^2)/(B17^2))^0.5)</f>
        <v>4.682824548977128E-3</v>
      </c>
      <c r="T17" s="12">
        <f t="shared" si="3"/>
        <v>0.60780820929953749</v>
      </c>
      <c r="U17">
        <f>IF(PPB_Sm_Aliquot_Sent!T16="LLD","LLD",PPB_Sm_Aliquot_Sent!T16/B17)</f>
        <v>9.9792531580166783E-3</v>
      </c>
      <c r="V17">
        <f>IF(U17="LLD","LLD",((PPB_Sm_Aliquot_Sent!U16/B17)^2+((U17*C17)^2)/(B17^2))^0.5)</f>
        <v>6.916226385496973E-3</v>
      </c>
      <c r="W17">
        <f t="shared" si="4"/>
        <v>0.69306052025956766</v>
      </c>
    </row>
    <row r="18" spans="1:27" ht="30" x14ac:dyDescent="0.25">
      <c r="A18" s="44" t="s">
        <v>29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I18" t="e">
        <f>IF(PPB_Sm_Aliquot_Sent!B17="LLD","LLD",PPB_Sm_Aliquot_Sent!B17/B18)</f>
        <v>#VALUE!</v>
      </c>
      <c r="J18" t="e">
        <f>IF(I18="LLD","LLD",((PPB_Sm_Aliquot_Sent!C17/B18)^2+((PPB_Sm_Aliquot_Sent!B17*C18)^2)/(B18^4))^0.5)</f>
        <v>#VALUE!</v>
      </c>
      <c r="K18" s="12" t="e">
        <f t="shared" si="0"/>
        <v>#VALUE!</v>
      </c>
      <c r="L18" t="e">
        <f>IF(PPB_Sm_Aliquot_Sent!E17="LLD","LLD",PPB_Sm_Aliquot_Sent!E17/B18)</f>
        <v>#VALUE!</v>
      </c>
      <c r="M18" t="e">
        <f>IF(L18="LLD","LLD",((PPB_Sm_Aliquot_Sent!F17/B18)^2+((L18*C18)^2)/(B18^2))^0.5)</f>
        <v>#VALUE!</v>
      </c>
      <c r="N18" s="12" t="e">
        <f t="shared" si="1"/>
        <v>#VALUE!</v>
      </c>
      <c r="O18" t="e">
        <f>IF(PPB_Sm_Aliquot_Sent!H17="LLD","LLD",PPB_Sm_Aliquot_Sent!H17/B18)</f>
        <v>#VALUE!</v>
      </c>
      <c r="P18" t="e">
        <f>IF(O18="LLD","LLD",((PPB_Sm_Aliquot_Sent!I17/B18)^2+((O18*C18)^2)/(B18^2))^0.5)</f>
        <v>#VALUE!</v>
      </c>
      <c r="Q18" s="12" t="e">
        <f t="shared" si="2"/>
        <v>#VALUE!</v>
      </c>
      <c r="R18" t="e">
        <f>IF(PPB_Sm_Aliquot_Sent!K17="LLD","LLD",PPB_Sm_Aliquot_Sent!K17/B18)</f>
        <v>#VALUE!</v>
      </c>
      <c r="S18" t="e">
        <f>IF(R18="LLD","LLD",((PPB_Sm_Aliquot_Sent!L17/B18)^2+((R18*C18)^2)/(B18^2))^0.5)</f>
        <v>#VALUE!</v>
      </c>
      <c r="T18" s="12" t="e">
        <f t="shared" si="3"/>
        <v>#VALUE!</v>
      </c>
      <c r="U18" t="e">
        <f>IF(PPB_Sm_Aliquot_Sent!T17="LLD","LLD",PPB_Sm_Aliquot_Sent!T17/B18)</f>
        <v>#VALUE!</v>
      </c>
      <c r="V18" t="e">
        <f>IF(U18="LLD","LLD",((PPB_Sm_Aliquot_Sent!U17/B18)^2+((U18*C18)^2)/(B18^2))^0.5)</f>
        <v>#VALUE!</v>
      </c>
      <c r="W18" t="e">
        <f t="shared" si="4"/>
        <v>#VALUE!</v>
      </c>
    </row>
    <row r="19" spans="1:27" x14ac:dyDescent="0.25">
      <c r="A19" s="44" t="s">
        <v>30</v>
      </c>
      <c r="B19">
        <v>0.72444462751365024</v>
      </c>
      <c r="C19">
        <v>4.4739299442153792E-3</v>
      </c>
      <c r="D19">
        <v>6.1756686077861483E-3</v>
      </c>
      <c r="E19">
        <v>0.31504785512795341</v>
      </c>
      <c r="F19">
        <v>6.4554446381029518E-3</v>
      </c>
      <c r="G19">
        <v>2.0490362124449761E-2</v>
      </c>
      <c r="I19" t="str">
        <f>IF(PPB_Sm_Aliquot_Sent!B18="LLD","LLD",PPB_Sm_Aliquot_Sent!B18/B19)</f>
        <v>LLD</v>
      </c>
      <c r="J19" t="str">
        <f>IF(I19="LLD","LLD",((PPB_Sm_Aliquot_Sent!C18/B19)^2+((PPB_Sm_Aliquot_Sent!B18*C19)^2)/(B19^4))^0.5)</f>
        <v>LLD</v>
      </c>
      <c r="K19" s="12" t="str">
        <f t="shared" si="0"/>
        <v>LLD</v>
      </c>
      <c r="L19">
        <f>IF(PPB_Sm_Aliquot_Sent!E18="LLD","LLD",PPB_Sm_Aliquot_Sent!E18/B19)</f>
        <v>1.5958259562476783E-2</v>
      </c>
      <c r="M19">
        <f>IF(L19="LLD","LLD",((PPB_Sm_Aliquot_Sent!F18/B19)^2+((L19*C19)^2)/(B19^2))^0.5)</f>
        <v>9.1271079882696677E-4</v>
      </c>
      <c r="N19" s="12">
        <f t="shared" si="1"/>
        <v>5.7193630373894647E-2</v>
      </c>
      <c r="O19">
        <f>IF(PPB_Sm_Aliquot_Sent!H18="LLD","LLD",PPB_Sm_Aliquot_Sent!H18/B19)</f>
        <v>2.063472742586003E-2</v>
      </c>
      <c r="P19">
        <f>IF(O19="LLD","LLD",((PPB_Sm_Aliquot_Sent!I18/B19)^2+((O19*C19)^2)/(B19^2))^0.5)</f>
        <v>4.4196443065282837E-2</v>
      </c>
      <c r="Q19" s="12">
        <f t="shared" si="2"/>
        <v>2.1418476800374204</v>
      </c>
      <c r="R19">
        <f>IF(PPB_Sm_Aliquot_Sent!K18="LLD","LLD",PPB_Sm_Aliquot_Sent!K18/B19)</f>
        <v>8.7455778831651662E-2</v>
      </c>
      <c r="S19">
        <f>IF(R19="LLD","LLD",((PPB_Sm_Aliquot_Sent!L18/B19)^2+((R19*C19)^2)/(B19^2))^0.5)</f>
        <v>4.0686676774228332E-2</v>
      </c>
      <c r="T19" s="12">
        <f t="shared" si="3"/>
        <v>0.46522570969893606</v>
      </c>
      <c r="U19">
        <f>IF(PPB_Sm_Aliquot_Sent!T18="LLD","LLD",PPB_Sm_Aliquot_Sent!T18/B19)</f>
        <v>0.12404876581998849</v>
      </c>
      <c r="V19">
        <f>IF(U19="LLD","LLD",((PPB_Sm_Aliquot_Sent!U18/B19)^2+((U19*C19)^2)/(B19^2))^0.5)</f>
        <v>6.0081890072611131E-2</v>
      </c>
      <c r="W19">
        <f t="shared" si="4"/>
        <v>0.48434089348214937</v>
      </c>
    </row>
    <row r="20" spans="1:27" ht="30" x14ac:dyDescent="0.25">
      <c r="A20" s="16" t="s">
        <v>10</v>
      </c>
      <c r="B20" s="14">
        <v>3086.6870657605782</v>
      </c>
      <c r="C20" s="14">
        <v>46.860723262192394</v>
      </c>
      <c r="D20" s="14">
        <v>1.5181559472613928E-2</v>
      </c>
      <c r="E20" s="14">
        <v>25933.364145695159</v>
      </c>
      <c r="F20" s="14">
        <v>614.43376301976468</v>
      </c>
      <c r="G20" s="14">
        <v>2.3692790475151614E-2</v>
      </c>
      <c r="H20" s="14"/>
      <c r="I20">
        <f>IF(PPB_Sm_Aliquot_Sent!B19="LLD","LLD",PPB_Sm_Aliquot_Sent!B19/B20)</f>
        <v>1.4060400158054335E-4</v>
      </c>
      <c r="J20">
        <f>IF(I20="LLD","LLD",((PPB_Sm_Aliquot_Sent!C19/B20)^2+((PPB_Sm_Aliquot_Sent!B19*C20)^2)/(B20^4))^0.5)</f>
        <v>6.6517531296042836E-6</v>
      </c>
      <c r="K20" s="20">
        <f t="shared" si="0"/>
        <v>4.7308419780598528E-2</v>
      </c>
      <c r="L20">
        <f>IF(PPB_Sm_Aliquot_Sent!E19="LLD","LLD",PPB_Sm_Aliquot_Sent!E19/B20)</f>
        <v>1.4967901760250249E-4</v>
      </c>
      <c r="M20">
        <f>IF(L20="LLD","LLD",((PPB_Sm_Aliquot_Sent!F19/B20)^2+((L20*C20)^2)/(B20^2))^0.5)</f>
        <v>4.2862007398182643E-6</v>
      </c>
      <c r="N20" s="20">
        <f t="shared" si="1"/>
        <v>2.8635949169582224E-2</v>
      </c>
      <c r="O20">
        <f>IF(PPB_Sm_Aliquot_Sent!H19="LLD","LLD",PPB_Sm_Aliquot_Sent!H19/B20)</f>
        <v>3.8914739931071037E-4</v>
      </c>
      <c r="P20">
        <f>IF(O20="LLD","LLD",((PPB_Sm_Aliquot_Sent!I19/B20)^2+((O20*C20)^2)/(B20^2))^0.5)</f>
        <v>1.4507071753631447E-5</v>
      </c>
      <c r="Q20" s="20">
        <f t="shared" si="2"/>
        <v>3.7279117833827376E-2</v>
      </c>
      <c r="R20">
        <f>IF(PPB_Sm_Aliquot_Sent!K19="LLD","LLD",PPB_Sm_Aliquot_Sent!K19/B20)</f>
        <v>1.5873967146326053E-4</v>
      </c>
      <c r="S20">
        <f>IF(R20="LLD","LLD",((PPB_Sm_Aliquot_Sent!L19/B20)^2+((R20*C20)^2)/(B20^2))^0.5)</f>
        <v>1.0587147703307112E-5</v>
      </c>
      <c r="T20" s="20">
        <f t="shared" si="3"/>
        <v>6.6695033482902552E-2</v>
      </c>
      <c r="U20">
        <f>IF(PPB_Sm_Aliquot_Sent!T19="LLD","LLD",PPB_Sm_Aliquot_Sent!T19/B20)</f>
        <v>8.3817008995701672E-4</v>
      </c>
      <c r="V20">
        <f>IF(U20="LLD","LLD",((PPB_Sm_Aliquot_Sent!U19/B20)^2+((U20*C20)^2)/(B20^2))^0.5)</f>
        <v>2.2285606297452996E-5</v>
      </c>
      <c r="W20">
        <f t="shared" si="4"/>
        <v>2.6588405580776395E-2</v>
      </c>
      <c r="X20" s="14"/>
    </row>
    <row r="21" spans="1:27" ht="45" x14ac:dyDescent="0.25">
      <c r="A21" s="44" t="s">
        <v>11</v>
      </c>
      <c r="B21">
        <v>103.91409023105972</v>
      </c>
      <c r="C21">
        <v>0.47975282980128503</v>
      </c>
      <c r="D21">
        <v>4.616821729705024E-3</v>
      </c>
      <c r="E21">
        <v>3022.0120722988809</v>
      </c>
      <c r="F21">
        <v>52.852057850790239</v>
      </c>
      <c r="G21">
        <v>1.7489029357379452E-2</v>
      </c>
      <c r="I21">
        <f>IF(PPB_Sm_Aliquot_Sent!B20="LLD","LLD",PPB_Sm_Aliquot_Sent!B20/B21)</f>
        <v>2.2494564954840968E-2</v>
      </c>
      <c r="J21">
        <f>IF(I21="LLD","LLD",((PPB_Sm_Aliquot_Sent!C20/B21)^2+((PPB_Sm_Aliquot_Sent!B20*C21)^2)/(B21^4))^0.5)</f>
        <v>3.1907391400068228E-4</v>
      </c>
      <c r="K21" s="12">
        <f t="shared" si="0"/>
        <v>1.4184489215116633E-2</v>
      </c>
      <c r="L21">
        <f>IF(PPB_Sm_Aliquot_Sent!E20="LLD","LLD",PPB_Sm_Aliquot_Sent!E20/B21)</f>
        <v>2.9405401427308249E-2</v>
      </c>
      <c r="M21">
        <f>IF(L21="LLD","LLD",((PPB_Sm_Aliquot_Sent!F20/B21)^2+((L21*C21)^2)/(B21^2))^0.5)</f>
        <v>3.2728074195063417E-4</v>
      </c>
      <c r="N21" s="12">
        <f t="shared" si="1"/>
        <v>1.1129953208076073E-2</v>
      </c>
      <c r="O21">
        <f>IF(PPB_Sm_Aliquot_Sent!H20="LLD","LLD",PPB_Sm_Aliquot_Sent!H20/B21)</f>
        <v>7.2473781429920309E-2</v>
      </c>
      <c r="P21">
        <f>IF(O21="LLD","LLD",((PPB_Sm_Aliquot_Sent!I20/B21)^2+((O21*C21)^2)/(B21^2))^0.5)</f>
        <v>8.4077559251402242E-4</v>
      </c>
      <c r="Q21" s="12">
        <f t="shared" si="2"/>
        <v>1.1601100093376858E-2</v>
      </c>
      <c r="R21">
        <f>IF(PPB_Sm_Aliquot_Sent!K20="LLD","LLD",PPB_Sm_Aliquot_Sent!K20/B21)</f>
        <v>4.6420095874322713E-2</v>
      </c>
      <c r="S21">
        <f>IF(R21="LLD","LLD",((PPB_Sm_Aliquot_Sent!L20/B21)^2+((R21*C21)^2)/(B21^2))^0.5)</f>
        <v>5.9414236935402954E-4</v>
      </c>
      <c r="T21" s="12">
        <f t="shared" si="3"/>
        <v>1.2799249078730998E-2</v>
      </c>
      <c r="U21">
        <f>IF(PPB_Sm_Aliquot_Sent!T20="LLD","LLD",PPB_Sm_Aliquot_Sent!T20/B21)</f>
        <v>0.17079384368639225</v>
      </c>
      <c r="V21">
        <f>IF(U21="LLD","LLD",((PPB_Sm_Aliquot_Sent!U20/B21)^2+((U21*C21)^2)/(B21^2))^0.5)</f>
        <v>1.3051813317077976E-3</v>
      </c>
      <c r="W21">
        <f t="shared" si="4"/>
        <v>7.6418523263891277E-3</v>
      </c>
    </row>
    <row r="22" spans="1:27" ht="45" x14ac:dyDescent="0.25">
      <c r="A22" s="44" t="s">
        <v>12</v>
      </c>
      <c r="B22">
        <v>1256.8637463018074</v>
      </c>
      <c r="C22">
        <v>9.0424889215792632</v>
      </c>
      <c r="D22">
        <v>7.1944862346343102E-3</v>
      </c>
      <c r="E22">
        <v>25730.349676063488</v>
      </c>
      <c r="F22">
        <v>475.51948721702013</v>
      </c>
      <c r="G22">
        <v>1.8480879319700341E-2</v>
      </c>
      <c r="I22">
        <f>IF(PPB_Sm_Aliquot_Sent!B21="LLD","LLD",PPB_Sm_Aliquot_Sent!B21/B22)</f>
        <v>2.1614138519432434E-3</v>
      </c>
      <c r="J22">
        <f>IF(I22="LLD","LLD",((PPB_Sm_Aliquot_Sent!C21/B22)^2+((PPB_Sm_Aliquot_Sent!B21*C22)^2)/(B22^4))^0.5)</f>
        <v>3.4968972967030262E-5</v>
      </c>
      <c r="K22" s="12">
        <f t="shared" si="0"/>
        <v>1.6178749356857786E-2</v>
      </c>
      <c r="L22">
        <f>IF(PPB_Sm_Aliquot_Sent!E21="LLD","LLD",PPB_Sm_Aliquot_Sent!E21/B22)</f>
        <v>2.4850075814694902E-3</v>
      </c>
      <c r="M22">
        <f>IF(L22="LLD","LLD",((PPB_Sm_Aliquot_Sent!F21/B22)^2+((L22*C22)^2)/(B22^2))^0.5)</f>
        <v>3.4866238784667794E-5</v>
      </c>
      <c r="N22" s="12">
        <f t="shared" si="1"/>
        <v>1.4030636785441883E-2</v>
      </c>
      <c r="O22">
        <f>IF(PPB_Sm_Aliquot_Sent!H21="LLD","LLD",PPB_Sm_Aliquot_Sent!H21/B22)</f>
        <v>6.3970933998797564E-3</v>
      </c>
      <c r="P22">
        <f>IF(O22="LLD","LLD",((PPB_Sm_Aliquot_Sent!I21/B22)^2+((O22*C22)^2)/(B22^2))^0.5)</f>
        <v>9.0757836182130588E-5</v>
      </c>
      <c r="Q22" s="12">
        <f t="shared" si="2"/>
        <v>1.4187355179750311E-2</v>
      </c>
      <c r="R22">
        <f>IF(PPB_Sm_Aliquot_Sent!K21="LLD","LLD",PPB_Sm_Aliquot_Sent!K21/B22)</f>
        <v>2.8696018859614395E-3</v>
      </c>
      <c r="S22">
        <f>IF(R22="LLD","LLD",((PPB_Sm_Aliquot_Sent!L21/B22)^2+((R22*C22)^2)/(B22^2))^0.5)</f>
        <v>4.6967361384437328E-5</v>
      </c>
      <c r="T22" s="12">
        <f t="shared" si="3"/>
        <v>1.6367204668427813E-2</v>
      </c>
      <c r="U22">
        <f>IF(PPB_Sm_Aliquot_Sent!T21="LLD","LLD",PPB_Sm_Aliquot_Sent!T21/B22)</f>
        <v>1.391311671925393E-2</v>
      </c>
      <c r="V22">
        <f>IF(U22="LLD","LLD",((PPB_Sm_Aliquot_Sent!U21/B22)^2+((U22*C22)^2)/(B22^2))^0.5)</f>
        <v>1.4069502904925056E-4</v>
      </c>
      <c r="W22">
        <f t="shared" si="4"/>
        <v>1.0112401979245031E-2</v>
      </c>
    </row>
    <row r="23" spans="1:27" x14ac:dyDescent="0.25">
      <c r="A23" s="44" t="s">
        <v>31</v>
      </c>
      <c r="B23">
        <v>0.75471987885446978</v>
      </c>
      <c r="C23">
        <v>1.22268542416416E-2</v>
      </c>
      <c r="D23">
        <v>1.6200519668568666E-2</v>
      </c>
      <c r="E23">
        <v>4.0019033608301093</v>
      </c>
      <c r="F23">
        <v>0.1043340411667537</v>
      </c>
      <c r="G23">
        <v>2.607110461185945E-2</v>
      </c>
      <c r="I23">
        <f>IF(PPB_Sm_Aliquot_Sent!B22="LLD","LLD",PPB_Sm_Aliquot_Sent!B22/B23)</f>
        <v>0.15351641796854026</v>
      </c>
      <c r="J23">
        <f>IF(I23="LLD","LLD",((PPB_Sm_Aliquot_Sent!C22/B23)^2+((PPB_Sm_Aliquot_Sent!B22*C23)^2)/(B23^4))^0.5)</f>
        <v>2.2301330777094147E-2</v>
      </c>
      <c r="K23" s="12">
        <f t="shared" si="0"/>
        <v>0.14527000481254262</v>
      </c>
      <c r="L23">
        <f>IF(PPB_Sm_Aliquot_Sent!E22="LLD","LLD",PPB_Sm_Aliquot_Sent!E22/B23)</f>
        <v>0.34230745496079074</v>
      </c>
      <c r="M23">
        <f>IF(L23="LLD","LLD",((PPB_Sm_Aliquot_Sent!F22/B23)^2+((L23*C23)^2)/(B23^2))^0.5)</f>
        <v>1.2076484602686195E-2</v>
      </c>
      <c r="N23" s="12">
        <f t="shared" si="1"/>
        <v>3.5279642402382044E-2</v>
      </c>
      <c r="O23">
        <f>IF(PPB_Sm_Aliquot_Sent!H22="LLD","LLD",PPB_Sm_Aliquot_Sent!H22/B23)</f>
        <v>0.57161638852865959</v>
      </c>
      <c r="P23">
        <f>IF(O23="LLD","LLD",((PPB_Sm_Aliquot_Sent!I22/B23)^2+((O23*C23)^2)/(B23^2))^0.5)</f>
        <v>4.6367262715672389E-2</v>
      </c>
      <c r="Q23" s="12">
        <f t="shared" si="2"/>
        <v>8.1116048535665161E-2</v>
      </c>
      <c r="R23">
        <f>IF(PPB_Sm_Aliquot_Sent!K22="LLD","LLD",PPB_Sm_Aliquot_Sent!K22/B23)</f>
        <v>0.46831655030731351</v>
      </c>
      <c r="S23">
        <f>IF(R23="LLD","LLD",((PPB_Sm_Aliquot_Sent!L22/B23)^2+((R23*C23)^2)/(B23^2))^0.5)</f>
        <v>4.2153851542570474E-2</v>
      </c>
      <c r="T23" s="12">
        <f t="shared" si="3"/>
        <v>9.0011449552463471E-2</v>
      </c>
      <c r="U23">
        <f>IF(PPB_Sm_Aliquot_Sent!T22="LLD","LLD",PPB_Sm_Aliquot_Sent!T22/B23)</f>
        <v>1.535756811765304</v>
      </c>
      <c r="V23">
        <f>IF(U23="LLD","LLD",((PPB_Sm_Aliquot_Sent!U22/B23)^2+((U23*C23)^2)/(B23^2))^0.5)</f>
        <v>7.0773025253228539E-2</v>
      </c>
      <c r="W23">
        <f t="shared" si="4"/>
        <v>4.6083484514633004E-2</v>
      </c>
    </row>
    <row r="24" spans="1:27" x14ac:dyDescent="0.25">
      <c r="A24" s="44" t="s">
        <v>32</v>
      </c>
      <c r="B24">
        <v>4.8283712092505128E-2</v>
      </c>
      <c r="C24">
        <v>1.4047953297641707E-3</v>
      </c>
      <c r="D24">
        <v>2.9094600826729541E-2</v>
      </c>
      <c r="E24">
        <v>0</v>
      </c>
      <c r="F24">
        <v>0</v>
      </c>
      <c r="G24" t="e">
        <v>#DIV/0!</v>
      </c>
      <c r="I24" t="str">
        <f>IF(PPB_Sm_Aliquot_Sent!B23="LLD","LLD",PPB_Sm_Aliquot_Sent!B23/B24)</f>
        <v>LLD</v>
      </c>
      <c r="J24" t="str">
        <f>IF(I24="LLD","LLD",((PPB_Sm_Aliquot_Sent!C23/B24)^2+((PPB_Sm_Aliquot_Sent!B23*C24)^2)/(B24^4))^0.5)</f>
        <v>LLD</v>
      </c>
      <c r="K24" s="12" t="str">
        <f t="shared" si="0"/>
        <v>LLD</v>
      </c>
      <c r="L24">
        <f>IF(PPB_Sm_Aliquot_Sent!E23="LLD","LLD",PPB_Sm_Aliquot_Sent!E23/B24)</f>
        <v>1.2113146799504533</v>
      </c>
      <c r="M24">
        <f>IF(L24="LLD","LLD",((PPB_Sm_Aliquot_Sent!F23/B24)^2+((L24*C24)^2)/(B24^2))^0.5)</f>
        <v>9.4309049388383207E-2</v>
      </c>
      <c r="N24" s="12">
        <f t="shared" si="1"/>
        <v>7.785677078745612E-2</v>
      </c>
      <c r="O24">
        <f>IF(PPB_Sm_Aliquot_Sent!H23="LLD","LLD",PPB_Sm_Aliquot_Sent!H23/B24)</f>
        <v>2.7432090116703773</v>
      </c>
      <c r="P24">
        <f>IF(O24="LLD","LLD",((PPB_Sm_Aliquot_Sent!I23/B24)^2+((O24*C24)^2)/(B24^2))^0.5)</f>
        <v>0.68702275513665101</v>
      </c>
      <c r="Q24" s="12">
        <f t="shared" si="2"/>
        <v>0.25044491769087385</v>
      </c>
      <c r="R24">
        <f>IF(PPB_Sm_Aliquot_Sent!K23="LLD","LLD",PPB_Sm_Aliquot_Sent!K23/B24)</f>
        <v>10.606754948500161</v>
      </c>
      <c r="S24">
        <f>IF(R24="LLD","LLD",((PPB_Sm_Aliquot_Sent!L23/B24)^2+((R24*C24)^2)/(B24^2))^0.5)</f>
        <v>0.82222528887691437</v>
      </c>
      <c r="T24" s="12">
        <f t="shared" si="3"/>
        <v>7.7519023760719619E-2</v>
      </c>
      <c r="U24">
        <f>IF(PPB_Sm_Aliquot_Sent!T23="LLD","LLD",PPB_Sm_Aliquot_Sent!T23/B24)</f>
        <v>14.561278640120991</v>
      </c>
      <c r="V24">
        <f>IF(U24="LLD","LLD",((PPB_Sm_Aliquot_Sent!U23/B24)^2+((U24*C24)^2)/(B24^2))^0.5)</f>
        <v>1.1106693816848323</v>
      </c>
      <c r="W24">
        <f t="shared" si="4"/>
        <v>7.6275539335164025E-2</v>
      </c>
    </row>
    <row r="25" spans="1:27" x14ac:dyDescent="0.25">
      <c r="A25" s="44" t="s">
        <v>13</v>
      </c>
      <c r="B25">
        <v>75.817432579421535</v>
      </c>
      <c r="C25">
        <v>0.24281903359839671</v>
      </c>
      <c r="D25">
        <v>3.2026807732381981E-3</v>
      </c>
      <c r="E25">
        <v>923.52767495044168</v>
      </c>
      <c r="F25">
        <v>15.719511435930013</v>
      </c>
      <c r="G25">
        <v>1.7021159042985422E-2</v>
      </c>
      <c r="I25">
        <f>IF(PPB_Sm_Aliquot_Sent!B24="LLD","LLD",PPB_Sm_Aliquot_Sent!B24/B25)</f>
        <v>1.0331844863865966E-5</v>
      </c>
      <c r="J25">
        <f>IF(I25="LLD","LLD",((PPB_Sm_Aliquot_Sent!C24/B25)^2+((PPB_Sm_Aliquot_Sent!B24*C25)^2)/(B25^4))^0.5)</f>
        <v>2.1103759253612595E-4</v>
      </c>
      <c r="K25" s="12">
        <f t="shared" si="0"/>
        <v>20.425935088727222</v>
      </c>
      <c r="L25">
        <f>IF(PPB_Sm_Aliquot_Sent!E24="LLD","LLD",PPB_Sm_Aliquot_Sent!E24/B25)</f>
        <v>1.1252651324558328E-4</v>
      </c>
      <c r="M25">
        <f>IF(L25="LLD","LLD",((PPB_Sm_Aliquot_Sent!F24/B25)^2+((L25*C25)^2)/(B25^2))^0.5)</f>
        <v>1.38066942576864E-6</v>
      </c>
      <c r="N25" s="12">
        <f t="shared" si="1"/>
        <v>1.2269725471324261E-2</v>
      </c>
      <c r="O25">
        <f>IF(PPB_Sm_Aliquot_Sent!H24="LLD","LLD",PPB_Sm_Aliquot_Sent!H24/B25)</f>
        <v>1.0906771231768084E-4</v>
      </c>
      <c r="P25">
        <f>IF(O25="LLD","LLD",((PPB_Sm_Aliquot_Sent!I24/B25)^2+((O25*C25)^2)/(B25^2))^0.5)</f>
        <v>4.2207680143110747E-4</v>
      </c>
      <c r="Q25" s="12">
        <f t="shared" si="2"/>
        <v>3.8698602222601592</v>
      </c>
      <c r="R25">
        <f>IF(PPB_Sm_Aliquot_Sent!K24="LLD","LLD",PPB_Sm_Aliquot_Sent!K24/B25)</f>
        <v>1.4057516322857105E-5</v>
      </c>
      <c r="S25">
        <f>IF(R25="LLD","LLD",((PPB_Sm_Aliquot_Sent!L24/B25)^2+((R25*C25)^2)/(B25^2))^0.5)</f>
        <v>3.8792523671650746E-4</v>
      </c>
      <c r="T25" s="12">
        <f t="shared" si="3"/>
        <v>27.595574339526287</v>
      </c>
      <c r="U25">
        <f>IF(PPB_Sm_Aliquot_Sent!T24="LLD","LLD",PPB_Sm_Aliquot_Sent!T24/B25)</f>
        <v>2.4598358674998716E-4</v>
      </c>
      <c r="V25">
        <f>IF(U25="LLD","LLD",((PPB_Sm_Aliquot_Sent!U24/B25)^2+((U25*C25)^2)/(B25^2))^0.5)</f>
        <v>6.1087965502377506E-4</v>
      </c>
      <c r="W25">
        <f t="shared" si="4"/>
        <v>2.4834163250276573</v>
      </c>
    </row>
    <row r="26" spans="1:27" x14ac:dyDescent="0.25">
      <c r="A26" s="44" t="s">
        <v>14</v>
      </c>
      <c r="B26">
        <v>14.39220773882896</v>
      </c>
      <c r="C26">
        <v>4.608868424402162E-2</v>
      </c>
      <c r="D26">
        <v>3.2023359501460119E-3</v>
      </c>
      <c r="E26">
        <v>940.58147763512409</v>
      </c>
      <c r="F26">
        <v>16.010499051571564</v>
      </c>
      <c r="G26">
        <v>1.7021916157467065E-2</v>
      </c>
      <c r="I26" t="str">
        <f>IF(PPB_Sm_Aliquot_Sent!B25="LLD","LLD",PPB_Sm_Aliquot_Sent!B25/B26)</f>
        <v>LLD</v>
      </c>
      <c r="J26" t="str">
        <f>IF(I26="LLD","LLD",((PPB_Sm_Aliquot_Sent!C25/B26)^2+((PPB_Sm_Aliquot_Sent!B25*C26)^2)/(B26^4))^0.5)</f>
        <v>LLD</v>
      </c>
      <c r="K26" s="12" t="str">
        <f t="shared" si="0"/>
        <v>LLD</v>
      </c>
      <c r="L26">
        <f>IF(PPB_Sm_Aliquot_Sent!E25="LLD","LLD",PPB_Sm_Aliquot_Sent!E25/B26)</f>
        <v>1.4508503498994056E-4</v>
      </c>
      <c r="M26">
        <f>IF(L26="LLD","LLD",((PPB_Sm_Aliquot_Sent!F25/B26)^2+((L26*C26)^2)/(B26^2))^0.5)</f>
        <v>2.6835166861136193E-6</v>
      </c>
      <c r="N26" s="12">
        <f t="shared" si="1"/>
        <v>1.849616458582155E-2</v>
      </c>
      <c r="O26" t="str">
        <f>IF(PPB_Sm_Aliquot_Sent!H25="LLD","LLD",PPB_Sm_Aliquot_Sent!H25/B26)</f>
        <v>LLD</v>
      </c>
      <c r="P26" t="str">
        <f>IF(O26="LLD","LLD",((PPB_Sm_Aliquot_Sent!I25/B26)^2+((O26*C26)^2)/(B26^2))^0.5)</f>
        <v>LLD</v>
      </c>
      <c r="Q26" s="12" t="str">
        <f t="shared" si="2"/>
        <v>LLD</v>
      </c>
      <c r="R26" t="str">
        <f>IF(PPB_Sm_Aliquot_Sent!K25="LLD","LLD",PPB_Sm_Aliquot_Sent!K25/B26)</f>
        <v>LLD</v>
      </c>
      <c r="S26" t="str">
        <f>IF(R26="LLD","LLD",((PPB_Sm_Aliquot_Sent!L25/B26)^2+((R26*C26)^2)/(B26^2))^0.5)</f>
        <v>LLD</v>
      </c>
      <c r="T26" s="12" t="str">
        <f t="shared" si="3"/>
        <v>LLD</v>
      </c>
      <c r="U26">
        <f>IF(PPB_Sm_Aliquot_Sent!T25="LLD","LLD",PPB_Sm_Aliquot_Sent!T25/B26)</f>
        <v>1.4508503498994056E-4</v>
      </c>
      <c r="V26">
        <f>IF(U26="LLD","LLD",((PPB_Sm_Aliquot_Sent!U25/B26)^2+((U26*C26)^2)/(B26^2))^0.5)</f>
        <v>2.6835166861136193E-6</v>
      </c>
      <c r="W26">
        <f t="shared" si="4"/>
        <v>1.849616458582155E-2</v>
      </c>
    </row>
    <row r="27" spans="1:27" x14ac:dyDescent="0.25">
      <c r="A27" s="44" t="s">
        <v>15</v>
      </c>
      <c r="B27">
        <v>3.174427454378518</v>
      </c>
      <c r="C27">
        <v>1.0157668795235126E-2</v>
      </c>
      <c r="D27">
        <v>3.1998427877835281E-3</v>
      </c>
      <c r="E27">
        <v>797.09799106696073</v>
      </c>
      <c r="F27">
        <v>13.568077754957459</v>
      </c>
      <c r="G27">
        <v>1.7021844123325188E-2</v>
      </c>
      <c r="I27" t="str">
        <f>IF(PPB_Sm_Aliquot_Sent!B26="LLD","LLD",PPB_Sm_Aliquot_Sent!B26/B27)</f>
        <v>LLD</v>
      </c>
      <c r="J27" t="str">
        <f>IF(I27="LLD","LLD",((PPB_Sm_Aliquot_Sent!C26/B27)^2+((PPB_Sm_Aliquot_Sent!B26*C27)^2)/(B27^4))^0.5)</f>
        <v>LLD</v>
      </c>
      <c r="K27" s="12" t="str">
        <f t="shared" si="0"/>
        <v>LLD</v>
      </c>
      <c r="L27">
        <f>IF(PPB_Sm_Aliquot_Sent!E26="LLD","LLD",PPB_Sm_Aliquot_Sent!E26/B27)</f>
        <v>1.789668585218849E-4</v>
      </c>
      <c r="M27">
        <f>IF(L27="LLD","LLD",((PPB_Sm_Aliquot_Sent!F26/B27)^2+((L27*C27)^2)/(B27^2))^0.5)</f>
        <v>5.8393396884479086E-6</v>
      </c>
      <c r="N27" s="12">
        <f t="shared" si="1"/>
        <v>3.2628050448423374E-2</v>
      </c>
      <c r="O27" t="str">
        <f>IF(PPB_Sm_Aliquot_Sent!H26="LLD","LLD",PPB_Sm_Aliquot_Sent!H26/B27)</f>
        <v>LLD</v>
      </c>
      <c r="P27" t="str">
        <f>IF(O27="LLD","LLD",((PPB_Sm_Aliquot_Sent!I26/B27)^2+((O27*C27)^2)/(B27^2))^0.5)</f>
        <v>LLD</v>
      </c>
      <c r="Q27" s="12" t="str">
        <f t="shared" si="2"/>
        <v>LLD</v>
      </c>
      <c r="R27" t="str">
        <f>IF(PPB_Sm_Aliquot_Sent!K26="LLD","LLD",PPB_Sm_Aliquot_Sent!K26/B27)</f>
        <v>LLD</v>
      </c>
      <c r="S27" t="str">
        <f>IF(R27="LLD","LLD",((PPB_Sm_Aliquot_Sent!L26/B27)^2+((R27*C27)^2)/(B27^2))^0.5)</f>
        <v>LLD</v>
      </c>
      <c r="T27" s="12" t="str">
        <f t="shared" si="3"/>
        <v>LLD</v>
      </c>
      <c r="U27">
        <f>IF(PPB_Sm_Aliquot_Sent!T26="LLD","LLD",PPB_Sm_Aliquot_Sent!T26/B27)</f>
        <v>1.789668585218849E-4</v>
      </c>
      <c r="V27">
        <f>IF(U27="LLD","LLD",((PPB_Sm_Aliquot_Sent!U26/B27)^2+((U27*C27)^2)/(B27^2))^0.5)</f>
        <v>5.8393396884479086E-6</v>
      </c>
      <c r="W27">
        <f t="shared" si="4"/>
        <v>3.2628050448423374E-2</v>
      </c>
    </row>
    <row r="28" spans="1:27" x14ac:dyDescent="0.25">
      <c r="A28" s="44" t="s">
        <v>16</v>
      </c>
      <c r="B28">
        <v>34.639361570936096</v>
      </c>
      <c r="C28">
        <v>0.11094976596509183</v>
      </c>
      <c r="D28">
        <v>3.2029968490580791E-3</v>
      </c>
      <c r="E28">
        <v>304.33186019584014</v>
      </c>
      <c r="F28">
        <v>5.1802011518064868</v>
      </c>
      <c r="G28">
        <v>1.7021553867127101E-2</v>
      </c>
      <c r="I28">
        <f>IF(PPB_Sm_Aliquot_Sent!B27="LLD","LLD",PPB_Sm_Aliquot_Sent!B27/B28)</f>
        <v>2.7617252577284405E-5</v>
      </c>
      <c r="J28">
        <f>IF(I28="LLD","LLD",((PPB_Sm_Aliquot_Sent!C27/B28)^2+((PPB_Sm_Aliquot_Sent!B27*C28)^2)/(B28^4))^0.5)</f>
        <v>4.6191209657627425E-4</v>
      </c>
      <c r="K28" s="12">
        <f t="shared" si="0"/>
        <v>16.725490534717551</v>
      </c>
      <c r="L28">
        <f>IF(PPB_Sm_Aliquot_Sent!E27="LLD","LLD",PPB_Sm_Aliquot_Sent!E27/B28)</f>
        <v>2.6994085628512032E-4</v>
      </c>
      <c r="M28">
        <f>IF(L28="LLD","LLD",((PPB_Sm_Aliquot_Sent!F27/B28)^2+((L28*C28)^2)/(B28^2))^0.5)</f>
        <v>3.2501781806284665E-6</v>
      </c>
      <c r="N28" s="12">
        <f t="shared" si="1"/>
        <v>1.2040334410125463E-2</v>
      </c>
      <c r="O28">
        <f>IF(PPB_Sm_Aliquot_Sent!H27="LLD","LLD",PPB_Sm_Aliquot_Sent!H27/B28)</f>
        <v>3.2967824835741349E-4</v>
      </c>
      <c r="P28">
        <f>IF(O28="LLD","LLD",((PPB_Sm_Aliquot_Sent!I27/B28)^2+((O28*C28)^2)/(B28^2))^0.5)</f>
        <v>9.2383318735895462E-4</v>
      </c>
      <c r="Q28" s="12">
        <f t="shared" si="2"/>
        <v>2.8022266921213466</v>
      </c>
      <c r="R28" t="str">
        <f>IF(PPB_Sm_Aliquot_Sent!K27="LLD","LLD",PPB_Sm_Aliquot_Sent!K27/B28)</f>
        <v>LLD</v>
      </c>
      <c r="S28" t="str">
        <f>IF(R28="LLD","LLD",((PPB_Sm_Aliquot_Sent!L27/B28)^2+((R28*C28)^2)/(B28^2))^0.5)</f>
        <v>LLD</v>
      </c>
      <c r="T28" s="12" t="str">
        <f t="shared" si="3"/>
        <v>LLD</v>
      </c>
      <c r="U28">
        <f>IF(PPB_Sm_Aliquot_Sent!T27="LLD","LLD",PPB_Sm_Aliquot_Sent!T27/B28)</f>
        <v>6.2723635721981816E-4</v>
      </c>
      <c r="V28">
        <f>IF(U28="LLD","LLD",((PPB_Sm_Aliquot_Sent!U27/B28)^2+((U28*C28)^2)/(B28^2))^0.5)</f>
        <v>1.0328810543684455E-3</v>
      </c>
      <c r="W28">
        <f t="shared" si="4"/>
        <v>1.6467174494581587</v>
      </c>
    </row>
    <row r="29" spans="1:27" x14ac:dyDescent="0.25">
      <c r="A29" s="44" t="s">
        <v>17</v>
      </c>
      <c r="B29">
        <v>9.6309025495974812</v>
      </c>
      <c r="C29">
        <v>3.0777362136527073E-2</v>
      </c>
      <c r="D29">
        <v>3.1956882522722026E-3</v>
      </c>
      <c r="E29">
        <v>88.691330075357783</v>
      </c>
      <c r="F29">
        <v>1.5097444019041772</v>
      </c>
      <c r="G29">
        <v>1.7022457557253935E-2</v>
      </c>
      <c r="I29">
        <f>IF(PPB_Sm_Aliquot_Sent!B28="LLD","LLD",PPB_Sm_Aliquot_Sent!B28/B29)</f>
        <v>1.0948653399923604E-4</v>
      </c>
      <c r="J29">
        <f>IF(I29="LLD","LLD",((PPB_Sm_Aliquot_Sent!C28/B29)^2+((PPB_Sm_Aliquot_Sent!B28*C29)^2)/(B29^4))^0.5)</f>
        <v>1.6613550509312074E-3</v>
      </c>
      <c r="K29" s="12">
        <f t="shared" si="0"/>
        <v>15.174058308785259</v>
      </c>
      <c r="L29">
        <f>IF(PPB_Sm_Aliquot_Sent!E28="LLD","LLD",PPB_Sm_Aliquot_Sent!E28/B29)</f>
        <v>1.0096816359806938E-3</v>
      </c>
      <c r="M29">
        <f>IF(L29="LLD","LLD",((PPB_Sm_Aliquot_Sent!F28/B29)^2+((L29*C29)^2)/(B29^2))^0.5)</f>
        <v>1.2091306269964308E-5</v>
      </c>
      <c r="N29" s="12">
        <f t="shared" si="1"/>
        <v>1.1975365143905131E-2</v>
      </c>
      <c r="O29">
        <f>IF(PPB_Sm_Aliquot_Sent!H28="LLD","LLD",PPB_Sm_Aliquot_Sent!H28/B29)</f>
        <v>1.1177825716069407E-3</v>
      </c>
      <c r="P29">
        <f>IF(O29="LLD","LLD",((PPB_Sm_Aliquot_Sent!I28/B29)^2+((O29*C29)^2)/(B29^2))^0.5)</f>
        <v>3.3227361322595503E-3</v>
      </c>
      <c r="Q29" s="12">
        <f t="shared" si="2"/>
        <v>2.972614009791489</v>
      </c>
      <c r="R29">
        <f>IF(PPB_Sm_Aliquot_Sent!K28="LLD","LLD",PPB_Sm_Aliquot_Sent!K28/B29)</f>
        <v>4.7316572852307242E-5</v>
      </c>
      <c r="S29">
        <f>IF(R29="LLD","LLD",((PPB_Sm_Aliquot_Sent!L28/B29)^2+((R29*C29)^2)/(B29^2))^0.5)</f>
        <v>3.0538634392074104E-3</v>
      </c>
      <c r="T29" s="12">
        <f t="shared" si="3"/>
        <v>64.541095331220689</v>
      </c>
      <c r="U29">
        <f>IF(PPB_Sm_Aliquot_Sent!T28="LLD","LLD",PPB_Sm_Aliquot_Sent!T28/B29)</f>
        <v>2.2842673144391774E-3</v>
      </c>
      <c r="V29">
        <f>IF(U29="LLD","LLD",((PPB_Sm_Aliquot_Sent!U28/B29)^2+((U29*C29)^2)/(B29^2))^0.5)</f>
        <v>4.8090471078858143E-3</v>
      </c>
      <c r="W29">
        <f t="shared" si="4"/>
        <v>2.1052908639401116</v>
      </c>
    </row>
    <row r="30" spans="1:27" x14ac:dyDescent="0.25">
      <c r="A30" s="44" t="s">
        <v>18</v>
      </c>
      <c r="B30">
        <v>12.884693996362936</v>
      </c>
      <c r="C30">
        <v>4.121254196213224E-2</v>
      </c>
      <c r="D30">
        <v>3.1985658311920817E-3</v>
      </c>
      <c r="E30">
        <v>124.35968653875581</v>
      </c>
      <c r="F30">
        <v>2.1168136701904681</v>
      </c>
      <c r="G30">
        <v>1.7021703166892256E-2</v>
      </c>
      <c r="I30">
        <f>IF(PPB_Sm_Aliquot_Sent!B29="LLD","LLD",PPB_Sm_Aliquot_Sent!B29/B30)</f>
        <v>6.6058977389672679E-5</v>
      </c>
      <c r="J30">
        <f>IF(I30="LLD","LLD",((PPB_Sm_Aliquot_Sent!C29/B30)^2+((PPB_Sm_Aliquot_Sent!B29*C30)^2)/(B30^4))^0.5)</f>
        <v>1.2418095446272569E-3</v>
      </c>
      <c r="K30" s="12">
        <f t="shared" si="0"/>
        <v>18.798497852941257</v>
      </c>
      <c r="L30">
        <f>IF(PPB_Sm_Aliquot_Sent!E29="LLD","LLD",PPB_Sm_Aliquot_Sent!E29/B30)</f>
        <v>7.3908159659005497E-4</v>
      </c>
      <c r="M30">
        <f>IF(L30="LLD","LLD",((PPB_Sm_Aliquot_Sent!F29/B30)^2+((L30*C30)^2)/(B30^2))^0.5)</f>
        <v>8.9075296343925849E-6</v>
      </c>
      <c r="N30" s="12">
        <f t="shared" si="1"/>
        <v>1.205215997190268E-2</v>
      </c>
      <c r="O30">
        <f>IF(PPB_Sm_Aliquot_Sent!H29="LLD","LLD",PPB_Sm_Aliquot_Sent!H29/B30)</f>
        <v>9.0657960439225176E-4</v>
      </c>
      <c r="P30">
        <f>IF(O30="LLD","LLD",((PPB_Sm_Aliquot_Sent!I29/B30)^2+((O30*C30)^2)/(B30^2))^0.5)</f>
        <v>2.4836457676804791E-3</v>
      </c>
      <c r="Q30" s="12">
        <f t="shared" si="2"/>
        <v>2.7395782517581044</v>
      </c>
      <c r="R30">
        <f>IF(PPB_Sm_Aliquot_Sent!K29="LLD","LLD",PPB_Sm_Aliquot_Sent!K29/B30)</f>
        <v>5.2240229695693646E-5</v>
      </c>
      <c r="S30">
        <f>IF(R30="LLD","LLD",((PPB_Sm_Aliquot_Sent!L29/B30)^2+((R30*C30)^2)/(B30^2))^0.5)</f>
        <v>2.2826677721167195E-3</v>
      </c>
      <c r="T30" s="12">
        <f t="shared" si="3"/>
        <v>43.695592178931179</v>
      </c>
      <c r="U30">
        <f>IF(PPB_Sm_Aliquot_Sent!T29="LLD","LLD",PPB_Sm_Aliquot_Sent!T29/B30)</f>
        <v>1.7639604080676729E-3</v>
      </c>
      <c r="V30">
        <f>IF(U30="LLD","LLD",((PPB_Sm_Aliquot_Sent!U29/B30)^2+((U30*C30)^2)/(B30^2))^0.5)</f>
        <v>3.5946149321629487E-3</v>
      </c>
      <c r="W30">
        <f t="shared" si="4"/>
        <v>2.0378093044053425</v>
      </c>
    </row>
    <row r="31" spans="1:27" x14ac:dyDescent="0.25">
      <c r="Y31" t="s">
        <v>74</v>
      </c>
      <c r="Z31" t="s">
        <v>33</v>
      </c>
      <c r="AA31" t="s">
        <v>36</v>
      </c>
    </row>
    <row r="32" spans="1:27" x14ac:dyDescent="0.25">
      <c r="B32">
        <f>B8/(B4*12)</f>
        <v>1.0680051808895499</v>
      </c>
      <c r="C32">
        <f>((C8/B4)^2+((B8*C4)/(B4^2))^2)^0.5</f>
        <v>9.7666721679420671E-2</v>
      </c>
      <c r="D32" s="12">
        <f>C32/B32</f>
        <v>9.144779765775414E-2</v>
      </c>
      <c r="E32">
        <f>E8/(E4*12)</f>
        <v>16.101616155147333</v>
      </c>
      <c r="F32">
        <f>((F8/E4)^2+((E8*F4)/(E4^2))^2)^0.5</f>
        <v>4.8339458844861527</v>
      </c>
      <c r="G32" s="12">
        <f>F32/E32</f>
        <v>0.30021494972359319</v>
      </c>
      <c r="H32" t="s">
        <v>75</v>
      </c>
      <c r="I32">
        <f>I8/I4</f>
        <v>2.4278960180489437</v>
      </c>
      <c r="J32">
        <f>((J8/I4)^2+((I8*J4)/(I4^2))^2)^0.5</f>
        <v>0.50503504042545433</v>
      </c>
      <c r="K32" s="12">
        <f>J32/I32</f>
        <v>0.20801345554794407</v>
      </c>
      <c r="L32">
        <f t="shared" ref="L32:O32" si="5">L8/L4</f>
        <v>2.5526371534936301</v>
      </c>
      <c r="M32">
        <f>((M8/L4)^2+((L8*M4)/(L4^2))^2)^0.5</f>
        <v>6.6959698009289081E-2</v>
      </c>
      <c r="N32" s="12">
        <f>M32/L32</f>
        <v>2.6231576986038011E-2</v>
      </c>
      <c r="O32">
        <f t="shared" si="5"/>
        <v>2.5881611951007746</v>
      </c>
      <c r="P32">
        <f>((P8/O4)^2+((O8*P4)/(O4^2))^2)^0.5</f>
        <v>0.39234614164339848</v>
      </c>
      <c r="Q32" s="12">
        <f>P32/O32</f>
        <v>0.15159262196886536</v>
      </c>
      <c r="R32">
        <f>R8/R4</f>
        <v>1.4528080226149016</v>
      </c>
      <c r="S32">
        <f>((S8/R4)^2+((R8*S4)/(R4^2))^2)^0.5</f>
        <v>0.26969983014482946</v>
      </c>
      <c r="T32" s="12">
        <f>S32/R32</f>
        <v>0.18564037776952672</v>
      </c>
      <c r="U32">
        <f>U8/U4</f>
        <v>2.2182361299653919</v>
      </c>
      <c r="V32" s="12">
        <f>((V8/U4)^2+((U8*V4)/(U4^2))^2)^0.5</f>
        <v>0.19560434736740243</v>
      </c>
      <c r="Y32">
        <f>AVERAGE(I32,L32,O32,R32)</f>
        <v>2.2553755973145622</v>
      </c>
      <c r="Z32">
        <f>(1/4)*(J32^2+M32^2+P32^2+S32^2)^0.5</f>
        <v>0.17432324257999257</v>
      </c>
      <c r="AA32" s="12">
        <f>Z32/Y32</f>
        <v>7.7292333386756659E-2</v>
      </c>
    </row>
    <row r="33" spans="2:27" x14ac:dyDescent="0.25">
      <c r="B33">
        <f>B4/B5</f>
        <v>13.40077131805459</v>
      </c>
      <c r="D33" s="12"/>
      <c r="E33">
        <f>E4/E5</f>
        <v>201.69301134665679</v>
      </c>
      <c r="G33" s="12"/>
      <c r="H33" t="s">
        <v>76</v>
      </c>
      <c r="I33">
        <f>I4/I5</f>
        <v>9.0884777699737409</v>
      </c>
      <c r="K33" s="12"/>
      <c r="L33">
        <f t="shared" ref="L33:R34" si="6">L4/L5</f>
        <v>1.4323151140225314</v>
      </c>
      <c r="N33" s="12"/>
      <c r="O33" t="e">
        <f t="shared" si="6"/>
        <v>#VALUE!</v>
      </c>
      <c r="R33">
        <f t="shared" si="6"/>
        <v>0.97938080442707198</v>
      </c>
      <c r="V33" s="12"/>
      <c r="AA33" s="12"/>
    </row>
    <row r="34" spans="2:27" x14ac:dyDescent="0.25">
      <c r="B34">
        <f>B5/B6</f>
        <v>12.531604819856527</v>
      </c>
      <c r="D34" s="12"/>
      <c r="E34">
        <f>E5/E6</f>
        <v>1.2347723441824159</v>
      </c>
      <c r="G34" s="12"/>
      <c r="H34" t="s">
        <v>77</v>
      </c>
      <c r="I34" t="e">
        <f>I5/I6</f>
        <v>#VALUE!</v>
      </c>
      <c r="K34" s="12"/>
      <c r="L34">
        <f t="shared" si="6"/>
        <v>1.93454437950186E-2</v>
      </c>
      <c r="N34" s="12"/>
      <c r="O34" t="e">
        <f t="shared" si="6"/>
        <v>#VALUE!</v>
      </c>
      <c r="R34">
        <f t="shared" si="6"/>
        <v>9.5713164153203509E-3</v>
      </c>
      <c r="V34" s="12"/>
      <c r="AA34" s="12"/>
    </row>
    <row r="35" spans="2:27" x14ac:dyDescent="0.25">
      <c r="B35">
        <f>B8/B6</f>
        <v>2152.2419528663581</v>
      </c>
      <c r="D35" s="12"/>
      <c r="E35">
        <f>E8/E6</f>
        <v>48120.314752030856</v>
      </c>
      <c r="G35" s="12"/>
      <c r="H35" t="s">
        <v>78</v>
      </c>
      <c r="I35" t="e">
        <f>I8/I6</f>
        <v>#VALUE!</v>
      </c>
      <c r="K35" s="12"/>
      <c r="L35">
        <f t="shared" ref="L35:R35" si="7">L8/L6</f>
        <v>7.0730439698108202E-2</v>
      </c>
      <c r="N35" s="12"/>
      <c r="O35">
        <f t="shared" si="7"/>
        <v>0.1561257640137233</v>
      </c>
      <c r="R35">
        <f t="shared" si="7"/>
        <v>1.3618569478577163E-2</v>
      </c>
      <c r="V35" s="12"/>
      <c r="AA35" s="12"/>
    </row>
    <row r="36" spans="2:27" x14ac:dyDescent="0.25">
      <c r="B36">
        <f>B8/B20</f>
        <v>1.3163344304582099</v>
      </c>
      <c r="C36">
        <f>((C8/B20)^2+((B8*C20)/(B20^2))^2)^0.5</f>
        <v>2.1105744576771984E-2</v>
      </c>
      <c r="D36" s="12">
        <f t="shared" ref="D36" si="8">C36/B36</f>
        <v>1.6033725236090021E-2</v>
      </c>
      <c r="E36">
        <f>E8/E20</f>
        <v>9.0119168603050941</v>
      </c>
      <c r="F36">
        <f>((F8/E20)^2+((E8*F20)/(E20^2))^2)^0.5</f>
        <v>0.26601992038775041</v>
      </c>
      <c r="G36" s="12">
        <f t="shared" ref="G36" si="9">F36/E36</f>
        <v>2.9518683373510886E-2</v>
      </c>
      <c r="H36" t="s">
        <v>79</v>
      </c>
      <c r="I36">
        <f>I8/I20</f>
        <v>4.2323116449317162</v>
      </c>
      <c r="J36">
        <f>((J8/I20)^2+((I8*J20)/(I20^2))^2)^0.5</f>
        <v>0.20934825870171683</v>
      </c>
      <c r="K36" s="12">
        <f t="shared" ref="K36" si="10">J36/I36</f>
        <v>4.9464282468994425E-2</v>
      </c>
      <c r="L36">
        <f t="shared" ref="L36:O36" si="11">L8/L20</f>
        <v>4.3797892099141258</v>
      </c>
      <c r="M36">
        <f>((M8/L20)^2+((L8*M20)/(L20^2))^2)^0.5</f>
        <v>0.13541211071046907</v>
      </c>
      <c r="N36" s="12">
        <f t="shared" ref="N36" si="12">M36/L36</f>
        <v>3.0917494934219469E-2</v>
      </c>
      <c r="O36">
        <f t="shared" si="11"/>
        <v>4.4737488158395236</v>
      </c>
      <c r="P36">
        <f>((P8/O20)^2+((O8*P20)/(O20^2))^2)^0.5</f>
        <v>0.17538829740244885</v>
      </c>
      <c r="Q36" s="12">
        <f>P36/O36</f>
        <v>3.9203876798240909E-2</v>
      </c>
      <c r="R36">
        <f>R8/R20</f>
        <v>4.6165695331645358</v>
      </c>
      <c r="S36">
        <f>((S8/R20)^2+((R8*S20)/(R20^2))^2)^0.5</f>
        <v>0.31605625163423523</v>
      </c>
      <c r="T36" s="12">
        <f>S36/R36</f>
        <v>6.8461278307138815E-2</v>
      </c>
      <c r="U36">
        <f>U8/U20</f>
        <v>4.4435168850817295</v>
      </c>
      <c r="V36" s="12">
        <f>((V8/U20)^2+((U8*V20)/(U20^2))^2)^0.5</f>
        <v>0.12379341184344801</v>
      </c>
      <c r="Y36">
        <f>AVERAGE(I36,L36,O36,R36)</f>
        <v>4.4256048009624758</v>
      </c>
      <c r="Z36">
        <f>(1/4)*(J36^2+M36^2+P36^2+S36^2)^0.5</f>
        <v>0.10977697339700791</v>
      </c>
      <c r="AA36" s="12">
        <f t="shared" ref="AA36" si="13">Z36/Y36</f>
        <v>2.4804965272347348E-2</v>
      </c>
    </row>
    <row r="37" spans="2:27" x14ac:dyDescent="0.25">
      <c r="B37">
        <f>B22/B9</f>
        <v>5.0017128336417302</v>
      </c>
      <c r="E37">
        <f>E22/E9</f>
        <v>4.5393386061348888</v>
      </c>
      <c r="H37" t="s">
        <v>80</v>
      </c>
      <c r="I37">
        <f>I22/I9</f>
        <v>7.9916766482835895</v>
      </c>
      <c r="L37">
        <f t="shared" ref="L37:R37" si="14">L22/L9</f>
        <v>6.732055503114827</v>
      </c>
      <c r="O37">
        <f t="shared" si="14"/>
        <v>7.7465579278494827</v>
      </c>
      <c r="R37">
        <f t="shared" si="14"/>
        <v>2.7678289886383705</v>
      </c>
    </row>
    <row r="38" spans="2:27" x14ac:dyDescent="0.25">
      <c r="B38">
        <f>B14/B23</f>
        <v>38.950565512772421</v>
      </c>
      <c r="E38">
        <f>E14/E23</f>
        <v>20.82950011251258</v>
      </c>
      <c r="H38" t="s">
        <v>81</v>
      </c>
      <c r="I38">
        <f>I14/I23</f>
        <v>6.8164084303330805E-4</v>
      </c>
      <c r="L38">
        <f t="shared" ref="L38:R38" si="15">L14/L23</f>
        <v>2.3773667846754849E-3</v>
      </c>
      <c r="O38">
        <f t="shared" si="15"/>
        <v>1.9061875616054908E-3</v>
      </c>
      <c r="R38">
        <f t="shared" si="15"/>
        <v>6.8669804383446444E-3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B17" sqref="B17"/>
    </sheetView>
  </sheetViews>
  <sheetFormatPr defaultRowHeight="15" x14ac:dyDescent="0.25"/>
  <cols>
    <col min="1" max="1" width="17" bestFit="1" customWidth="1"/>
    <col min="10" max="10" width="10.140625" bestFit="1" customWidth="1"/>
  </cols>
  <sheetData>
    <row r="1" spans="1:15" x14ac:dyDescent="0.25">
      <c r="A1" t="str">
        <f>PPB_Sm_Aliquot_Sent!A1</f>
        <v>Sample ID</v>
      </c>
      <c r="B1" s="30" t="str">
        <f>PPB_Sm_Aliquot_Sent!B1</f>
        <v>Sm 149</v>
      </c>
      <c r="C1" t="str">
        <f>PPB_Sm_Aliquot_Sent!C1</f>
        <v>±</v>
      </c>
      <c r="D1" t="str">
        <f>PPB_Sm_Aliquot_Sent!D1</f>
        <v>%</v>
      </c>
      <c r="E1" s="30" t="str">
        <f>PPB_Sm_Aliquot_Sent!E1</f>
        <v>Sm 151</v>
      </c>
      <c r="F1" t="str">
        <f>PPB_Sm_Aliquot_Sent!F1</f>
        <v>±</v>
      </c>
      <c r="G1" t="str">
        <f>PPB_Sm_Aliquot_Sent!G1</f>
        <v>%</v>
      </c>
      <c r="H1" s="30" t="str">
        <f>PPB_Sm_Aliquot_Sent!H1</f>
        <v>Sm 152</v>
      </c>
      <c r="I1" t="str">
        <f>PPB_Sm_Aliquot_Sent!I1</f>
        <v>±</v>
      </c>
      <c r="J1" t="str">
        <f>PPB_Sm_Aliquot_Sent!J1</f>
        <v>%</v>
      </c>
      <c r="K1" s="30" t="str">
        <f>PPB_Sm_Aliquot_Sent!K1</f>
        <v>Sm 154</v>
      </c>
      <c r="L1" t="str">
        <f>PPB_Sm_Aliquot_Sent!L1</f>
        <v>±</v>
      </c>
      <c r="M1" t="str">
        <f>PPB_Sm_Aliquot_Sent!M1</f>
        <v>%</v>
      </c>
    </row>
    <row r="2" spans="1:15" x14ac:dyDescent="0.25">
      <c r="A2" t="str">
        <f>PPB_Sm_Aliquot_Sent!A2</f>
        <v>87G Trace</v>
      </c>
      <c r="B2" s="30">
        <f>PPB_Sm_Aliquot_Sent!B2</f>
        <v>2.3681381531575929</v>
      </c>
      <c r="C2">
        <f>PPB_Sm_Aliquot_Sent!C2</f>
        <v>4.8408628805090073E-2</v>
      </c>
      <c r="D2" s="12">
        <f>PPB_Sm_Aliquot_Sent!D2</f>
        <v>2.0441640510095956E-2</v>
      </c>
      <c r="E2" s="30">
        <f>PPB_Sm_Aliquot_Sent!E2</f>
        <v>2.773816000536967</v>
      </c>
      <c r="F2">
        <f>PPB_Sm_Aliquot_Sent!F2</f>
        <v>5.0908748825126277E-2</v>
      </c>
      <c r="G2" s="12">
        <f>PPB_Sm_Aliquot_Sent!G2</f>
        <v>1.8353325820916436E-2</v>
      </c>
      <c r="H2" s="30">
        <f>PPB_Sm_Aliquot_Sent!H2</f>
        <v>7.3241642405040137</v>
      </c>
      <c r="I2">
        <f>PPB_Sm_Aliquot_Sent!I2</f>
        <v>0.13344799431008933</v>
      </c>
      <c r="J2" s="12">
        <f>PPB_Sm_Aliquot_Sent!J2</f>
        <v>1.8220235091411068E-2</v>
      </c>
      <c r="K2" s="30">
        <f>PPB_Sm_Aliquot_Sent!K2</f>
        <v>3.3110868099115285</v>
      </c>
      <c r="L2">
        <f>PPB_Sm_Aliquot_Sent!L2</f>
        <v>6.7731459526658086E-2</v>
      </c>
      <c r="M2" s="12">
        <f>PPB_Sm_Aliquot_Sent!M2</f>
        <v>2.0455960056350156E-2</v>
      </c>
    </row>
    <row r="3" spans="1:15" x14ac:dyDescent="0.25">
      <c r="A3" t="str">
        <f>PPB_Sm_Aliquot_Sent!A3</f>
        <v>90G Trace</v>
      </c>
      <c r="B3" s="30">
        <f>PPB_Sm_Aliquot_Sent!B3</f>
        <v>7.7705091280967614E-2</v>
      </c>
      <c r="C3">
        <f>PPB_Sm_Aliquot_Sent!C3</f>
        <v>1.6118796085210645E-2</v>
      </c>
      <c r="D3" s="12">
        <f>PPB_Sm_Aliquot_Sent!D3</f>
        <v>0.20743552088405612</v>
      </c>
      <c r="E3" s="30">
        <f>PPB_Sm_Aliquot_Sent!E3</f>
        <v>8.1419660079651276E-2</v>
      </c>
      <c r="F3">
        <f>PPB_Sm_Aliquot_Sent!F3</f>
        <v>1.8579888230177712E-3</v>
      </c>
      <c r="G3" s="12">
        <f>PPB_Sm_Aliquot_Sent!G3</f>
        <v>2.2819903954402865E-2</v>
      </c>
      <c r="H3" s="30">
        <f>PPB_Sm_Aliquot_Sent!H3</f>
        <v>0.21325471642782118</v>
      </c>
      <c r="I3">
        <f>PPB_Sm_Aliquot_Sent!I3</f>
        <v>3.2201912695218667E-2</v>
      </c>
      <c r="J3" s="12">
        <f>PPB_Sm_Aliquot_Sent!J3</f>
        <v>0.15100211256578619</v>
      </c>
      <c r="K3" s="30">
        <f>PPB_Sm_Aliquot_Sent!K3</f>
        <v>0.15991929496310742</v>
      </c>
      <c r="L3">
        <f>PPB_Sm_Aliquot_Sent!L3</f>
        <v>2.9570870953231191E-2</v>
      </c>
      <c r="M3" s="12">
        <f>PPB_Sm_Aliquot_Sent!M3</f>
        <v>0.1849112138723038</v>
      </c>
    </row>
    <row r="4" spans="1:15" x14ac:dyDescent="0.25">
      <c r="A4" t="str">
        <f>PPB_Sm_Aliquot_Sent!A4</f>
        <v>93G Trace</v>
      </c>
      <c r="B4" s="30">
        <f>IF(PPB_Sm_Aliquot_Sent!B4="LLD","LLD",PPB_Sm_Aliquot_Sent!B4*12)</f>
        <v>7.6561384006751561E-3</v>
      </c>
      <c r="C4">
        <f>IF(PPB_Sm_Aliquot_Sent!C4="LLD","LLD",PPB_Sm_Aliquot_Sent!C4*12)</f>
        <v>0.19207858620989079</v>
      </c>
      <c r="D4" s="12">
        <f>IF(PPB_Sm_Aliquot_Sent!D4="LLD","LLD",PPB_Sm_Aliquot_Sent!D4*12)</f>
        <v>301.0581723960774</v>
      </c>
      <c r="E4" s="30">
        <f>IF(PPB_Sm_Aliquot_Sent!E4="LLD","LLD",PPB_Sm_Aliquot_Sent!E4*12)</f>
        <v>5.0902857200326584E-2</v>
      </c>
      <c r="F4">
        <f>IF(PPB_Sm_Aliquot_Sent!F4="LLD","LLD",PPB_Sm_Aliquot_Sent!F4*12)</f>
        <v>4.0542432320200715E-3</v>
      </c>
      <c r="G4" s="12">
        <f>IF(PPB_Sm_Aliquot_Sent!G4="LLD","LLD",PPB_Sm_Aliquot_Sent!G4*12)</f>
        <v>0.95576007831498921</v>
      </c>
      <c r="H4" s="30" t="str">
        <f>IF(PPB_Sm_Aliquot_Sent!H4="LLD","LLD",PPB_Sm_Aliquot_Sent!H4*12)</f>
        <v>LLD</v>
      </c>
      <c r="I4" t="str">
        <f>IF(PPB_Sm_Aliquot_Sent!I4="LLD","LLD",PPB_Sm_Aliquot_Sent!I4*12)</f>
        <v>LLD</v>
      </c>
      <c r="J4" s="12" t="str">
        <f>IF(PPB_Sm_Aliquot_Sent!J4="LLD","LLD",PPB_Sm_Aliquot_Sent!J4*12)</f>
        <v>LLD</v>
      </c>
      <c r="K4" s="30">
        <f>IF(PPB_Sm_Aliquot_Sent!K4="LLD","LLD",PPB_Sm_Aliquot_Sent!K4*12)</f>
        <v>0.14621796277422489</v>
      </c>
      <c r="L4">
        <f>IF(PPB_Sm_Aliquot_Sent!L4="LLD","LLD",PPB_Sm_Aliquot_Sent!L4*12)</f>
        <v>0.35310500065273448</v>
      </c>
      <c r="M4" s="12">
        <f>IF(PPB_Sm_Aliquot_Sent!M4="LLD","LLD",PPB_Sm_Aliquot_Sent!M4*12)</f>
        <v>28.979066097204246</v>
      </c>
    </row>
    <row r="5" spans="1:15" x14ac:dyDescent="0.25">
      <c r="A5" t="str">
        <f>PPB_Sm_Aliquot_Sent!A5</f>
        <v>96G Trace</v>
      </c>
      <c r="B5" s="30" t="str">
        <f>IF(PPB_Sm_Aliquot_Sent!B5="LLD","LLD",PPB_Sm_Aliquot_Sent!B5*144)</f>
        <v>LLD</v>
      </c>
      <c r="C5" t="str">
        <f>IF(PPB_Sm_Aliquot_Sent!C5="LLD","LLD",PPB_Sm_Aliquot_Sent!C5*144)</f>
        <v>LLD</v>
      </c>
      <c r="D5" s="12" t="str">
        <f>IF(PPB_Sm_Aliquot_Sent!D5="LLD","LLD",PPB_Sm_Aliquot_Sent!D5*144)</f>
        <v>LLD</v>
      </c>
      <c r="E5" s="30">
        <f>IF(PPB_Sm_Aliquot_Sent!E5="LLD","LLD",PPB_Sm_Aliquot_Sent!E5*144)</f>
        <v>2.5196372367815707</v>
      </c>
      <c r="F5">
        <f>IF(PPB_Sm_Aliquot_Sent!F5="LLD","LLD",PPB_Sm_Aliquot_Sent!F5*144)</f>
        <v>0.11794770904554995</v>
      </c>
      <c r="G5" s="12">
        <f>IF(PPB_Sm_Aliquot_Sent!G5="LLD","LLD",PPB_Sm_Aliquot_Sent!G5*144)</f>
        <v>6.7408394568156593</v>
      </c>
      <c r="H5" s="30">
        <f>IF(PPB_Sm_Aliquot_Sent!H5="LLD","LLD",PPB_Sm_Aliquot_Sent!H5*144)</f>
        <v>3.0313870758843566</v>
      </c>
      <c r="I5">
        <f>IF(PPB_Sm_Aliquot_Sent!I5="LLD","LLD",PPB_Sm_Aliquot_Sent!I5*144)</f>
        <v>4.6111697220926109</v>
      </c>
      <c r="J5" s="12">
        <f>IF(PPB_Sm_Aliquot_Sent!J5="LLD","LLD",PPB_Sm_Aliquot_Sent!J5*144)</f>
        <v>219.04442532718213</v>
      </c>
      <c r="K5" s="30">
        <f>IF(PPB_Sm_Aliquot_Sent!K5="LLD","LLD",PPB_Sm_Aliquot_Sent!K5*144)</f>
        <v>14.628628465877657</v>
      </c>
      <c r="L5">
        <f>IF(PPB_Sm_Aliquot_Sent!L5="LLD","LLD",PPB_Sm_Aliquot_Sent!L5*144)</f>
        <v>4.2496408214725863</v>
      </c>
      <c r="M5" s="12">
        <f>IF(PPB_Sm_Aliquot_Sent!M5="LLD","LLD",PPB_Sm_Aliquot_Sent!M5*144)</f>
        <v>41.832238731024333</v>
      </c>
    </row>
    <row r="6" spans="1:15" x14ac:dyDescent="0.25">
      <c r="A6" t="str">
        <f>PPB_Sm_Aliquot_Sent!A6</f>
        <v>30G Trace Waste</v>
      </c>
      <c r="B6" s="30">
        <f>PPB_Sm_Aliquot_Sent!B6</f>
        <v>3.1486980008127419</v>
      </c>
      <c r="C6">
        <f>PPB_Sm_Aliquot_Sent!C6</f>
        <v>4.3852703496138096E-2</v>
      </c>
      <c r="D6" s="12">
        <f>PPB_Sm_Aliquot_Sent!D6</f>
        <v>1.3927249766353851E-2</v>
      </c>
      <c r="E6" s="30">
        <f>PPB_Sm_Aliquot_Sent!E6</f>
        <v>3.6962215385107</v>
      </c>
      <c r="F6">
        <f>PPB_Sm_Aliquot_Sent!F6</f>
        <v>4.3449706511347844E-2</v>
      </c>
      <c r="G6" s="12">
        <f>PPB_Sm_Aliquot_Sent!G6</f>
        <v>1.175516836819657E-2</v>
      </c>
      <c r="H6" s="30">
        <f>PPB_Sm_Aliquot_Sent!H6</f>
        <v>9.3047456901776666</v>
      </c>
      <c r="I6">
        <f>PPB_Sm_Aliquot_Sent!I6</f>
        <v>0.11019810060978689</v>
      </c>
      <c r="J6" s="12">
        <f>PPB_Sm_Aliquot_Sent!J6</f>
        <v>1.1843214664761327E-2</v>
      </c>
      <c r="K6" s="30">
        <f>PPB_Sm_Aliquot_Sent!K6</f>
        <v>4.1568191273282196</v>
      </c>
      <c r="L6">
        <f>PPB_Sm_Aliquot_Sent!L6</f>
        <v>5.7777679562939943E-2</v>
      </c>
      <c r="M6" s="12">
        <f>PPB_Sm_Aliquot_Sent!M6</f>
        <v>1.3899493288772546E-2</v>
      </c>
    </row>
    <row r="7" spans="1:15" x14ac:dyDescent="0.25">
      <c r="A7" t="str">
        <f>PPB_Sm_Aliquot_Sent!A7</f>
        <v>30G Trace Original</v>
      </c>
      <c r="B7" s="30">
        <f>PPB_Sm_Aliquot_Sent!B7</f>
        <v>2.4178767730202102</v>
      </c>
      <c r="C7">
        <f>PPB_Sm_Aliquot_Sent!C7</f>
        <v>3.262145553358714E-2</v>
      </c>
      <c r="D7" s="12">
        <f>PPB_Sm_Aliquot_Sent!D7</f>
        <v>1.3491777537049224E-2</v>
      </c>
      <c r="E7" s="30">
        <f>PPB_Sm_Aliquot_Sent!E7</f>
        <v>2.6636243504272867</v>
      </c>
      <c r="F7">
        <f>PPB_Sm_Aliquot_Sent!F7</f>
        <v>2.7843897618579212E-2</v>
      </c>
      <c r="G7" s="12">
        <f>PPB_Sm_Aliquot_Sent!G7</f>
        <v>1.0453387548477929E-2</v>
      </c>
      <c r="H7" s="30">
        <f>PPB_Sm_Aliquot_Sent!H7</f>
        <v>7.0736663617925268</v>
      </c>
      <c r="I7">
        <f>PPB_Sm_Aliquot_Sent!I7</f>
        <v>7.7685067899736962E-2</v>
      </c>
      <c r="J7" s="12">
        <f>PPB_Sm_Aliquot_Sent!J7</f>
        <v>1.0982291774367898E-2</v>
      </c>
      <c r="K7" s="30">
        <f>PPB_Sm_Aliquot_Sent!K7</f>
        <v>2.9775818008689328</v>
      </c>
      <c r="L7">
        <f>PPB_Sm_Aliquot_Sent!L7</f>
        <v>4.336636444096123E-2</v>
      </c>
      <c r="M7" s="12">
        <f>PPB_Sm_Aliquot_Sent!M7</f>
        <v>1.4564289863776654E-2</v>
      </c>
    </row>
    <row r="9" spans="1:15" x14ac:dyDescent="0.25">
      <c r="B9">
        <f>B7/B3</f>
        <v>31.116066311248556</v>
      </c>
      <c r="D9" s="12"/>
      <c r="E9">
        <f t="shared" ref="E9:K9" si="0">E7/E3</f>
        <v>32.714756458348198</v>
      </c>
      <c r="H9">
        <f t="shared" si="0"/>
        <v>33.170034784138998</v>
      </c>
      <c r="K9">
        <f t="shared" si="0"/>
        <v>18.619277939887404</v>
      </c>
      <c r="O9" t="s">
        <v>48</v>
      </c>
    </row>
    <row r="12" spans="1:15" x14ac:dyDescent="0.25">
      <c r="B12" t="s">
        <v>45</v>
      </c>
    </row>
    <row r="16" spans="1:15" x14ac:dyDescent="0.25">
      <c r="A16" t="s">
        <v>70</v>
      </c>
      <c r="B16">
        <v>1</v>
      </c>
    </row>
    <row r="17" spans="2:2" x14ac:dyDescent="0.25">
      <c r="B17" t="s">
        <v>46</v>
      </c>
    </row>
    <row r="18" spans="2:2" x14ac:dyDescent="0.25">
      <c r="B18" t="s">
        <v>47</v>
      </c>
    </row>
    <row r="20" spans="2:2" x14ac:dyDescent="0.25">
      <c r="B20" t="s">
        <v>49</v>
      </c>
    </row>
    <row r="21" spans="2:2" x14ac:dyDescent="0.25">
      <c r="B2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Sm_Calculations</vt:lpstr>
      <vt:lpstr>PPB_Sm_Aliquot_Sent</vt:lpstr>
      <vt:lpstr>DF</vt:lpstr>
      <vt:lpstr>PPB_Nd_to_Stock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Mendoza, Paul Michael</dc:creator>
  <cp:lastModifiedBy>Mendoza, Paul Michael</cp:lastModifiedBy>
  <dcterms:created xsi:type="dcterms:W3CDTF">2015-10-01T14:52:56Z</dcterms:created>
  <dcterms:modified xsi:type="dcterms:W3CDTF">2015-12-16T16:56:47Z</dcterms:modified>
</cp:coreProperties>
</file>