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F11" i="3"/>
  <c r="G11" i="3" l="1"/>
  <c r="AO14" i="3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L11" i="3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<sst xmlns="http://schemas.openxmlformats.org/spreadsheetml/2006/main" count="680" uniqueCount="172">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</sst>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L26" sqref="L26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1.190963528285611E-2</v>
      </c>
      <c r="S6" s="25">
        <f>Exp2_eq_V_p_sep_C1!C2</f>
        <v>2.3717963390935681E-2</v>
      </c>
      <c r="T6" s="25"/>
      <c r="U6" s="25">
        <f>Exp2_eq_V_p_sep_C1!P7</f>
        <v>1.190963528285611E-2</v>
      </c>
      <c r="V6" s="27">
        <f>Exp2_eq_V_p_sep_C1!Q7</f>
        <v>2.3717963390935681E-2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4.6253175907432449E-2</v>
      </c>
      <c r="S10" s="25">
        <f>Exp2_eq_V_p_sep_C1!L40</f>
        <v>4.5585477667681486E-2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21.553134898791644</v>
      </c>
      <c r="S13" s="18">
        <f>((S11/R10)^2+((S10*R11)/(R10^2))^2)^0.5</f>
        <v>21.261141951149678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1.190963528285611E-2</v>
      </c>
      <c r="E16" s="25">
        <f>'Exp1'!AO12</f>
        <v>2.3717963390935681E-2</v>
      </c>
      <c r="F16" s="25"/>
      <c r="G16" s="25">
        <f>'Exp1'!AN12</f>
        <v>1.190963528285611E-2</v>
      </c>
      <c r="H16" s="25">
        <f>'Exp1'!AO12</f>
        <v>2.3717963390935681E-2</v>
      </c>
      <c r="J16" s="22" t="s">
        <v>152</v>
      </c>
      <c r="K16" s="25">
        <f>Exp2_Eq_V_P_Sep_C3!B2</f>
        <v>1.190963528285611E-2</v>
      </c>
      <c r="L16" s="25">
        <f>Exp2_Eq_V_P_Sep_C3!C2</f>
        <v>5.8198223775455749E-2</v>
      </c>
      <c r="M16" s="25"/>
      <c r="N16" s="25">
        <f>Exp2_Eq_V_P_Sep_C3!P7</f>
        <v>1.190963528285611E-2</v>
      </c>
      <c r="O16" s="27">
        <f>Exp2_Eq_V_P_Sep_C3!Q7</f>
        <v>2.3717963390935681E-2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1.190963528285611E-2</v>
      </c>
      <c r="S18" s="25">
        <f>Exp2_Eq_V_P_Sep_C2!C2</f>
        <v>5.8198223775455749E-2</v>
      </c>
      <c r="T18" s="25"/>
      <c r="U18" s="25">
        <f>Exp2_Eq_V_P_Sep_C2!P7</f>
        <v>1.190963528285611E-2</v>
      </c>
      <c r="V18" s="27">
        <f>Exp2_Eq_V_P_Sep_C2!Q7</f>
        <v>2.3717963390935681E-2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1.1630944932184683E-2</v>
      </c>
      <c r="E20" s="25">
        <f>'Exp1'!AD27</f>
        <v>2.2892538254604841E-2</v>
      </c>
      <c r="F20" s="25"/>
      <c r="G20" s="25"/>
      <c r="H20" s="27"/>
      <c r="J20" s="22" t="s">
        <v>79</v>
      </c>
      <c r="K20" s="25">
        <f>Exp2_Eq_V_P_Sep_C3!K40</f>
        <v>4.6253175907432449E-2</v>
      </c>
      <c r="L20" s="25">
        <f>Exp2_Eq_V_P_Sep_C3!L40</f>
        <v>0.11172788383843042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4.6253175907432449E-2</v>
      </c>
      <c r="S22" s="25">
        <f>Exp2_Eq_V_P_Sep_C2!L40</f>
        <v>0.11172788383843042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71.698152723991385</v>
      </c>
      <c r="E23" s="18">
        <f>'Exp1'!AD33</f>
        <v>141.35772861338756</v>
      </c>
      <c r="F23" s="18"/>
      <c r="G23" s="18"/>
      <c r="H23" s="41"/>
      <c r="J23" s="24" t="s">
        <v>154</v>
      </c>
      <c r="K23" s="18">
        <f>K21/K20</f>
        <v>21.52748348728565</v>
      </c>
      <c r="L23" s="18">
        <f>((L21/K20)^2+((L20*K21)/(K20^2))^2)^0.5</f>
        <v>52.009076217213597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20.114897821030915</v>
      </c>
      <c r="S25" s="18">
        <f>((S23/R22)^2+((S22*R23)/(R22^2))^2)^0.5</f>
        <v>48.599122030175565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workbookViewId="0">
      <selection activeCell="E10" sqref="E10:G10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1.316092</v>
      </c>
      <c r="F4">
        <v>7.8140000000000001E-2</v>
      </c>
      <c r="G4" s="3">
        <v>5.9372749017545884E-2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-0.32736161301793487</v>
      </c>
      <c r="M4" s="8">
        <f>((F8/E5)^2+((F5*E8)/(E5^2))^2)^0.5</f>
        <v>0.10844646796877848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1.316092</v>
      </c>
      <c r="S4">
        <f>(($Q4*$Q$2*E4)^2+(F4*$Q4)^2)^0.5</f>
        <v>0.10215725613562653</v>
      </c>
      <c r="T4" s="3">
        <f>S4/R4</f>
        <v>7.762166788919507E-2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-0.32736161301793487</v>
      </c>
      <c r="Z4" s="8">
        <f>((S8/R5)^2+((S5*R8)/(R5^2))^2)^0.5</f>
        <v>0.14342273415840032</v>
      </c>
      <c r="AA4" s="42"/>
      <c r="AC4" s="43"/>
      <c r="AE4" s="64">
        <f>Y12/Y11</f>
        <v>53.344603855499692</v>
      </c>
      <c r="AF4" s="61">
        <f>((Z12/Y11)^2+((Y12*Z11)/(Y11^2))^2)^0.5</f>
        <v>104.60361026266571</v>
      </c>
      <c r="AH4">
        <v>0.99090599999999995</v>
      </c>
      <c r="AI4">
        <v>0</v>
      </c>
      <c r="AK4">
        <f>1/S16</f>
        <v>1.4</v>
      </c>
      <c r="AL4">
        <f>T16/S16^2</f>
        <v>1.979898987322333E-2</v>
      </c>
      <c r="AN4">
        <f>AK10*AK4</f>
        <v>83.965627515016976</v>
      </c>
      <c r="AO4">
        <f>((AL10*AK4)^2+(AL4*AK10)^2)^0.5</f>
        <v>167.21701649124927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0.7422298247800001</v>
      </c>
      <c r="F5" s="10">
        <f>((F4*$C5*$B5)^2+($C5*$B$2*E4)^2+($C$2*$B5*E4)^2)^0.5</f>
        <v>4.696459264587579E-2</v>
      </c>
      <c r="G5" s="3">
        <f>F5/E5</f>
        <v>6.3275000650635779E-2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0.7422298247800001</v>
      </c>
      <c r="S5">
        <f>((S4*$C5*$B5)^2+($C5*$B$2*R4)^2+($C$2*$B5*R4)^2)^0.5</f>
        <v>5.9857628957179936E-2</v>
      </c>
      <c r="T5" s="3">
        <f>S5/R5</f>
        <v>8.0645680028988295E-2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1.7469300000000001</v>
      </c>
      <c r="F7">
        <v>8.1802E-2</v>
      </c>
      <c r="G7" s="3">
        <v>4.6826146439754308E-2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-0.2338297235842392</v>
      </c>
      <c r="M7" s="3">
        <f>((M4*F19)^2+(L4*G19)^2)^0.5</f>
        <v>7.7532315645849059E-2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1.7469300000000001</v>
      </c>
      <c r="S7">
        <f>(($Q7*$Q$2*E7)^2+(F7*$Q7)^2)^0.5</f>
        <v>0.11967028982270411</v>
      </c>
      <c r="T7" s="3">
        <f>S7/R7</f>
        <v>6.8503196935597935E-2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-0.2338297235842392</v>
      </c>
      <c r="Z7" s="3">
        <f>((Z4*S19)^2+(Y4*T19)^2)^0.5</f>
        <v>0.10249816772530249</v>
      </c>
      <c r="AA7" s="54" t="s">
        <v>15</v>
      </c>
      <c r="AB7" s="54">
        <f>1/(1+1/V17)</f>
        <v>-0.21382981680153104</v>
      </c>
      <c r="AC7">
        <f>W14/((V14+1)^2)</f>
        <v>0.14342273415840032</v>
      </c>
      <c r="AH7">
        <f>S19</f>
        <v>0.7142857142857143</v>
      </c>
      <c r="AI7">
        <f>T19</f>
        <v>1.0101525445522107E-2</v>
      </c>
      <c r="AK7">
        <f>AH4*AH7</f>
        <v>0.70779000000000003</v>
      </c>
      <c r="AL7">
        <f>((AI7*AH4)^2+(AH7*AI4)^2)^0.5</f>
        <v>1.0009662173120529E-2</v>
      </c>
      <c r="AN7">
        <f>1/AN4</f>
        <v>1.190963528285611E-2</v>
      </c>
      <c r="AO7">
        <f>AO4/AN4^2</f>
        <v>2.3717963390935681E-2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0.98520737745000009</v>
      </c>
      <c r="F8">
        <f>((F7*$C8*$B8)^2+($C8*$B$2*E7)^2+($C$2*$B8*E7)^2)^0.5</f>
        <v>5.0919977687571741E-2</v>
      </c>
      <c r="G8" s="3">
        <f>F8/E8</f>
        <v>5.1684527392971094E-2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0.98520737745000009</v>
      </c>
      <c r="S8">
        <f>((S7*$C8*$B8)^2+($C8*$B$2*R7)^2+($C$2*$B8*R7)^2)^0.5</f>
        <v>7.0847922123076904E-2</v>
      </c>
      <c r="T8" s="3">
        <f>S8/R8</f>
        <v>7.1911684529252812E-2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3.7856000000000001E-2</v>
      </c>
      <c r="F10">
        <v>7.4055999999999997E-2</v>
      </c>
      <c r="G10" s="3">
        <v>1.9562552831783599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1.400672E-2</v>
      </c>
      <c r="S10">
        <f>(($Q10*$Q$2*E10)^2+(F10*$Q10)^2)^0.5</f>
        <v>2.7409668495465174E-2</v>
      </c>
      <c r="T10" s="3">
        <f>S10/R10</f>
        <v>1.9568941547675096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1.1607786750301649E-2</v>
      </c>
      <c r="AI10" s="3">
        <f>Z14</f>
        <v>2.2736550939131541E-2</v>
      </c>
      <c r="AK10">
        <f>AK7/AH10-1</f>
        <v>59.97544822501213</v>
      </c>
      <c r="AL10">
        <f>((AL7/AH10)^2+((AK7*AI10)/(AH10^2))^2)^0.5</f>
        <v>119.43771444606158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1.9404607040000001E-2</v>
      </c>
      <c r="F11" s="18">
        <f>((F10*$C11*$B11)^2+($C11*$B$2*E10)^2+($C$2*$B11*E10)^2)^0.5</f>
        <v>3.7962820711825468E-2</v>
      </c>
      <c r="G11" s="20">
        <f>F11/E11</f>
        <v>1.9563818341474368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2.6143663852030742E-2</v>
      </c>
      <c r="M11" s="3">
        <f>((F11/E5)^2+((F5*E11)/(E5^2))^2)^0.5</f>
        <v>5.1173733485032513E-2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7.1797046048000003E-3</v>
      </c>
      <c r="S11" s="18">
        <f>((S10*$C11*$B11)^2+($C11*$B$2*R10)^2+($C$2*$B11*R10)^2)^0.5</f>
        <v>1.4050830276052898E-2</v>
      </c>
      <c r="T11" s="20">
        <f>S11/R11</f>
        <v>1.9570206644238815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9.6731556252513742E-3</v>
      </c>
      <c r="Z11" s="3">
        <f>((S11/R5)^2+((S5*R11)/(R5^2))^2)^0.5</f>
        <v>1.8946631928500643E-2</v>
      </c>
      <c r="AA11" s="27"/>
      <c r="AB11" s="54" t="s">
        <v>19</v>
      </c>
      <c r="AC11" s="54">
        <f>(1/(1+Y25))*AB7</f>
        <v>8.773205337976828E-3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1.190963528285611E-2</v>
      </c>
      <c r="AO12">
        <f>AO7</f>
        <v>2.3717963390935681E-2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-0.2466257949660261</v>
      </c>
      <c r="J14" s="6">
        <f>((F5/E8)^2+((F8*E5)/(E8^2))^2)^0.5</f>
        <v>6.1551253850835069E-2</v>
      </c>
      <c r="K14" s="22" t="s">
        <v>65</v>
      </c>
      <c r="L14" s="3">
        <f>L11/F23</f>
        <v>3.1372396622436891E-2</v>
      </c>
      <c r="M14" s="3">
        <f>((M11/F23)^2+((L11*G23)/(F23^2))^2)^0.5</f>
        <v>6.1410082915770804E-2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-0.2466257949660261</v>
      </c>
      <c r="W14" s="6">
        <f>((S5/R8)^2+((S8*R5)/(R8^2))^2)^0.5</f>
        <v>8.1402827436538094E-2</v>
      </c>
      <c r="X14" s="22" t="s">
        <v>65</v>
      </c>
      <c r="Y14" s="3">
        <f>Y11/S23</f>
        <v>1.1607786750301649E-2</v>
      </c>
      <c r="Z14" s="3">
        <f>((Z11/S23)^2+((Y11*T23)/(S23^2))^2)^0.5</f>
        <v>2.2736550939131541E-2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-25.373055065281523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-0.17616128211859008</v>
      </c>
      <c r="J17">
        <f>((J14*F16)^2+(I14*G16)^2)^0.5</f>
        <v>4.4035709692726355E-2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-0.17616128211859008</v>
      </c>
      <c r="W17">
        <f>((W14*S16)^2+(V14*T16)^2)^0.5</f>
        <v>5.8198223775455749E-2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9.9246960690467581E-3</v>
      </c>
      <c r="AO17">
        <f>((AO14*AN12)^2+(AO12*AN14)^2)^0.5</f>
        <v>1.9765467840548313E-2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-0.13416770178550338</v>
      </c>
      <c r="M18">
        <f>((M14/L7)^2+((L14*M7)/(L7^2))^2)^0.5</f>
        <v>0.26636854932589676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-4.9642049660636248E-2</v>
      </c>
      <c r="Z18">
        <f>((Z14/Y7)^2+((Y14*Z7)/(Y7^2))^2)^0.5</f>
        <v>9.9640636625586948E-2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0.99017283555132696</v>
      </c>
      <c r="AO19">
        <f>AO17/((AN17+1)^2)</f>
        <v>1.9378899648510268E-2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1.1769465244321984E-2</v>
      </c>
      <c r="AD20">
        <f>U32/((1+T32)^2)</f>
        <v>2.3163537342898714E-2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-7.4533586451284695</v>
      </c>
      <c r="M22">
        <f>M18/(L18^2)</f>
        <v>14.797453511445738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-20.144212554401271</v>
      </c>
      <c r="Z22">
        <f>Z18/(Y18^2)</f>
        <v>40.43310413174342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0.98823053475567812</v>
      </c>
      <c r="AD24">
        <f>U41/((1+T41)^2)</f>
        <v>2.3163537342898718E-2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-10.144030374154163</v>
      </c>
      <c r="M25">
        <f>((L22*G25)^2+(M22*F25)^2)^0.5</f>
        <v>17.757394711656314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-25.373055065281523</v>
      </c>
      <c r="Z25">
        <f>((Y22*T25)^2+(Z22*S25)^2)^0.5</f>
        <v>48.520929271059352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83.965627515016976</v>
      </c>
      <c r="W27" s="27">
        <f>AO7/(AN7^2)</f>
        <v>167.21701649124927</v>
      </c>
      <c r="Z27" s="4"/>
      <c r="AB27" s="61" t="s">
        <v>79</v>
      </c>
      <c r="AC27" s="61">
        <f>AC24*AC20</f>
        <v>1.1630944932184683E-2</v>
      </c>
      <c r="AD27" s="61">
        <f>((AD20*AC24)^2+(AD24*AC20)^2)^0.5</f>
        <v>2.2892538254604841E-2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83.965627515016976</v>
      </c>
      <c r="U32" s="25">
        <f>((S$30*W27)^2+(T$30*V27)^2)^0.5</f>
        <v>167.22123265170464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71.698152723991385</v>
      </c>
      <c r="AD33">
        <f>((AD28/AC27)^2+((AD27*AC28)/(AC27^2))^2)^0.5</f>
        <v>141.35772861338756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1.190963528285611E-2</v>
      </c>
      <c r="W36" s="27">
        <f>AO12</f>
        <v>2.3717963390935681E-2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1.190963528285611E-2</v>
      </c>
      <c r="U41" s="25">
        <f>((S$30*W36)^2+(T$30*V36)^2)^0.5</f>
        <v>2.3718561408657975E-2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1.190963528285611E-2</v>
      </c>
      <c r="P26" s="61">
        <f>_xlfn.STDEV.S(Exp2_Act_C1!P7,Exp2_Act_C2!P7)+AVERAGE(Exp2_Act_C2!Q7,Exp2_Act_C1!Q7)</f>
        <v>2.3717963390935681E-2</v>
      </c>
      <c r="Q26" s="62">
        <f>P26/O26</f>
        <v>1.9914936794981144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1.190963528285611E-2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1.190963528285611E-2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1.190963528285611E-2</v>
      </c>
      <c r="C2">
        <f>'Exp1'!AO7</f>
        <v>2.3717963390935681E-2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83.965627515016976</v>
      </c>
      <c r="C5">
        <f>C2/B2^2</f>
        <v>167.21701649124927</v>
      </c>
      <c r="E5">
        <f>B5*F1</f>
        <v>59.97544822501213</v>
      </c>
      <c r="F5">
        <f>((C5*F$1)^2+(G$1*B5)^2)^0.5</f>
        <v>119.44373760836046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1.190963528285611E-2</v>
      </c>
      <c r="Q7">
        <f>C2</f>
        <v>2.3717963390935681E-2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1.6400043445515829E-2</v>
      </c>
      <c r="F9">
        <f>F5/((1+E5)^2)</f>
        <v>3.2125757876239294E-2</v>
      </c>
      <c r="G9" s="3">
        <f>F9/E9</f>
        <v>1.9588824860719047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1.1342509793196294E-2</v>
      </c>
      <c r="Q10">
        <f>((L$9*P7)^2+(Q7*K$9)^2)^0.5</f>
        <v>2.2589106103483782E-2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1.1714316746797021E-2</v>
      </c>
      <c r="F13">
        <f>((F9*F$1)^2+(E9*G$1)^2)^0.5</f>
        <v>2.294756791399083E-2</v>
      </c>
      <c r="G13" s="3">
        <f t="shared" si="0"/>
        <v>1.9589335349212964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0.98878469985849238</v>
      </c>
      <c r="K14">
        <f>Q10/((1+P10)^2)</f>
        <v>2.2085260218293566E-2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0.98828568325320298</v>
      </c>
      <c r="F16">
        <f>F13</f>
        <v>2.294756791399083E-2</v>
      </c>
      <c r="G16" s="3">
        <f t="shared" si="0"/>
        <v>2.3219569303536663E-2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0.94169971415094511</v>
      </c>
      <c r="L18">
        <f>((J14*Q$16)^2+(K14*P$16)^2)^0.5</f>
        <v>2.4895204493083859E-2</v>
      </c>
      <c r="M18" s="3">
        <f t="shared" ref="M18:M19" si="1">L18/K18</f>
        <v>2.6436457523542803E-2</v>
      </c>
    </row>
    <row r="19" spans="3:13" x14ac:dyDescent="0.25">
      <c r="C19" t="s">
        <v>87</v>
      </c>
      <c r="E19">
        <f>E16*E13</f>
        <v>1.1577091529952732E-2</v>
      </c>
      <c r="F19">
        <f>((F16*E13)^2+(E16*F13)^2)^0.5</f>
        <v>2.2680345934139368E-2</v>
      </c>
      <c r="G19" s="3">
        <f t="shared" si="0"/>
        <v>1.9590711428219976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5.8300285849054889E-2</v>
      </c>
      <c r="L21">
        <f>L18</f>
        <v>2.4895204493083859E-2</v>
      </c>
      <c r="M21" s="3">
        <f>L21/K21</f>
        <v>0.42701685129880779</v>
      </c>
    </row>
    <row r="22" spans="3:13" x14ac:dyDescent="0.25">
      <c r="C22" t="s">
        <v>89</v>
      </c>
      <c r="E22">
        <f>E19+E13</f>
        <v>2.3291408276749755E-2</v>
      </c>
      <c r="F22">
        <f>((F19^2+F13^2)^0.5)</f>
        <v>3.2264360598955835E-2</v>
      </c>
      <c r="G22" s="3">
        <f t="shared" si="0"/>
        <v>1.3852473073155982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5.490136251897338E-2</v>
      </c>
      <c r="L24">
        <f>((L21*K18)^2+(K21*L18)^2)^0.5</f>
        <v>2.3488691733491367E-2</v>
      </c>
      <c r="M24" s="3">
        <f t="shared" ref="M24:M25" si="3">L24/K24</f>
        <v>0.42783440438976178</v>
      </c>
    </row>
    <row r="25" spans="3:13" x14ac:dyDescent="0.25">
      <c r="C25" t="s">
        <v>90</v>
      </c>
      <c r="E25">
        <f>1-E22</f>
        <v>0.9767085917232502</v>
      </c>
      <c r="F25">
        <f>F22</f>
        <v>3.2264360598955835E-2</v>
      </c>
      <c r="G25" s="3">
        <f t="shared" si="0"/>
        <v>3.3033763470873535E-2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0.99660107666991848</v>
      </c>
      <c r="L27">
        <f>((L24^2+L18^2)^0.5)</f>
        <v>3.422703384904173E-2</v>
      </c>
      <c r="M27" s="3">
        <f t="shared" ref="M27:M28" si="4">L27/K27</f>
        <v>3.4343765675438828E-2</v>
      </c>
    </row>
    <row r="28" spans="3:13" x14ac:dyDescent="0.25">
      <c r="C28" t="s">
        <v>92</v>
      </c>
      <c r="E28">
        <f>E13*E25</f>
        <v>1.1441473812764204E-2</v>
      </c>
      <c r="F28">
        <f>((F25*E13)^2+(E25*F13)^2)^0.5</f>
        <v>2.2416273267086843E-2</v>
      </c>
      <c r="G28" s="3">
        <f t="shared" si="0"/>
        <v>1.9592120415535157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3.3989233300815158E-3</v>
      </c>
      <c r="L30">
        <f>L27</f>
        <v>3.422703384904173E-2</v>
      </c>
      <c r="M30" s="3">
        <f t="shared" ref="M30:M31" si="5">L30/K30</f>
        <v>10.069963492886693</v>
      </c>
    </row>
    <row r="31" spans="3:13" x14ac:dyDescent="0.25">
      <c r="C31" t="s">
        <v>91</v>
      </c>
      <c r="E31" s="6">
        <f>E28+E22</f>
        <v>3.4732882089513958E-2</v>
      </c>
      <c r="F31">
        <f>((F28^2)+F22^2)^0.5</f>
        <v>3.9287126034416996E-2</v>
      </c>
      <c r="G31" s="3">
        <f t="shared" si="0"/>
        <v>1.1311219706203992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3.200765128358742E-3</v>
      </c>
      <c r="L33">
        <f>((L30*K18)^2+(K30*L18)^2)^0.5</f>
        <v>3.2231699063134008E-2</v>
      </c>
      <c r="M33" s="3">
        <f t="shared" ref="M33:M34" si="6">L33/K33</f>
        <v>10.069998194357195</v>
      </c>
    </row>
    <row r="34" spans="3:13" x14ac:dyDescent="0.25">
      <c r="C34" t="s">
        <v>93</v>
      </c>
      <c r="E34">
        <f>1-E31</f>
        <v>0.96526711791048603</v>
      </c>
      <c r="F34">
        <f>F31</f>
        <v>3.9287126034416996E-2</v>
      </c>
      <c r="G34" s="3">
        <f t="shared" si="0"/>
        <v>4.0700781478459402E-2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0.99980184179827725</v>
      </c>
      <c r="L36">
        <f>((L33^2)+L27^2)^0.5</f>
        <v>4.701459635687498E-2</v>
      </c>
      <c r="M36" s="3">
        <f t="shared" ref="M36:M37" si="7">L36/K36</f>
        <v>4.7023914531216453E-2</v>
      </c>
    </row>
    <row r="37" spans="3:13" x14ac:dyDescent="0.25">
      <c r="C37" t="s">
        <v>94</v>
      </c>
      <c r="E37">
        <f>E34*E13</f>
        <v>1.13074447644713E-2</v>
      </c>
      <c r="F37">
        <f>((F34*E13)^2+(E34*F13)^2)^0.5</f>
        <v>2.2155313244382357E-2</v>
      </c>
      <c r="G37" s="3">
        <f t="shared" si="0"/>
        <v>1.9593563095701108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4.6040326853985257E-2</v>
      </c>
      <c r="F40">
        <f>(F37^2+F31^2)^0.5</f>
        <v>4.5103616008041636E-2</v>
      </c>
      <c r="G40" s="3">
        <f t="shared" si="0"/>
        <v>0.97965455699490678</v>
      </c>
      <c r="J40" t="s">
        <v>79</v>
      </c>
      <c r="K40">
        <f>K36*E40</f>
        <v>4.6031203585609144E-2</v>
      </c>
      <c r="L40">
        <f>((F40*K36)^2+(L36*E40)^2)^0.5</f>
        <v>4.5146598632031368E-2</v>
      </c>
      <c r="M40" s="3">
        <f>L40/K40</f>
        <v>0.98078249351154634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0.2830533533693132</v>
      </c>
      <c r="I46" t="s">
        <v>132</v>
      </c>
      <c r="K46" s="3">
        <f>ABS(K40-K43)/K43</f>
        <v>0.94227336090543967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0.47113668045346768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1.190963528285611E-2</v>
      </c>
      <c r="C2">
        <f>'Exp1'!AO7</f>
        <v>2.3717963390935681E-2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83.965627515016976</v>
      </c>
      <c r="C5">
        <f>C2/B2^2</f>
        <v>167.21701649124927</v>
      </c>
      <c r="E5">
        <f>B5*F1</f>
        <v>59.97544822501213</v>
      </c>
      <c r="F5">
        <f>((C5*F$1)^2+(G$1*B5)^2)^0.5</f>
        <v>119.44373760836046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1.190963528285611E-2</v>
      </c>
      <c r="Q7">
        <f>'Exp1'!AO12</f>
        <v>2.3717963390935681E-2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1.6400043445515829E-2</v>
      </c>
      <c r="F9">
        <f>F5/((1+E5)^2)</f>
        <v>3.2125757876239294E-2</v>
      </c>
      <c r="G9" s="3">
        <f>F9/E9</f>
        <v>1.9588824860719047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1.1342509793196294E-2</v>
      </c>
      <c r="Q10">
        <f>((L$9*P7)^2+(Q7*K$9)^2)^0.5</f>
        <v>2.2589106103483782E-2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1.1714316746797021E-2</v>
      </c>
      <c r="F13">
        <f>((F9*F$1)^2+(E9*G$1)^2)^0.5</f>
        <v>2.294756791399083E-2</v>
      </c>
      <c r="G13" s="3">
        <f t="shared" si="0"/>
        <v>1.9589335349212964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0.98878469985849238</v>
      </c>
      <c r="K14">
        <f>Q10/((1+P10)^2)</f>
        <v>2.2085260218293566E-2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0.98828568325320298</v>
      </c>
      <c r="F16">
        <f>F13</f>
        <v>2.294756791399083E-2</v>
      </c>
      <c r="G16" s="3">
        <f t="shared" si="0"/>
        <v>2.3219569303536663E-2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0.87642280214730006</v>
      </c>
      <c r="L18">
        <f>((J14*Q$16)^2+(K14*P$16)^2)^0.5</f>
        <v>2.3763604288852772E-2</v>
      </c>
      <c r="M18" s="3">
        <f>L18/K18</f>
        <v>2.7114315408761844E-2</v>
      </c>
      <c r="P18" t="s">
        <v>136</v>
      </c>
      <c r="S18">
        <f>J14*P16*(1-P19)</f>
        <v>2.2472379542238484E-2</v>
      </c>
      <c r="T18">
        <f>((J14*Q$16)^2+(K14*P$16)^2)^0.5</f>
        <v>2.3763604288852772E-2</v>
      </c>
      <c r="U18">
        <f>L18/K18</f>
        <v>2.7114315408761844E-2</v>
      </c>
    </row>
    <row r="19" spans="3:21" x14ac:dyDescent="0.25">
      <c r="C19" t="s">
        <v>87</v>
      </c>
      <c r="E19">
        <f>E16*E13</f>
        <v>1.1577091529952732E-2</v>
      </c>
      <c r="F19">
        <f>((F16*E13)^2+(E16*F13)^2)^0.5</f>
        <v>2.2680345934139368E-2</v>
      </c>
      <c r="G19" s="3">
        <f t="shared" si="0"/>
        <v>1.9590711428219976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0.10110481831046145</v>
      </c>
      <c r="L21">
        <f>L18</f>
        <v>2.3763604288852772E-2</v>
      </c>
      <c r="M21" s="3">
        <f>L21/K21</f>
        <v>0.23503928582198857</v>
      </c>
    </row>
    <row r="22" spans="3:21" x14ac:dyDescent="0.25">
      <c r="C22" t="s">
        <v>89</v>
      </c>
      <c r="E22">
        <f>E19+E13</f>
        <v>2.3291408276749755E-2</v>
      </c>
      <c r="F22">
        <f>((F19^2+F13^2)^0.5)</f>
        <v>3.2264360598955835E-2</v>
      </c>
      <c r="G22" s="3">
        <f t="shared" si="0"/>
        <v>1.3852473073155982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8.8610568174248269E-2</v>
      </c>
      <c r="L24">
        <f>((L21*K18)^2+(K21*L18)^2)^0.5</f>
        <v>2.096509039513186E-2</v>
      </c>
      <c r="M24" s="3">
        <f t="shared" ref="M24:M25" si="2">L24/K24</f>
        <v>0.23659808109914218</v>
      </c>
    </row>
    <row r="25" spans="3:21" x14ac:dyDescent="0.25">
      <c r="C25" t="s">
        <v>90</v>
      </c>
      <c r="E25">
        <f>1-E22</f>
        <v>0.9767085917232502</v>
      </c>
      <c r="F25">
        <f>F22</f>
        <v>3.2264360598955835E-2</v>
      </c>
      <c r="G25" s="3">
        <f t="shared" si="0"/>
        <v>3.3033763470873535E-2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0.96503337032154834</v>
      </c>
      <c r="L27">
        <f>((L24^2+L18^2)^0.5)</f>
        <v>3.1689807573938217E-2</v>
      </c>
      <c r="M27" s="3">
        <f t="shared" ref="M27:M28" si="3">L27/K27</f>
        <v>3.283804327240953E-2</v>
      </c>
    </row>
    <row r="28" spans="3:21" x14ac:dyDescent="0.25">
      <c r="C28" t="s">
        <v>92</v>
      </c>
      <c r="E28">
        <f>E13*E25</f>
        <v>1.1441473812764204E-2</v>
      </c>
      <c r="F28">
        <f>((F25*E13)^2+(E25*F13)^2)^0.5</f>
        <v>2.2416273267086843E-2</v>
      </c>
      <c r="G28" s="3">
        <f t="shared" si="0"/>
        <v>1.9592120415535157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3.4966629678451655E-2</v>
      </c>
      <c r="L30">
        <f>L27</f>
        <v>3.1689807573938217E-2</v>
      </c>
      <c r="M30" s="3">
        <f t="shared" ref="M30:M31" si="4">L30/K30</f>
        <v>0.9062871619413525</v>
      </c>
    </row>
    <row r="31" spans="3:21" x14ac:dyDescent="0.25">
      <c r="C31" t="s">
        <v>91</v>
      </c>
      <c r="E31" s="6">
        <f>E28+E22</f>
        <v>3.4732882089513958E-2</v>
      </c>
      <c r="F31">
        <f>((F28^2)+F22^2)^0.5</f>
        <v>3.9287126034416996E-2</v>
      </c>
      <c r="G31" s="3">
        <f t="shared" si="0"/>
        <v>1.1311219706203992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3.0645551564435547E-2</v>
      </c>
      <c r="L33">
        <f>((L30*K18)^2+(K30*L18)^2)^0.5</f>
        <v>2.7786097109618119E-2</v>
      </c>
      <c r="M33" s="3">
        <f t="shared" ref="M33:M34" si="5">L33/K33</f>
        <v>0.90669267450432023</v>
      </c>
    </row>
    <row r="34" spans="3:13" x14ac:dyDescent="0.25">
      <c r="C34" t="s">
        <v>93</v>
      </c>
      <c r="E34">
        <f>1-E31</f>
        <v>0.96526711791048603</v>
      </c>
      <c r="F34">
        <f>F31</f>
        <v>3.9287126034416996E-2</v>
      </c>
      <c r="G34" s="3">
        <f t="shared" si="0"/>
        <v>4.0700781478459402E-2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0.99567892188598384</v>
      </c>
      <c r="L36">
        <f>((L33^2)+L27^2)^0.5</f>
        <v>4.2146305848298975E-2</v>
      </c>
      <c r="M36" s="3">
        <f t="shared" ref="M36:M37" si="6">L36/K36</f>
        <v>4.2329213687146018E-2</v>
      </c>
    </row>
    <row r="37" spans="3:13" x14ac:dyDescent="0.25">
      <c r="C37" t="s">
        <v>94</v>
      </c>
      <c r="E37">
        <f>E34*E13</f>
        <v>1.13074447644713E-2</v>
      </c>
      <c r="F37">
        <f>((F34*E13)^2+(E34*F13)^2)^0.5</f>
        <v>2.2155313244382357E-2</v>
      </c>
      <c r="G37" s="3">
        <f t="shared" si="0"/>
        <v>1.9593563095701108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4.6040326853985257E-2</v>
      </c>
      <c r="F40">
        <f>(F37^2+F31^2)^0.5</f>
        <v>4.5103616008041636E-2</v>
      </c>
      <c r="G40" s="3">
        <f t="shared" si="0"/>
        <v>0.97965455699490678</v>
      </c>
      <c r="J40" t="s">
        <v>79</v>
      </c>
      <c r="K40">
        <f>K36*E40</f>
        <v>4.5841383005254352E-2</v>
      </c>
      <c r="L40">
        <f>((F40*K36)^2+(L36*E40)^2)^0.5</f>
        <v>4.4950621551822327E-2</v>
      </c>
      <c r="M40" s="3">
        <f>L40/K40</f>
        <v>0.98056861737068612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0.2830533533693132</v>
      </c>
      <c r="I46" t="s">
        <v>132</v>
      </c>
      <c r="K46" s="3">
        <f>ABS(K40-K43)/K43</f>
        <v>0.9966376990048299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0.49831884950679101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1.190963528285611E-2</v>
      </c>
      <c r="C2">
        <f>'Exp1'!AO7</f>
        <v>2.3717963390935681E-2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83.965627515016976</v>
      </c>
      <c r="C5">
        <f>C2/B2^2</f>
        <v>167.21701649124927</v>
      </c>
      <c r="E5">
        <f>B5*F1</f>
        <v>59.97544822501213</v>
      </c>
      <c r="F5">
        <f>((C5*F$1)^2+(G$1*B5)^2)^0.5</f>
        <v>119.44373760836046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1.190963528285611E-2</v>
      </c>
      <c r="Q7">
        <f>'Exp1'!AO12</f>
        <v>2.3717963390935681E-2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1.6400043445515829E-2</v>
      </c>
      <c r="F9">
        <f>F5/((1+E5)^2)</f>
        <v>3.2125757876239294E-2</v>
      </c>
      <c r="G9" s="3">
        <f>F9/E9</f>
        <v>1.9588824860719047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1.1342509793196294E-2</v>
      </c>
      <c r="Q10">
        <f>((L$9*P7)^2+(Q7*K$9)^2)^0.5</f>
        <v>2.2589106103483782E-2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1.1714316746797021E-2</v>
      </c>
      <c r="F13">
        <f>((F9*F$1)^2+(E9*G$1)^2)^0.5</f>
        <v>2.294756791399083E-2</v>
      </c>
      <c r="G13" s="3">
        <f t="shared" si="0"/>
        <v>1.9589335349212964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0.98878469985849238</v>
      </c>
      <c r="K14">
        <f>Q10/((1+P10)^2)</f>
        <v>2.2085260218293566E-2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0.98828568325320298</v>
      </c>
      <c r="F16">
        <f>F13</f>
        <v>2.294756791399083E-2</v>
      </c>
      <c r="G16" s="3">
        <f t="shared" si="0"/>
        <v>2.3219569303536663E-2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0.89889518168953852</v>
      </c>
      <c r="L18">
        <f>((J14*Q$16)^2+(K14*P$16)^2)^0.5</f>
        <v>2.3763604288852772E-2</v>
      </c>
      <c r="M18" s="3">
        <f t="shared" ref="M18:M19" si="1">L18/K18</f>
        <v>2.6436457523542799E-2</v>
      </c>
    </row>
    <row r="19" spans="3:13" x14ac:dyDescent="0.25">
      <c r="C19" t="s">
        <v>87</v>
      </c>
      <c r="E19">
        <f>E16*E13</f>
        <v>1.1577091529952732E-2</v>
      </c>
      <c r="F19">
        <f>((F16*E13)^2+(E16*F13)^2)^0.5</f>
        <v>2.2680345934139368E-2</v>
      </c>
      <c r="G19" s="3">
        <f t="shared" si="0"/>
        <v>1.9590711428219976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0.10110481831046148</v>
      </c>
      <c r="L21">
        <f>L18</f>
        <v>2.3763604288852772E-2</v>
      </c>
      <c r="M21" s="3">
        <f>L21/K21</f>
        <v>0.23503928582198852</v>
      </c>
    </row>
    <row r="22" spans="3:13" x14ac:dyDescent="0.25">
      <c r="C22" t="s">
        <v>89</v>
      </c>
      <c r="E22">
        <f>E19+E13</f>
        <v>2.3291408276749755E-2</v>
      </c>
      <c r="F22">
        <f>((F19^2+F13^2)^0.5)</f>
        <v>3.2264360598955835E-2</v>
      </c>
      <c r="G22" s="3">
        <f t="shared" si="0"/>
        <v>1.3852473073155982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9.0882634024870054E-2</v>
      </c>
      <c r="L24">
        <f>((L21*K18)^2+(K21*L18)^2)^0.5</f>
        <v>2.1495683898282724E-2</v>
      </c>
      <c r="M24" s="3">
        <f t="shared" ref="M24:M25" si="3">L24/K24</f>
        <v>0.23652135668075405</v>
      </c>
    </row>
    <row r="25" spans="3:13" x14ac:dyDescent="0.25">
      <c r="C25" t="s">
        <v>90</v>
      </c>
      <c r="E25">
        <f>1-E22</f>
        <v>0.9767085917232502</v>
      </c>
      <c r="F25">
        <f>F22</f>
        <v>3.2264360598955835E-2</v>
      </c>
      <c r="G25" s="3">
        <f t="shared" si="0"/>
        <v>3.3033763470873535E-2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0.98977781571440859</v>
      </c>
      <c r="L27">
        <f>((L24^2+L18^2)^0.5)</f>
        <v>3.2043303747461387E-2</v>
      </c>
      <c r="M27" s="3">
        <f t="shared" ref="M27:M28" si="4">L27/K27</f>
        <v>3.2374239186531928E-2</v>
      </c>
    </row>
    <row r="28" spans="3:13" x14ac:dyDescent="0.25">
      <c r="C28" t="s">
        <v>92</v>
      </c>
      <c r="E28">
        <f>E13*E25</f>
        <v>1.1441473812764204E-2</v>
      </c>
      <c r="F28">
        <f>((F25*E13)^2+(E25*F13)^2)^0.5</f>
        <v>2.2416273267086843E-2</v>
      </c>
      <c r="G28" s="3">
        <f t="shared" si="0"/>
        <v>1.9592120415535157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1.0222184285591407E-2</v>
      </c>
      <c r="L30">
        <f>L27</f>
        <v>3.2043303747461387E-2</v>
      </c>
      <c r="M30" s="3">
        <f t="shared" ref="M30:M31" si="5">L30/K30</f>
        <v>3.1346826521830322</v>
      </c>
    </row>
    <row r="31" spans="3:13" x14ac:dyDescent="0.25">
      <c r="C31" t="s">
        <v>91</v>
      </c>
      <c r="E31" s="6">
        <f>E28+E22</f>
        <v>3.4732882089513958E-2</v>
      </c>
      <c r="F31">
        <f>((F28^2)+F22^2)^0.5</f>
        <v>3.9287126034416996E-2</v>
      </c>
      <c r="G31" s="3">
        <f t="shared" si="0"/>
        <v>1.1311219706203992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9.1886722006606341E-3</v>
      </c>
      <c r="L33">
        <f>((L30*K18)^2+(K30*L18)^2)^0.5</f>
        <v>2.8804595645909717E-2</v>
      </c>
      <c r="M33" s="3">
        <f t="shared" ref="M33:M34" si="6">L33/K33</f>
        <v>3.1347941266028365</v>
      </c>
    </row>
    <row r="34" spans="3:14" x14ac:dyDescent="0.25">
      <c r="C34" t="s">
        <v>93</v>
      </c>
      <c r="E34">
        <f>1-E31</f>
        <v>0.96526711791048603</v>
      </c>
      <c r="F34">
        <f>F31</f>
        <v>3.9287126034416996E-2</v>
      </c>
      <c r="G34" s="3">
        <f t="shared" si="0"/>
        <v>4.0700781478459402E-2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0.99896648791506926</v>
      </c>
      <c r="L36">
        <f>((L33^2)+L27^2)^0.5</f>
        <v>4.3086866274729636E-2</v>
      </c>
      <c r="M36" s="3">
        <f t="shared" ref="M36:M37" si="7">L36/K36</f>
        <v>4.313144314245787E-2</v>
      </c>
    </row>
    <row r="37" spans="3:14" x14ac:dyDescent="0.25">
      <c r="C37" t="s">
        <v>94</v>
      </c>
      <c r="E37">
        <f>E34*E13</f>
        <v>1.13074447644713E-2</v>
      </c>
      <c r="F37">
        <f>((F34*E13)^2+(E34*F13)^2)^0.5</f>
        <v>2.2155313244382357E-2</v>
      </c>
      <c r="G37" s="3">
        <f t="shared" si="0"/>
        <v>1.9593563095701108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4.6040326853985257E-2</v>
      </c>
      <c r="F40">
        <f>(F37^2+F31^2)^0.5</f>
        <v>4.5103616008041636E-2</v>
      </c>
      <c r="G40" s="3">
        <f t="shared" si="0"/>
        <v>0.97965455699490678</v>
      </c>
      <c r="J40" t="s">
        <v>79</v>
      </c>
      <c r="K40">
        <f>K36*E40</f>
        <v>4.5992743619787502E-2</v>
      </c>
      <c r="L40">
        <f>((F40*K36)^2+(L36*E40)^2)^0.5</f>
        <v>4.5100648844020125E-2</v>
      </c>
      <c r="M40" s="3">
        <f>L40/K40</f>
        <v>0.98060357557396138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-1.0155884012996208</v>
      </c>
      <c r="I46" t="s">
        <v>132</v>
      </c>
      <c r="K46" s="3">
        <f>ABS(K40-K43)/K43</f>
        <v>0.99602337958108944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0.49801168982488525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1.190963528285611E-2</v>
      </c>
      <c r="C2">
        <f>Exp2_Act_C1!C2</f>
        <v>2.3717963390935681E-2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0.3883833264013361</v>
      </c>
      <c r="J3">
        <f>AVERAGE(I3:I4)</f>
        <v>0.19112549674177762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83.965627515016976</v>
      </c>
      <c r="C5">
        <f>C2/B2^2</f>
        <v>167.21701649124927</v>
      </c>
      <c r="E5">
        <f>B5*F1</f>
        <v>83.965627515016976</v>
      </c>
      <c r="F5">
        <f>((C5*F$1)^2+(G$1*B5)^2)^0.5</f>
        <v>167.21916760680483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1.190963528285611E-2</v>
      </c>
      <c r="Q7">
        <f>C2</f>
        <v>2.3717963390935681E-2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1.1769465244321984E-2</v>
      </c>
      <c r="F9">
        <f>F5/((1+E5)^2)</f>
        <v>2.3163251292234618E-2</v>
      </c>
      <c r="G9" s="3">
        <f>F9/E9</f>
        <v>1.9680801813327422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1.1342509793196294E-2</v>
      </c>
      <c r="Q10">
        <f>((L$9*P7)^2+(Q7*K$9)^2)^0.5</f>
        <v>2.2589106103483782E-2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1.1769465244321984E-2</v>
      </c>
      <c r="F13">
        <f>((F9*F$1)^2+(E9*G$1)^2)^0.5</f>
        <v>2.316355640122943E-2</v>
      </c>
      <c r="G13" s="3">
        <f t="shared" si="0"/>
        <v>1.9681061051099469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0.98878469985849238</v>
      </c>
      <c r="K14">
        <f>Q10/((1+P10)^2)</f>
        <v>2.2085260218293566E-2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0.98823053475567801</v>
      </c>
      <c r="F16">
        <f>F13</f>
        <v>2.316355640122943E-2</v>
      </c>
      <c r="G16" s="3">
        <f t="shared" si="0"/>
        <v>2.343942590982194E-2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0.98878469985849238</v>
      </c>
      <c r="L18">
        <f>((J14*Q$16)^2+(K14*P$16)^2)^0.5</f>
        <v>2.5789889283130602E-2</v>
      </c>
      <c r="M18" s="3">
        <f t="shared" ref="M18:M19" si="1">L18/K18</f>
        <v>2.6082411354889961E-2</v>
      </c>
    </row>
    <row r="19" spans="3:13" x14ac:dyDescent="0.25">
      <c r="C19" t="s">
        <v>87</v>
      </c>
      <c r="E19">
        <f>E16*E13</f>
        <v>1.1630944932184681E-2</v>
      </c>
      <c r="F19">
        <f>((F16*E13)^2+(E16*F13)^2)^0.5</f>
        <v>2.2892557089964852E-2</v>
      </c>
      <c r="G19" s="3">
        <f t="shared" si="0"/>
        <v>1.968245677667813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1.1215300141507623E-2</v>
      </c>
      <c r="L21">
        <f>L18</f>
        <v>2.5789889283130602E-2</v>
      </c>
      <c r="M21" s="3">
        <f>L21/K21</f>
        <v>2.2995273383440438</v>
      </c>
    </row>
    <row r="22" spans="3:13" x14ac:dyDescent="0.25">
      <c r="C22" t="s">
        <v>89</v>
      </c>
      <c r="E22">
        <f>E19+E13</f>
        <v>2.3400410176506667E-2</v>
      </c>
      <c r="F22">
        <f>((F19^2+F13^2)^0.5)</f>
        <v>3.2567153932608804E-2</v>
      </c>
      <c r="G22" s="3">
        <f t="shared" si="0"/>
        <v>1.3917343194823688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1.1089517184243522E-2</v>
      </c>
      <c r="L24">
        <f>((L21*K18)^2+(K21*L18)^2)^0.5</f>
        <v>2.5502288242864674E-2</v>
      </c>
      <c r="M24" s="3">
        <f t="shared" ref="M24:M25" si="3">L24/K24</f>
        <v>2.299675253589891</v>
      </c>
    </row>
    <row r="25" spans="3:13" x14ac:dyDescent="0.25">
      <c r="C25" t="s">
        <v>90</v>
      </c>
      <c r="E25">
        <f>1-E22</f>
        <v>0.97659958982349337</v>
      </c>
      <c r="F25">
        <f>F22</f>
        <v>3.2567153932608804E-2</v>
      </c>
      <c r="G25" s="3">
        <f t="shared" si="0"/>
        <v>3.3347499089667706E-2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0.99987421704273594</v>
      </c>
      <c r="L27">
        <f>((L24^2+L18^2)^0.5)</f>
        <v>3.6269616690258646E-2</v>
      </c>
      <c r="M27" s="3">
        <f t="shared" ref="M27:M28" si="4">L27/K27</f>
        <v>3.6274179363811353E-2</v>
      </c>
    </row>
    <row r="28" spans="3:13" x14ac:dyDescent="0.25">
      <c r="C28" t="s">
        <v>92</v>
      </c>
      <c r="E28">
        <f>E13*E25</f>
        <v>1.1494054930046712E-2</v>
      </c>
      <c r="F28">
        <f>((F25*E13)^2+(E25*F13)^2)^0.5</f>
        <v>2.2624766738957632E-2</v>
      </c>
      <c r="G28" s="3">
        <f t="shared" si="0"/>
        <v>1.9683886040786205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1.2578295726406452E-4</v>
      </c>
      <c r="L30">
        <f>L27</f>
        <v>3.6269616690258646E-2</v>
      </c>
      <c r="M30" s="3">
        <f t="shared" ref="M30:M31" si="5">L30/K30</f>
        <v>288.35080267762692</v>
      </c>
    </row>
    <row r="31" spans="3:13" x14ac:dyDescent="0.25">
      <c r="C31" t="s">
        <v>91</v>
      </c>
      <c r="E31" s="6">
        <f>E28+E22</f>
        <v>3.4894465106553377E-2</v>
      </c>
      <c r="F31">
        <f>((F28^2)+F22^2)^0.5</f>
        <v>3.9654754888442834E-2</v>
      </c>
      <c r="G31" s="3">
        <f t="shared" si="0"/>
        <v>1.1364196232082504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1.243722636456616E-4</v>
      </c>
      <c r="L33">
        <f>((L30*K18)^2+(K30*L18)^2)^0.5</f>
        <v>3.5862842199772711E-2</v>
      </c>
      <c r="M33" s="3">
        <f t="shared" ref="M33:M34" si="6">L33/K33</f>
        <v>288.35080385725291</v>
      </c>
    </row>
    <row r="34" spans="3:13" x14ac:dyDescent="0.25">
      <c r="C34" t="s">
        <v>93</v>
      </c>
      <c r="E34">
        <f>1-E31</f>
        <v>0.96510553489344664</v>
      </c>
      <c r="F34">
        <f>F31</f>
        <v>3.9654754888442834E-2</v>
      </c>
      <c r="G34" s="3">
        <f t="shared" si="0"/>
        <v>4.1088516700736724E-2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0.99999858930638164</v>
      </c>
      <c r="L36">
        <f>((L33^2)+L27^2)^0.5</f>
        <v>5.100616183858659E-2</v>
      </c>
      <c r="M36" s="3">
        <f t="shared" ref="M36:M37" si="7">L36/K36</f>
        <v>5.1006233792755096E-2</v>
      </c>
    </row>
    <row r="37" spans="3:13" x14ac:dyDescent="0.25">
      <c r="C37" t="s">
        <v>94</v>
      </c>
      <c r="E37">
        <f>E34*E13</f>
        <v>1.1358776050031199E-2</v>
      </c>
      <c r="F37">
        <f>((F34*E13)^2+(E34*F13)^2)^0.5</f>
        <v>2.2360147810479344E-2</v>
      </c>
      <c r="G37" s="3">
        <f t="shared" si="0"/>
        <v>1.9685349646820378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4.6253241156584579E-2</v>
      </c>
      <c r="F40">
        <f>(F37^2+F31^2)^0.5</f>
        <v>4.552445271904941E-2</v>
      </c>
      <c r="G40" s="3">
        <f t="shared" si="0"/>
        <v>0.98424351636098439</v>
      </c>
      <c r="J40" t="s">
        <v>79</v>
      </c>
      <c r="K40" s="59">
        <f>K36*E40</f>
        <v>4.6253175907432449E-2</v>
      </c>
      <c r="L40" s="59">
        <f>((F40*K36)^2+(L36*E40)^2)^0.5</f>
        <v>4.5585477667681486E-2</v>
      </c>
      <c r="M40" s="3">
        <f>L40/K40</f>
        <v>0.98556427257909285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0.27973782097197791</v>
      </c>
      <c r="I46" t="s">
        <v>132</v>
      </c>
      <c r="K46" s="3">
        <f>ABS(K40-K43)/K43</f>
        <v>0.94199499068887471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0.47849055239615235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1.190963528285611E-2</v>
      </c>
      <c r="C2">
        <f>'Exp1'!W17</f>
        <v>5.8198223775455749E-2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83.965627515016976</v>
      </c>
      <c r="C5">
        <f>C2/B2^2</f>
        <v>410.31066556671499</v>
      </c>
      <c r="E5">
        <f>B5*F1</f>
        <v>83.965627515016976</v>
      </c>
      <c r="F5">
        <f>((C5*F$1)^2+(G$1*B5)^2)^0.5</f>
        <v>410.31154223184922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1.190963528285611E-2</v>
      </c>
      <c r="Q7">
        <f>Exp2_Act_C2!Q7</f>
        <v>2.3717963390935681E-2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1.1769465244321984E-2</v>
      </c>
      <c r="F9">
        <f>F5/((1+E5)^2)</f>
        <v>5.6836482903493996E-2</v>
      </c>
      <c r="G9" s="3">
        <f>F9/E9</f>
        <v>4.8291474356419011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1.1342509793196294E-2</v>
      </c>
      <c r="Q10">
        <f>((L$9*P7)^2+(Q7*K$9)^2)^0.5</f>
        <v>2.2589106103483782E-2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1.1769465244321984E-2</v>
      </c>
      <c r="F13">
        <f>((F9*F$1)^2+(E9*G$1)^2)^0.5</f>
        <v>5.68366072488928E-2</v>
      </c>
      <c r="G13" s="3">
        <f t="shared" si="0"/>
        <v>4.8291580007267392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0.98878469985849238</v>
      </c>
      <c r="K14">
        <f>Q10/((1+P10)^2)</f>
        <v>2.2085260218293566E-2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0.98823053475567801</v>
      </c>
      <c r="F16">
        <f>F13</f>
        <v>5.68366072488928E-2</v>
      </c>
      <c r="G16" s="3">
        <f t="shared" si="0"/>
        <v>5.7513510511942048E-2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0.98878469985849238</v>
      </c>
      <c r="L18">
        <f>((J14*Q$16)^2+(K14*P$16)^2)^0.5</f>
        <v>2.548256714781056E-2</v>
      </c>
      <c r="M18" s="3">
        <f t="shared" ref="M18:M19" si="1">L18/K18</f>
        <v>2.5771603415240384E-2</v>
      </c>
    </row>
    <row r="19" spans="3:13" x14ac:dyDescent="0.25">
      <c r="C19" t="s">
        <v>87</v>
      </c>
      <c r="E19">
        <f>E16*E13</f>
        <v>1.1630944932184681E-2</v>
      </c>
      <c r="F19">
        <f>((F16*E13)^2+(E16*F13)^2)^0.5</f>
        <v>5.6171654028745313E-2</v>
      </c>
      <c r="G19" s="3">
        <f t="shared" si="0"/>
        <v>4.8295004710502392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1.1215300141507623E-2</v>
      </c>
      <c r="L21">
        <f>L18</f>
        <v>2.548256714781056E-2</v>
      </c>
      <c r="M21" s="3">
        <f>L21/K21</f>
        <v>2.2721252954702513</v>
      </c>
    </row>
    <row r="22" spans="3:13" x14ac:dyDescent="0.25">
      <c r="C22" t="s">
        <v>89</v>
      </c>
      <c r="E22">
        <f>E19+E13</f>
        <v>2.3400410176506667E-2</v>
      </c>
      <c r="F22">
        <f>((F19^2+F13^2)^0.5)</f>
        <v>7.9910291201383779E-2</v>
      </c>
      <c r="G22" s="3">
        <f t="shared" si="0"/>
        <v>3.4149098498115813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1.1089517184243522E-2</v>
      </c>
      <c r="L24">
        <f>((L21*K18)^2+(K21*L18)^2)^0.5</f>
        <v>2.5198393270990136E-2</v>
      </c>
      <c r="M24" s="3">
        <f t="shared" ref="M24:M25" si="3">L24/K24</f>
        <v>2.2722714481017383</v>
      </c>
    </row>
    <row r="25" spans="3:13" x14ac:dyDescent="0.25">
      <c r="C25" t="s">
        <v>90</v>
      </c>
      <c r="E25">
        <f>1-E22</f>
        <v>0.97659958982349337</v>
      </c>
      <c r="F25">
        <f>F22</f>
        <v>7.9910291201383779E-2</v>
      </c>
      <c r="G25" s="3">
        <f t="shared" si="0"/>
        <v>8.1825030477256741E-2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0.99987421704273594</v>
      </c>
      <c r="L27">
        <f>((L24^2+L18^2)^0.5)</f>
        <v>3.5837414134981267E-2</v>
      </c>
      <c r="M27" s="3">
        <f t="shared" ref="M27:M28" si="4">L27/K27</f>
        <v>3.5841922437979547E-2</v>
      </c>
    </row>
    <row r="28" spans="3:13" x14ac:dyDescent="0.25">
      <c r="C28" t="s">
        <v>92</v>
      </c>
      <c r="E28">
        <f>E13*E25</f>
        <v>1.1494054930046712E-2</v>
      </c>
      <c r="F28">
        <f>((F25*E13)^2+(E25*F13)^2)^0.5</f>
        <v>5.5514574660551555E-2</v>
      </c>
      <c r="G28" s="3">
        <f t="shared" si="0"/>
        <v>4.8298511707500555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1.2578295726406452E-4</v>
      </c>
      <c r="L30">
        <f>L27</f>
        <v>3.5837414134981267E-2</v>
      </c>
      <c r="M30" s="3">
        <f t="shared" ref="M30:M31" si="5">L30/K30</f>
        <v>284.91470477789295</v>
      </c>
    </row>
    <row r="31" spans="3:13" x14ac:dyDescent="0.25">
      <c r="C31" t="s">
        <v>91</v>
      </c>
      <c r="E31" s="6">
        <f>E28+E22</f>
        <v>3.4894465106553377E-2</v>
      </c>
      <c r="F31">
        <f>((F28^2)+F22^2)^0.5</f>
        <v>9.7301195468667834E-2</v>
      </c>
      <c r="G31" s="3">
        <f t="shared" si="0"/>
        <v>2.7884420973799116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1.243722636456616E-4</v>
      </c>
      <c r="L33">
        <f>((L30*K18)^2+(K30*L18)^2)^0.5</f>
        <v>3.5435486924126409E-2</v>
      </c>
      <c r="M33" s="3">
        <f t="shared" ref="M33:M34" si="6">L33/K33</f>
        <v>284.91470594346202</v>
      </c>
    </row>
    <row r="34" spans="3:13" x14ac:dyDescent="0.25">
      <c r="C34" t="s">
        <v>93</v>
      </c>
      <c r="E34">
        <f>1-E31</f>
        <v>0.96510553489344664</v>
      </c>
      <c r="F34">
        <f>F31</f>
        <v>9.7301195468667834E-2</v>
      </c>
      <c r="G34" s="3">
        <f t="shared" si="0"/>
        <v>0.10081922852034049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0.99999858930638164</v>
      </c>
      <c r="L36">
        <f>((L33^2)+L27^2)^0.5</f>
        <v>5.0398353003169548E-2</v>
      </c>
      <c r="M36" s="3">
        <f t="shared" ref="M36:M37" si="7">L36/K36</f>
        <v>5.0398424099904804E-2</v>
      </c>
    </row>
    <row r="37" spans="3:13" x14ac:dyDescent="0.25">
      <c r="C37" t="s">
        <v>94</v>
      </c>
      <c r="E37">
        <f>E34*E13</f>
        <v>1.1358776050031199E-2</v>
      </c>
      <c r="F37">
        <f>((F34*E13)^2+(E34*F13)^2)^0.5</f>
        <v>5.4865277037681119E-2</v>
      </c>
      <c r="G37" s="3">
        <f t="shared" si="0"/>
        <v>4.8302102969562837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4.6253241156584579E-2</v>
      </c>
      <c r="F40">
        <f>(F37^2+F31^2)^0.5</f>
        <v>0.11170372090513997</v>
      </c>
      <c r="G40" s="3">
        <f t="shared" si="0"/>
        <v>2.4150463429574796</v>
      </c>
      <c r="J40" t="s">
        <v>79</v>
      </c>
      <c r="K40" s="60">
        <f>K36*E40</f>
        <v>4.6253175907432449E-2</v>
      </c>
      <c r="L40" s="60">
        <f>((F40*K36)^2+(L36*E40)^2)^0.5</f>
        <v>0.11172788383843042</v>
      </c>
      <c r="M40" s="3">
        <f>L40/K40</f>
        <v>2.4155721557809136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0.27973782097197791</v>
      </c>
      <c r="I46" t="s">
        <v>132</v>
      </c>
      <c r="K46" s="3">
        <f>ABS(K40-K43)/K43</f>
        <v>0.99660749547269301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0.52865983273260797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1.190963528285611E-2</v>
      </c>
      <c r="C2">
        <f>'Exp1'!W17</f>
        <v>5.8198223775455749E-2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83.965627515016976</v>
      </c>
      <c r="C5">
        <f>C2/B2^2</f>
        <v>410.31066556671499</v>
      </c>
      <c r="E5">
        <f>B5*F1</f>
        <v>83.965627515016976</v>
      </c>
      <c r="F5">
        <f>((C5*F$1)^2+(G$1*B5)^2)^0.5</f>
        <v>410.31154223184922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1.190963528285611E-2</v>
      </c>
      <c r="Q7">
        <f>Exp2_Act_C3!Q7</f>
        <v>2.3717963390935681E-2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1.1769465244321984E-2</v>
      </c>
      <c r="F9">
        <f>F5/((1+E5)^2)</f>
        <v>5.6836482903493996E-2</v>
      </c>
      <c r="G9" s="3">
        <f>F9/E9</f>
        <v>4.8291474356419011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1.1342509793196294E-2</v>
      </c>
      <c r="Q10">
        <f>((L$9*P7)^2+(Q7*K$9)^2)^0.5</f>
        <v>2.2589106103483782E-2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1.1769465244321984E-2</v>
      </c>
      <c r="F13">
        <f>((F9*F$1)^2+(E9*G$1)^2)^0.5</f>
        <v>5.68366072488928E-2</v>
      </c>
      <c r="G13" s="3">
        <f t="shared" si="0"/>
        <v>4.8291580007267392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0.98878469985849238</v>
      </c>
      <c r="K14">
        <f>Q10/((1+P10)^2)</f>
        <v>2.2085260218293566E-2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0.98823053475567801</v>
      </c>
      <c r="F16">
        <f>F13</f>
        <v>5.68366072488928E-2</v>
      </c>
      <c r="G16" s="3">
        <f t="shared" si="0"/>
        <v>5.7513510511942048E-2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0.98878469985849238</v>
      </c>
      <c r="L18">
        <f>((J14*Q$16)^2+(K14*P$16)^2)^0.5</f>
        <v>2.548256714781056E-2</v>
      </c>
      <c r="M18" s="3">
        <f t="shared" ref="M18:M19" si="1">L18/K18</f>
        <v>2.5771603415240384E-2</v>
      </c>
    </row>
    <row r="19" spans="3:13" x14ac:dyDescent="0.25">
      <c r="C19" t="s">
        <v>87</v>
      </c>
      <c r="E19">
        <f>E16*E13</f>
        <v>1.1630944932184681E-2</v>
      </c>
      <c r="F19">
        <f>((F16*E13)^2+(E16*F13)^2)^0.5</f>
        <v>5.6171654028745313E-2</v>
      </c>
      <c r="G19" s="3">
        <f t="shared" si="0"/>
        <v>4.8295004710502392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1.1215300141507623E-2</v>
      </c>
      <c r="L21">
        <f>L18</f>
        <v>2.548256714781056E-2</v>
      </c>
      <c r="M21" s="3">
        <f>L21/K21</f>
        <v>2.2721252954702513</v>
      </c>
    </row>
    <row r="22" spans="3:13" x14ac:dyDescent="0.25">
      <c r="C22" t="s">
        <v>89</v>
      </c>
      <c r="E22">
        <f>E19+E13</f>
        <v>2.3400410176506667E-2</v>
      </c>
      <c r="F22">
        <f>((F19^2+F13^2)^0.5)</f>
        <v>7.9910291201383779E-2</v>
      </c>
      <c r="G22" s="3">
        <f t="shared" si="0"/>
        <v>3.4149098498115813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1.1089517184243522E-2</v>
      </c>
      <c r="L24">
        <f>((L21*K18)^2+(K21*L18)^2)^0.5</f>
        <v>2.5198393270990136E-2</v>
      </c>
      <c r="M24" s="3">
        <f t="shared" ref="M24:M25" si="3">L24/K24</f>
        <v>2.2722714481017383</v>
      </c>
    </row>
    <row r="25" spans="3:13" x14ac:dyDescent="0.25">
      <c r="C25" t="s">
        <v>90</v>
      </c>
      <c r="E25">
        <f>1-E22</f>
        <v>0.97659958982349337</v>
      </c>
      <c r="F25">
        <f>F22</f>
        <v>7.9910291201383779E-2</v>
      </c>
      <c r="G25" s="3">
        <f t="shared" si="0"/>
        <v>8.1825030477256741E-2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0.99987421704273594</v>
      </c>
      <c r="L27">
        <f>((L24^2+L18^2)^0.5)</f>
        <v>3.5837414134981267E-2</v>
      </c>
      <c r="M27" s="3">
        <f t="shared" ref="M27:M28" si="4">L27/K27</f>
        <v>3.5841922437979547E-2</v>
      </c>
    </row>
    <row r="28" spans="3:13" x14ac:dyDescent="0.25">
      <c r="C28" t="s">
        <v>92</v>
      </c>
      <c r="E28">
        <f>E13*E25</f>
        <v>1.1494054930046712E-2</v>
      </c>
      <c r="F28">
        <f>((F25*E13)^2+(E25*F13)^2)^0.5</f>
        <v>5.5514574660551555E-2</v>
      </c>
      <c r="G28" s="3">
        <f t="shared" si="0"/>
        <v>4.8298511707500555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1.2578295726406452E-4</v>
      </c>
      <c r="L30">
        <f>L27</f>
        <v>3.5837414134981267E-2</v>
      </c>
      <c r="M30" s="3">
        <f t="shared" ref="M30:M31" si="5">L30/K30</f>
        <v>284.91470477789295</v>
      </c>
    </row>
    <row r="31" spans="3:13" x14ac:dyDescent="0.25">
      <c r="C31" t="s">
        <v>91</v>
      </c>
      <c r="E31" s="6">
        <f>E28+E22</f>
        <v>3.4894465106553377E-2</v>
      </c>
      <c r="F31">
        <f>((F28^2)+F22^2)^0.5</f>
        <v>9.7301195468667834E-2</v>
      </c>
      <c r="G31" s="3">
        <f t="shared" si="0"/>
        <v>2.7884420973799116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1.243722636456616E-4</v>
      </c>
      <c r="L33">
        <f>((L30*K18)^2+(K30*L18)^2)^0.5</f>
        <v>3.5435486924126409E-2</v>
      </c>
      <c r="M33" s="3">
        <f t="shared" ref="M33:M34" si="6">L33/K33</f>
        <v>284.91470594346202</v>
      </c>
    </row>
    <row r="34" spans="3:14" x14ac:dyDescent="0.25">
      <c r="C34" t="s">
        <v>93</v>
      </c>
      <c r="E34">
        <f>1-E31</f>
        <v>0.96510553489344664</v>
      </c>
      <c r="F34">
        <f>F31</f>
        <v>9.7301195468667834E-2</v>
      </c>
      <c r="G34" s="3">
        <f t="shared" si="0"/>
        <v>0.10081922852034049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0.99999858930638164</v>
      </c>
      <c r="L36">
        <f>((L33^2)+L27^2)^0.5</f>
        <v>5.0398353003169548E-2</v>
      </c>
      <c r="M36" s="3">
        <f t="shared" ref="M36:M37" si="7">L36/K36</f>
        <v>5.0398424099904804E-2</v>
      </c>
    </row>
    <row r="37" spans="3:14" x14ac:dyDescent="0.25">
      <c r="C37" t="s">
        <v>94</v>
      </c>
      <c r="E37">
        <f>E34*E13</f>
        <v>1.1358776050031199E-2</v>
      </c>
      <c r="F37">
        <f>((F34*E13)^2+(E34*F13)^2)^0.5</f>
        <v>5.4865277037681119E-2</v>
      </c>
      <c r="G37" s="3">
        <f t="shared" si="0"/>
        <v>4.8302102969562837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4.6253241156584579E-2</v>
      </c>
      <c r="F40">
        <f>(F37^2+F31^2)^0.5</f>
        <v>0.11170372090513997</v>
      </c>
      <c r="G40" s="3">
        <f t="shared" si="0"/>
        <v>2.4150463429574796</v>
      </c>
      <c r="I40" s="61"/>
      <c r="J40" s="61" t="s">
        <v>79</v>
      </c>
      <c r="K40" s="61">
        <f>K36*E40</f>
        <v>4.6253175907432449E-2</v>
      </c>
      <c r="L40" s="61">
        <f>((F40*K36)^2+(L36*E40)^2)^0.5</f>
        <v>0.11172788383843042</v>
      </c>
      <c r="M40" s="62">
        <f>L40/K40</f>
        <v>2.4155721557809136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-1.0156604901360418</v>
      </c>
      <c r="I46" t="s">
        <v>132</v>
      </c>
      <c r="K46" s="3">
        <f>ABS(K40-K43)/K43</f>
        <v>0.99600086210830385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0.50852683873709958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2016-04-22T07:48:52Z</dcterms:modified>
</cp:coreProperties>
</file>