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<sst xmlns="http://schemas.openxmlformats.org/spreadsheetml/2006/main" count="680" uniqueCount="172">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</sst>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tabSelected="1"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0.22936066612909098</v>
      </c>
      <c r="S6" s="25">
        <f>Exp2_eq_V_p_sep_C1!C2</f>
        <v>2.6714235004850949E-2</v>
      </c>
      <c r="T6" s="25"/>
      <c r="U6" s="25">
        <f>Exp2_eq_V_p_sep_C1!P7</f>
        <v>0.22936066612909098</v>
      </c>
      <c r="V6" s="27">
        <f>Exp2_eq_V_p_sep_C1!Q7</f>
        <v>2.6714235004850949E-2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0.55895356509142657</v>
      </c>
      <c r="S10" s="25">
        <f>Exp2_eq_V_p_sep_C1!L40</f>
        <v>3.4419041418686069E-2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1.783512982276749</v>
      </c>
      <c r="S13" s="18">
        <f>((S11/R10)^2+((S10*R11)/(R10^2))^2)^0.5</f>
        <v>0.13278772836303773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0.22936066612909098</v>
      </c>
      <c r="E16" s="25">
        <f>'Exp1'!AO12</f>
        <v>2.6714235004850949E-2</v>
      </c>
      <c r="F16" s="25"/>
      <c r="G16" s="25">
        <f>'Exp1'!AN12</f>
        <v>0.22936066612909098</v>
      </c>
      <c r="H16" s="25">
        <f>'Exp1'!AO12</f>
        <v>2.6714235004850949E-2</v>
      </c>
      <c r="J16" s="22" t="s">
        <v>152</v>
      </c>
      <c r="K16" s="25">
        <f>Exp2_Eq_V_P_Sep_C3!B2</f>
        <v>0.22936066612909098</v>
      </c>
      <c r="L16" s="25">
        <f>Exp2_Eq_V_P_Sep_C3!C2</f>
        <v>4.0089728873310061E-2</v>
      </c>
      <c r="M16" s="25"/>
      <c r="N16" s="25">
        <f>Exp2_Eq_V_P_Sep_C3!P7</f>
        <v>0.22936066612909098</v>
      </c>
      <c r="O16" s="27">
        <f>Exp2_Eq_V_P_Sep_C3!Q7</f>
        <v>2.6714235004850949E-2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0.22936066612909098</v>
      </c>
      <c r="S18" s="25">
        <f>Exp2_Eq_V_P_Sep_C2!C2</f>
        <v>4.0089728873310061E-2</v>
      </c>
      <c r="T18" s="25"/>
      <c r="U18" s="25">
        <f>Exp2_Eq_V_P_Sep_C2!P7</f>
        <v>0.22936066612909098</v>
      </c>
      <c r="V18" s="27">
        <f>Exp2_Eq_V_P_Sep_C2!Q7</f>
        <v>2.6714235004850949E-2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0.15176104699720189</v>
      </c>
      <c r="E20" s="25">
        <f>'Exp1'!AD27</f>
        <v>1.4859896817931185E-2</v>
      </c>
      <c r="F20" s="25"/>
      <c r="G20" s="25"/>
      <c r="H20" s="27"/>
      <c r="J20" s="22" t="s">
        <v>79</v>
      </c>
      <c r="K20" s="25">
        <f>Exp2_Eq_V_P_Sep_C3!K40</f>
        <v>0.55895356509142657</v>
      </c>
      <c r="L20" s="25">
        <f>Exp2_Eq_V_P_Sep_C3!L40</f>
        <v>4.6525064535572924E-2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0.55895356509142657</v>
      </c>
      <c r="S22" s="25">
        <f>Exp2_Eq_V_P_Sep_C2!L40</f>
        <v>4.6525064535572924E-2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5.4949361682216553</v>
      </c>
      <c r="E23" s="18">
        <f>'Exp1'!AD33</f>
        <v>0.82753641331662631</v>
      </c>
      <c r="F23" s="18"/>
      <c r="G23" s="18"/>
      <c r="H23" s="41"/>
      <c r="J23" s="24" t="s">
        <v>154</v>
      </c>
      <c r="K23" s="18">
        <f>K21/K20</f>
        <v>1.7813903386033583</v>
      </c>
      <c r="L23" s="18">
        <f>((L21/K20)^2+((L20*K21)/(K20^2))^2)^0.5</f>
        <v>0.1661402319607112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1.664499460029373</v>
      </c>
      <c r="S25" s="18">
        <f>((S23/R22)^2+((S22*R23)/(R22^2))^2)^0.5</f>
        <v>0.16105845359466933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AH5" sqref="AH5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-0.48148036832623875</v>
      </c>
      <c r="M4" s="8">
        <f>((F8/E5)^2+((F5*E8)/(E5^2))^2)^0.5</f>
        <v>6.4019707642605617E-2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32.483606211645416</v>
      </c>
      <c r="S4">
        <f>(($Q4*$Q$2*E4)^2+(F4*$Q4)^2)^0.5</f>
        <v>1.7631326473543345</v>
      </c>
      <c r="T4" s="3">
        <f>S4/R4</f>
        <v>5.4277614248452781E-2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-0.48148036832623875</v>
      </c>
      <c r="Z4" s="8">
        <f>((S8/R5)^2+((S5*R8)/(R5^2))^2)^0.5</f>
        <v>0.12276987975609059</v>
      </c>
      <c r="AA4" s="42"/>
      <c r="AC4" s="43"/>
      <c r="AE4" s="64">
        <f>Y12/Y11</f>
        <v>4.2435906934272287</v>
      </c>
      <c r="AF4" s="61">
        <f>((Z12/Y11)^2+((Y12*Z11)/(Y11^2))^2)^0.5</f>
        <v>0.5362110710036877</v>
      </c>
      <c r="AH4">
        <v>0.84047499999999997</v>
      </c>
      <c r="AI4">
        <v>0</v>
      </c>
      <c r="AK4">
        <f>1/S16</f>
        <v>1.4</v>
      </c>
      <c r="AL4">
        <f>T16/S16^2</f>
        <v>1.979898987322333E-2</v>
      </c>
      <c r="AN4">
        <f>AK10*AK4</f>
        <v>4.3599454818341448</v>
      </c>
      <c r="AO4">
        <f>((AL10*AK4)^2+(AL4*AK10)^2)^0.5</f>
        <v>0.50781422192286974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18.319616977150609</v>
      </c>
      <c r="F5" s="10">
        <f>((F4*$C5*$B5)^2+($C5*$B$2*E4)^2+($C$2*$B5*E4)^2)^0.5</f>
        <v>0.55706752965871653</v>
      </c>
      <c r="G5" s="3">
        <f>F5/E5</f>
        <v>3.0408252004041708E-2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18.319616977150609</v>
      </c>
      <c r="S5">
        <f>((S4*$C5*$B5)^2+($C5*$B$2*R4)^2+($C$2*$B5*R4)^2)^0.5</f>
        <v>1.0720751597130806</v>
      </c>
      <c r="T5" s="3">
        <f>S5/R5</f>
        <v>5.8520609958725718E-2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48.12382489499295</v>
      </c>
      <c r="F7">
        <v>1.0367620653184835</v>
      </c>
      <c r="G7" s="3">
        <v>2.1543633898193189E-2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-0.34391454880445627</v>
      </c>
      <c r="M7" s="3">
        <f>((M4*F19)^2+(L4*G19)^2)^0.5</f>
        <v>4.5986286973653014E-2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48.12382489499295</v>
      </c>
      <c r="S7">
        <f>(($Q7*$Q$2*E7)^2+(F7*$Q7)^2)^0.5</f>
        <v>2.6200442527547714</v>
      </c>
      <c r="T7" s="3">
        <f>S7/R7</f>
        <v>5.4443807375489268E-2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-0.34391454880445627</v>
      </c>
      <c r="Z7" s="3">
        <f>((Z4*S19)^2+(Y4*T19)^2)^0.5</f>
        <v>8.7827544504236826E-2</v>
      </c>
      <c r="AA7" s="54" t="s">
        <v>15</v>
      </c>
      <c r="AB7" s="54">
        <f>1/(1+1/V17)</f>
        <v>-0.30232496696238054</v>
      </c>
      <c r="AC7">
        <f>W14/((V14+1)^2)</f>
        <v>0.12276987975609056</v>
      </c>
      <c r="AH7">
        <f>S19</f>
        <v>0.7142857142857143</v>
      </c>
      <c r="AI7">
        <f>T19</f>
        <v>1.0101525445522107E-2</v>
      </c>
      <c r="AK7">
        <f>AH4*AH7</f>
        <v>0.60033928571428574</v>
      </c>
      <c r="AL7">
        <f>((AI7*AH4)^2+(AH7*AI4)^2)^0.5</f>
        <v>8.4900795988251919E-3</v>
      </c>
      <c r="AN7">
        <f>1/AN4</f>
        <v>0.22936066612909098</v>
      </c>
      <c r="AO7">
        <f>AO4/AN4^2</f>
        <v>2.6714235004850949E-2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27.140152906904703</v>
      </c>
      <c r="F8">
        <f>((F7*$C8*$B8)^2+($C8*$B$2*E7)^2+($C$2*$B8*E7)^2)^0.5</f>
        <v>0.83330901275469893</v>
      </c>
      <c r="G8" s="3">
        <f>F8/E8</f>
        <v>3.0703917388125602E-2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27.140152906904703</v>
      </c>
      <c r="S8">
        <f>((S7*$C8*$B8)^2+($C8*$B$2*R7)^2+($C$2*$B8*R7)^2)^0.5</f>
        <v>1.5924426709503958</v>
      </c>
      <c r="T8" s="3">
        <f>S8/R8</f>
        <v>5.8674786262728235E-2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11.745451524736868</v>
      </c>
      <c r="F10">
        <v>0.34007433616006866</v>
      </c>
      <c r="G10" s="3">
        <v>2.8953704797456674E-2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4.3458170641526408</v>
      </c>
      <c r="S10">
        <f>(($Q10*$Q$2*E10)^2+(F10*$Q10)^2)^0.5</f>
        <v>0.25109336061713122</v>
      </c>
      <c r="T10" s="3">
        <f>S10/R10</f>
        <v>5.7778170804364058E-2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0.14591717971128551</v>
      </c>
      <c r="AI10" s="3">
        <f>Z14</f>
        <v>1.2601472885327661E-2</v>
      </c>
      <c r="AK10">
        <f>AK7/AH10-1</f>
        <v>3.1142467727386753</v>
      </c>
      <c r="AL10">
        <f>((AL7/AH10)^2+((AK7*AI10)/(AH10^2))^2)^0.5</f>
        <v>0.36004071415620542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6.0206009970648715</v>
      </c>
      <c r="F11" s="18">
        <f>((F10*$C11*$B11)^2+($C11*$B$2*E10)^2+($C$2*$B11*E10)^2)^0.5</f>
        <v>0.2198521227755619</v>
      </c>
      <c r="G11" s="20">
        <f>F11/E11</f>
        <v>3.6516640594974309E-2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0.32864229664703948</v>
      </c>
      <c r="M11" s="3">
        <f>((F11/E5)^2+((F5*E11)/(E5^2))^2)^0.5</f>
        <v>1.5617000433869915E-2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2.2276223689140022</v>
      </c>
      <c r="S11" s="18">
        <f>((S10*$C11*$B11)^2+($C11*$B$2*R10)^2+($C$2*$B11*R10)^2)^0.5</f>
        <v>0.13792319967071648</v>
      </c>
      <c r="T11" s="20">
        <f>S11/R11</f>
        <v>6.1914982357604897E-2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0.1215976497594046</v>
      </c>
      <c r="Z11" s="3">
        <f>((S11/R5)^2+((S5*R11)/(R5^2))^2)^0.5</f>
        <v>1.0359468099972777E-2</v>
      </c>
      <c r="AA11" s="27"/>
      <c r="AB11" s="54" t="s">
        <v>19</v>
      </c>
      <c r="AC11" s="54">
        <f>(1/(1+Y25))*AB7</f>
        <v>9.9833251638126536E-2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0.22936066612909098</v>
      </c>
      <c r="AO12">
        <f>AO7</f>
        <v>2.6714235004850949E-2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-0.32499949281826146</v>
      </c>
      <c r="J14" s="6">
        <f>((F5/E8)^2+((F8*E5)/(E8^2))^2)^0.5</f>
        <v>2.9169023128674591E-2</v>
      </c>
      <c r="K14" s="22" t="s">
        <v>65</v>
      </c>
      <c r="L14" s="3">
        <f>L11/F23</f>
        <v>0.39437075597644733</v>
      </c>
      <c r="M14" s="3">
        <f>((M11/F23)^2+((L11*G23)/(F23^2))^2)^0.5</f>
        <v>1.9552704935840385E-2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-0.32499949281826146</v>
      </c>
      <c r="W14" s="6">
        <f>((S5/R8)^2+((S8*R5)/(R8^2))^2)^0.5</f>
        <v>5.5937110523865768E-2</v>
      </c>
      <c r="X14" s="22" t="s">
        <v>65</v>
      </c>
      <c r="Y14" s="3">
        <f>Y11/S23</f>
        <v>0.14591717971128551</v>
      </c>
      <c r="Z14" s="3">
        <f>((Z11/S23)^2+((Y11*T23)/(S23^2))^2)^0.5</f>
        <v>1.2601472885327661E-2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-4.0282993091143791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-0.23214249487018676</v>
      </c>
      <c r="J17">
        <f>((J14*F16)^2+(I14*G16)^2)^0.5</f>
        <v>2.1092082424304683E-2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-0.23214249487018676</v>
      </c>
      <c r="W17">
        <f>((W14*S16)^2+(V14*T16)^2)^0.5</f>
        <v>4.0089728873310061E-2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0.19113388844090914</v>
      </c>
      <c r="AO17">
        <f>((AO14*AN12)^2+(AO12*AN14)^2)^0.5</f>
        <v>2.24253640953943E-2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-1.1467114646571104</v>
      </c>
      <c r="M18">
        <f>((M14/L7)^2+((L14*M7)/(L7^2))^2)^0.5</f>
        <v>0.16353261826255816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-0.42428324192313083</v>
      </c>
      <c r="Z18">
        <f>((Z14/Y7)^2+((Y14*Z7)/(Y7^2))^2)^0.5</f>
        <v>0.11437960272820855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0.83953618455849099</v>
      </c>
      <c r="AO19">
        <f>AO17/((AN17+1)^2)</f>
        <v>1.5805867663311209E-2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0.18656906182892841</v>
      </c>
      <c r="AD20">
        <f>U32/((1+T32)^2)</f>
        <v>1.7805825864640745E-2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-0.87205895364360031</v>
      </c>
      <c r="M22">
        <f>M18/(L18^2)</f>
        <v>0.12436440060472234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-2.3569160909286495</v>
      </c>
      <c r="Z22">
        <f>Z18/(Y18^2)</f>
        <v>0.63538480785197426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0.81343093817107159</v>
      </c>
      <c r="AD24">
        <f>U41/((1+T41)^2)</f>
        <v>1.7805825864640742E-2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-2.2464707443723202</v>
      </c>
      <c r="M25">
        <f>((L22*G25)^2+(M22*F25)^2)^0.5</f>
        <v>0.1499692840622936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-4.0282993091143791</v>
      </c>
      <c r="Z25">
        <f>((Y22*T25)^2+(Z22*S25)^2)^0.5</f>
        <v>0.76351018672122339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4.3599454818341448</v>
      </c>
      <c r="W27" s="27">
        <f>AO7/(AN7^2)</f>
        <v>0.50781422192286985</v>
      </c>
      <c r="Z27" s="4"/>
      <c r="AB27" s="61" t="s">
        <v>79</v>
      </c>
      <c r="AC27" s="61">
        <f>AC24*AC20</f>
        <v>0.15176104699720189</v>
      </c>
      <c r="AD27" s="61">
        <f>((AD20*AC24)^2+(AD24*AC20)^2)^0.5</f>
        <v>1.4859896817931185E-2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4.3599454818341448</v>
      </c>
      <c r="U32" s="25">
        <f>((S$30*W27)^2+(T$30*V27)^2)^0.5</f>
        <v>0.51154384847053225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5.4949361682216553</v>
      </c>
      <c r="AD33">
        <f>((AD28/AC27)^2+((AD27*AC28)/(AC27^2))^2)^0.5</f>
        <v>0.82753641331662631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0.22936066612909098</v>
      </c>
      <c r="W36" s="27">
        <f>AO12</f>
        <v>2.6714235004850949E-2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0.22936066612909098</v>
      </c>
      <c r="U41" s="25">
        <f>((S$30*W36)^2+(T$30*V36)^2)^0.5</f>
        <v>2.691043691447316E-2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0.22936066612909098</v>
      </c>
      <c r="P26" s="61">
        <f>_xlfn.STDEV.S(Exp2_Act_C1!P7,Exp2_Act_C2!P7)+AVERAGE(Exp2_Act_C2!Q7,Exp2_Act_C1!Q7)</f>
        <v>2.6714235004850949E-2</v>
      </c>
      <c r="Q26" s="62">
        <f>P26/O26</f>
        <v>0.11647260821005545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0.22936066612909098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0.22936066612909098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0.22936066612909098</v>
      </c>
      <c r="C2">
        <f>'Exp1'!AO7</f>
        <v>2.6714235004850949E-2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4.3599454818341448</v>
      </c>
      <c r="C5">
        <f>C2/B2^2</f>
        <v>0.50781422192286985</v>
      </c>
      <c r="E5">
        <f>B5*F1</f>
        <v>3.1142467727386749</v>
      </c>
      <c r="F5">
        <f>((C5*F$1)^2+(G$1*B5)^2)^0.5</f>
        <v>0.36538846319323731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0.22936066612909098</v>
      </c>
      <c r="Q7">
        <f>C2</f>
        <v>2.6714235004850949E-2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0.24305785608828312</v>
      </c>
      <c r="F9">
        <f>F5/((1+E5)^2)</f>
        <v>2.1586098600503614E-2</v>
      </c>
      <c r="G9" s="3">
        <f>F9/E9</f>
        <v>8.8810536503140816E-2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0.21843872964675329</v>
      </c>
      <c r="Q10">
        <f>((L$9*P7)^2+(Q7*K$9)^2)^0.5</f>
        <v>2.5628987537593489E-2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0.17361275434877366</v>
      </c>
      <c r="F13">
        <f>((F9*F$1)^2+(E9*G$1)^2)^0.5</f>
        <v>1.5612904740132253E-2</v>
      </c>
      <c r="G13" s="3">
        <f t="shared" si="0"/>
        <v>8.9929480116231669E-2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0.82072243410213774</v>
      </c>
      <c r="K14">
        <f>Q10/((1+P10)^2)</f>
        <v>1.7263309613873887E-2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0.82638724565122634</v>
      </c>
      <c r="F16">
        <f>F13</f>
        <v>1.5612904740132253E-2</v>
      </c>
      <c r="G16" s="3">
        <f t="shared" si="0"/>
        <v>1.8892964312183517E-2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0.78164041343060731</v>
      </c>
      <c r="L18">
        <f>((J14*Q$16)^2+(K14*P$16)^2)^0.5</f>
        <v>1.9811788368550989E-2</v>
      </c>
      <c r="M18" s="3">
        <f t="shared" ref="M18:M19" si="1">L18/K18</f>
        <v>2.5346422764397972E-2</v>
      </c>
    </row>
    <row r="19" spans="3:13" x14ac:dyDescent="0.25">
      <c r="C19" t="s">
        <v>87</v>
      </c>
      <c r="E19">
        <f>E16*E13</f>
        <v>0.14347136587620604</v>
      </c>
      <c r="F19">
        <f>((F16*E13)^2+(E16*F13)^2)^0.5</f>
        <v>1.3183961176091673E-2</v>
      </c>
      <c r="G19" s="3">
        <f t="shared" si="0"/>
        <v>9.1892630251164023E-2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0.21835958656939269</v>
      </c>
      <c r="L21">
        <f>L18</f>
        <v>1.9811788368550989E-2</v>
      </c>
      <c r="M21" s="3">
        <f>L21/K21</f>
        <v>9.073010569313833E-2</v>
      </c>
    </row>
    <row r="22" spans="3:13" x14ac:dyDescent="0.25">
      <c r="C22" t="s">
        <v>89</v>
      </c>
      <c r="E22">
        <f>E19+E13</f>
        <v>0.31708412022497967</v>
      </c>
      <c r="F22">
        <f>((F19^2+F13^2)^0.5)</f>
        <v>2.0434765149546903E-2</v>
      </c>
      <c r="G22" s="3">
        <f t="shared" si="0"/>
        <v>6.4445879960963959E-2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0.1706786775226366</v>
      </c>
      <c r="L24">
        <f>((L21*K18)^2+(K21*L18)^2)^0.5</f>
        <v>1.6078613784077635E-2</v>
      </c>
      <c r="M24" s="3">
        <f t="shared" ref="M24:M25" si="3">L24/K24</f>
        <v>9.4203997930234581E-2</v>
      </c>
    </row>
    <row r="25" spans="3:13" x14ac:dyDescent="0.25">
      <c r="C25" t="s">
        <v>90</v>
      </c>
      <c r="E25">
        <f>1-E22</f>
        <v>0.68291587977502033</v>
      </c>
      <c r="F25">
        <f>F22</f>
        <v>2.0434765149546903E-2</v>
      </c>
      <c r="G25" s="3">
        <f t="shared" si="0"/>
        <v>2.9922814441331966E-2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0.95231909095324396</v>
      </c>
      <c r="L27">
        <f>((L24^2+L18^2)^0.5)</f>
        <v>2.5515265618405454E-2</v>
      </c>
      <c r="M27" s="3">
        <f t="shared" ref="M27:M28" si="4">L27/K27</f>
        <v>2.6792769210229113E-2</v>
      </c>
    </row>
    <row r="28" spans="3:13" x14ac:dyDescent="0.25">
      <c r="C28" t="s">
        <v>92</v>
      </c>
      <c r="E28">
        <f>E13*E25</f>
        <v>0.11856290687625724</v>
      </c>
      <c r="F28">
        <f>((F25*E13)^2+(E25*F13)^2)^0.5</f>
        <v>1.1237040683814328E-2</v>
      </c>
      <c r="G28" s="3">
        <f t="shared" si="0"/>
        <v>9.4777034233331503E-2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4.7680909046756037E-2</v>
      </c>
      <c r="L30">
        <f>L27</f>
        <v>2.5515265618405454E-2</v>
      </c>
      <c r="M30" s="3">
        <f t="shared" ref="M30:M31" si="5">L30/K30</f>
        <v>0.53512540193780933</v>
      </c>
    </row>
    <row r="31" spans="3:13" x14ac:dyDescent="0.25">
      <c r="C31" t="s">
        <v>91</v>
      </c>
      <c r="E31" s="6">
        <f>E28+E22</f>
        <v>0.43564702710123693</v>
      </c>
      <c r="F31">
        <f>((F28^2)+F22^2)^0.5</f>
        <v>2.3320606982813186E-2</v>
      </c>
      <c r="G31" s="3">
        <f t="shared" si="0"/>
        <v>5.3530967806636437E-2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3.7269325460053571E-2</v>
      </c>
      <c r="L33">
        <f>((L30*K18)^2+(K30*L18)^2)^0.5</f>
        <v>1.9966121950277693E-2</v>
      </c>
      <c r="M33" s="3">
        <f t="shared" ref="M33:M34" si="6">L33/K33</f>
        <v>0.53572533722613269</v>
      </c>
    </row>
    <row r="34" spans="3:13" x14ac:dyDescent="0.25">
      <c r="C34" t="s">
        <v>93</v>
      </c>
      <c r="E34">
        <f>1-E31</f>
        <v>0.56435297289876307</v>
      </c>
      <c r="F34">
        <f>F31</f>
        <v>2.3320606982813186E-2</v>
      </c>
      <c r="G34" s="3">
        <f t="shared" si="0"/>
        <v>4.1322732585297416E-2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0.98958841641329753</v>
      </c>
      <c r="L36">
        <f>((L33^2)+L27^2)^0.5</f>
        <v>3.2398685240471473E-2</v>
      </c>
      <c r="M36" s="3">
        <f t="shared" ref="M36:M37" si="7">L36/K36</f>
        <v>3.2739555862929884E-2</v>
      </c>
    </row>
    <row r="37" spans="3:13" x14ac:dyDescent="0.25">
      <c r="C37" t="s">
        <v>94</v>
      </c>
      <c r="E37">
        <f>E34*E13</f>
        <v>9.7978874049873071E-2</v>
      </c>
      <c r="F37">
        <f>((F34*E13)^2+(E34*F13)^2)^0.5</f>
        <v>9.6968794331410806E-3</v>
      </c>
      <c r="G37" s="3">
        <f t="shared" si="0"/>
        <v>9.896908417425973E-2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0.53362590115110997</v>
      </c>
      <c r="F40">
        <f>(F37^2+F31^2)^0.5</f>
        <v>2.5256289925238616E-2</v>
      </c>
      <c r="G40" s="3">
        <f t="shared" si="0"/>
        <v>4.7329580274790006E-2</v>
      </c>
      <c r="J40" t="s">
        <v>79</v>
      </c>
      <c r="K40">
        <f>K36*E40</f>
        <v>0.52807001047724578</v>
      </c>
      <c r="L40">
        <f>((F40*K36)^2+(L36*E40)^2)^0.5</f>
        <v>3.039026938357178E-2</v>
      </c>
      <c r="M40" s="3">
        <f>L40/K40</f>
        <v>5.754969754125297E-2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7.3096999202222293</v>
      </c>
      <c r="I46" t="s">
        <v>132</v>
      </c>
      <c r="K46" s="3">
        <f>ABS(K40-K43)/K43</f>
        <v>0.33775994245323598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0.16887997122736584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0.22936066612909098</v>
      </c>
      <c r="C2">
        <f>'Exp1'!AO7</f>
        <v>2.6714235004850949E-2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4.3599454818341448</v>
      </c>
      <c r="C5">
        <f>C2/B2^2</f>
        <v>0.50781422192286985</v>
      </c>
      <c r="E5">
        <f>B5*F1</f>
        <v>3.1142467727386749</v>
      </c>
      <c r="F5">
        <f>((C5*F$1)^2+(G$1*B5)^2)^0.5</f>
        <v>0.36538846319323731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0.22936066612909098</v>
      </c>
      <c r="Q7">
        <f>'Exp1'!AO12</f>
        <v>2.6714235004850949E-2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0.24305785608828312</v>
      </c>
      <c r="F9">
        <f>F5/((1+E5)^2)</f>
        <v>2.1586098600503614E-2</v>
      </c>
      <c r="G9" s="3">
        <f>F9/E9</f>
        <v>8.8810536503140816E-2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0.21843872964675329</v>
      </c>
      <c r="Q10">
        <f>((L$9*P7)^2+(Q7*K$9)^2)^0.5</f>
        <v>2.5628987537593489E-2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0.17361275434877366</v>
      </c>
      <c r="F13">
        <f>((F9*F$1)^2+(E9*G$1)^2)^0.5</f>
        <v>1.5612904740132253E-2</v>
      </c>
      <c r="G13" s="3">
        <f t="shared" si="0"/>
        <v>8.9929480116231669E-2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0.82072243410213774</v>
      </c>
      <c r="K14">
        <f>Q10/((1+P10)^2)</f>
        <v>1.7263309613873887E-2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0.82638724565122634</v>
      </c>
      <c r="F16">
        <f>F13</f>
        <v>1.5612904740132253E-2</v>
      </c>
      <c r="G16" s="3">
        <f t="shared" si="0"/>
        <v>1.8892964312183517E-2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0.72745852113598564</v>
      </c>
      <c r="L18">
        <f>((J14*Q$16)^2+(K14*P$16)^2)^0.5</f>
        <v>1.8911252533616852E-2</v>
      </c>
      <c r="M18" s="3">
        <f>L18/K18</f>
        <v>2.5996331040408178E-2</v>
      </c>
      <c r="P18" t="s">
        <v>136</v>
      </c>
      <c r="S18">
        <f>J14*P16*(1-P19)</f>
        <v>1.8652782593230419E-2</v>
      </c>
      <c r="T18">
        <f>((J14*Q$16)^2+(K14*P$16)^2)^0.5</f>
        <v>1.8911252533616852E-2</v>
      </c>
      <c r="U18">
        <f>L18/K18</f>
        <v>2.5996331040408178E-2</v>
      </c>
    </row>
    <row r="19" spans="3:21" x14ac:dyDescent="0.25">
      <c r="C19" t="s">
        <v>87</v>
      </c>
      <c r="E19">
        <f>E16*E13</f>
        <v>0.14347136587620604</v>
      </c>
      <c r="F19">
        <f>((F16*E13)^2+(E16*F13)^2)^0.5</f>
        <v>1.3183961176091673E-2</v>
      </c>
      <c r="G19" s="3">
        <f t="shared" si="0"/>
        <v>9.1892630251164023E-2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0.25388869627078392</v>
      </c>
      <c r="L21">
        <f>L18</f>
        <v>1.8911252533616852E-2</v>
      </c>
      <c r="M21" s="3">
        <f>L21/K21</f>
        <v>7.4486390341093153E-2</v>
      </c>
    </row>
    <row r="22" spans="3:21" x14ac:dyDescent="0.25">
      <c r="C22" t="s">
        <v>89</v>
      </c>
      <c r="E22">
        <f>E19+E13</f>
        <v>0.31708412022497967</v>
      </c>
      <c r="F22">
        <f>((F19^2+F13^2)^0.5)</f>
        <v>2.0434765149546903E-2</v>
      </c>
      <c r="G22" s="3">
        <f t="shared" si="0"/>
        <v>6.4445879960963959E-2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0.18469349552228789</v>
      </c>
      <c r="L24">
        <f>((L21*K18)^2+(K21*L18)^2)^0.5</f>
        <v>1.4570937468504328E-2</v>
      </c>
      <c r="M24" s="3">
        <f t="shared" ref="M24:M25" si="2">L24/K24</f>
        <v>7.8892531798695528E-2</v>
      </c>
    </row>
    <row r="25" spans="3:21" x14ac:dyDescent="0.25">
      <c r="C25" t="s">
        <v>90</v>
      </c>
      <c r="E25">
        <f>1-E22</f>
        <v>0.68291587977502033</v>
      </c>
      <c r="F25">
        <f>F22</f>
        <v>2.0434765149546903E-2</v>
      </c>
      <c r="G25" s="3">
        <f t="shared" si="0"/>
        <v>2.9922814441331966E-2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0.9121520166582735</v>
      </c>
      <c r="L27">
        <f>((L24^2+L18^2)^0.5)</f>
        <v>2.3873577258159136E-2</v>
      </c>
      <c r="M27" s="3">
        <f t="shared" ref="M27:M28" si="3">L27/K27</f>
        <v>2.6172805433924813E-2</v>
      </c>
    </row>
    <row r="28" spans="3:21" x14ac:dyDescent="0.25">
      <c r="C28" t="s">
        <v>92</v>
      </c>
      <c r="E28">
        <f>E13*E25</f>
        <v>0.11856290687625724</v>
      </c>
      <c r="F28">
        <f>((F25*E13)^2+(E25*F13)^2)^0.5</f>
        <v>1.1237040683814328E-2</v>
      </c>
      <c r="G28" s="3">
        <f t="shared" si="0"/>
        <v>9.4777034233331503E-2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8.7847983341726499E-2</v>
      </c>
      <c r="L30">
        <f>L27</f>
        <v>2.3873577258159136E-2</v>
      </c>
      <c r="M30" s="3">
        <f t="shared" ref="M30:M31" si="4">L30/K30</f>
        <v>0.27176010592402</v>
      </c>
    </row>
    <row r="31" spans="3:21" x14ac:dyDescent="0.25">
      <c r="C31" t="s">
        <v>91</v>
      </c>
      <c r="E31" s="6">
        <f>E28+E22</f>
        <v>0.43564702710123693</v>
      </c>
      <c r="F31">
        <f>((F28^2)+F22^2)^0.5</f>
        <v>2.3320606982813186E-2</v>
      </c>
      <c r="G31" s="3">
        <f t="shared" si="0"/>
        <v>5.3530967806636437E-2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6.3905764046551058E-2</v>
      </c>
      <c r="L33">
        <f>((L30*K18)^2+(K30*L18)^2)^0.5</f>
        <v>1.744631623524584E-2</v>
      </c>
      <c r="M33" s="3">
        <f t="shared" ref="M33:M34" si="5">L33/K33</f>
        <v>0.2730006673973473</v>
      </c>
    </row>
    <row r="34" spans="3:13" x14ac:dyDescent="0.25">
      <c r="C34" t="s">
        <v>93</v>
      </c>
      <c r="E34">
        <f>1-E31</f>
        <v>0.56435297289876307</v>
      </c>
      <c r="F34">
        <f>F31</f>
        <v>2.3320606982813186E-2</v>
      </c>
      <c r="G34" s="3">
        <f t="shared" si="0"/>
        <v>4.1322732585297416E-2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0.97605778070482452</v>
      </c>
      <c r="L36">
        <f>((L33^2)+L27^2)^0.5</f>
        <v>2.9568930337120679E-2</v>
      </c>
      <c r="M36" s="3">
        <f t="shared" ref="M36:M37" si="6">L36/K36</f>
        <v>3.0294241715658015E-2</v>
      </c>
    </row>
    <row r="37" spans="3:13" x14ac:dyDescent="0.25">
      <c r="C37" t="s">
        <v>94</v>
      </c>
      <c r="E37">
        <f>E34*E13</f>
        <v>9.7978874049873071E-2</v>
      </c>
      <c r="F37">
        <f>((F34*E13)^2+(E34*F13)^2)^0.5</f>
        <v>9.6968794331410806E-3</v>
      </c>
      <c r="G37" s="3">
        <f t="shared" si="0"/>
        <v>9.896908417425973E-2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0.53362590115110997</v>
      </c>
      <c r="F40">
        <f>(F37^2+F31^2)^0.5</f>
        <v>2.5256289925238616E-2</v>
      </c>
      <c r="G40" s="3">
        <f t="shared" si="0"/>
        <v>4.7329580274790006E-2</v>
      </c>
      <c r="J40" t="s">
        <v>79</v>
      </c>
      <c r="K40">
        <f>K36*E40</f>
        <v>0.52084971280416448</v>
      </c>
      <c r="L40">
        <f>((F40*K36)^2+(L36*E40)^2)^0.5</f>
        <v>2.9268928206727999E-2</v>
      </c>
      <c r="M40" s="3">
        <f>L40/K40</f>
        <v>5.6194574917108372E-2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7.3096999202222293</v>
      </c>
      <c r="I46" t="s">
        <v>132</v>
      </c>
      <c r="K46" s="3">
        <f>ABS(K40-K43)/K43</f>
        <v>0.96179754202671452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0.48089877101773332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0.22936066612909098</v>
      </c>
      <c r="C2">
        <f>'Exp1'!AO7</f>
        <v>2.6714235004850949E-2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4.3599454818341448</v>
      </c>
      <c r="C5">
        <f>C2/B2^2</f>
        <v>0.50781422192286985</v>
      </c>
      <c r="E5">
        <f>B5*F1</f>
        <v>3.1142467727386749</v>
      </c>
      <c r="F5">
        <f>((C5*F$1)^2+(G$1*B5)^2)^0.5</f>
        <v>0.36538846319323731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0.22936066612909098</v>
      </c>
      <c r="Q7">
        <f>'Exp1'!AO12</f>
        <v>2.6714235004850949E-2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0.24305785608828312</v>
      </c>
      <c r="F9">
        <f>F5/((1+E5)^2)</f>
        <v>2.1586098600503614E-2</v>
      </c>
      <c r="G9" s="3">
        <f>F9/E9</f>
        <v>8.8810536503140816E-2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0.21843872964675329</v>
      </c>
      <c r="Q10">
        <f>((L$9*P7)^2+(Q7*K$9)^2)^0.5</f>
        <v>2.5628987537593489E-2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0.17361275434877366</v>
      </c>
      <c r="F13">
        <f>((F9*F$1)^2+(E9*G$1)^2)^0.5</f>
        <v>1.5612904740132253E-2</v>
      </c>
      <c r="G13" s="3">
        <f t="shared" si="0"/>
        <v>8.9929480116231669E-2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0.82072243410213774</v>
      </c>
      <c r="K14">
        <f>Q10/((1+P10)^2)</f>
        <v>1.7263309613873887E-2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0.82638724565122634</v>
      </c>
      <c r="F16">
        <f>F13</f>
        <v>1.5612904740132253E-2</v>
      </c>
      <c r="G16" s="3">
        <f t="shared" si="0"/>
        <v>1.8892964312183517E-2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0.74611130372921608</v>
      </c>
      <c r="L18">
        <f>((J14*Q$16)^2+(K14*P$16)^2)^0.5</f>
        <v>1.8911252533616852E-2</v>
      </c>
      <c r="M18" s="3">
        <f t="shared" ref="M18:M19" si="1">L18/K18</f>
        <v>2.5346422764397972E-2</v>
      </c>
    </row>
    <row r="19" spans="3:13" x14ac:dyDescent="0.25">
      <c r="C19" t="s">
        <v>87</v>
      </c>
      <c r="E19">
        <f>E16*E13</f>
        <v>0.14347136587620604</v>
      </c>
      <c r="F19">
        <f>((F16*E13)^2+(E16*F13)^2)^0.5</f>
        <v>1.3183961176091673E-2</v>
      </c>
      <c r="G19" s="3">
        <f t="shared" si="0"/>
        <v>9.1892630251164023E-2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0.25388869627078392</v>
      </c>
      <c r="L21">
        <f>L18</f>
        <v>1.8911252533616852E-2</v>
      </c>
      <c r="M21" s="3">
        <f>L21/K21</f>
        <v>7.4486390341093153E-2</v>
      </c>
    </row>
    <row r="22" spans="3:13" x14ac:dyDescent="0.25">
      <c r="C22" t="s">
        <v>89</v>
      </c>
      <c r="E22">
        <f>E19+E13</f>
        <v>0.31708412022497967</v>
      </c>
      <c r="F22">
        <f>((F19^2+F13^2)^0.5)</f>
        <v>2.0434765149546903E-2</v>
      </c>
      <c r="G22" s="3">
        <f t="shared" si="0"/>
        <v>6.4445879960963959E-2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0.18942922617670555</v>
      </c>
      <c r="L24">
        <f>((L21*K18)^2+(K21*L18)^2)^0.5</f>
        <v>1.4904437286049625E-2</v>
      </c>
      <c r="M24" s="3">
        <f t="shared" ref="M24:M25" si="3">L24/K24</f>
        <v>7.8680769524689373E-2</v>
      </c>
    </row>
    <row r="25" spans="3:13" x14ac:dyDescent="0.25">
      <c r="C25" t="s">
        <v>90</v>
      </c>
      <c r="E25">
        <f>1-E22</f>
        <v>0.68291587977502033</v>
      </c>
      <c r="F25">
        <f>F22</f>
        <v>2.0434765149546903E-2</v>
      </c>
      <c r="G25" s="3">
        <f t="shared" si="0"/>
        <v>2.9922814441331966E-2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0.93554052990592163</v>
      </c>
      <c r="L27">
        <f>((L24^2+L18^2)^0.5)</f>
        <v>2.4078573944567732E-2</v>
      </c>
      <c r="M27" s="3">
        <f t="shared" ref="M27:M28" si="4">L27/K27</f>
        <v>2.573760641560776E-2</v>
      </c>
    </row>
    <row r="28" spans="3:13" x14ac:dyDescent="0.25">
      <c r="C28" t="s">
        <v>92</v>
      </c>
      <c r="E28">
        <f>E13*E25</f>
        <v>0.11856290687625724</v>
      </c>
      <c r="F28">
        <f>((F25*E13)^2+(E25*F13)^2)^0.5</f>
        <v>1.1237040683814328E-2</v>
      </c>
      <c r="G28" s="3">
        <f t="shared" si="0"/>
        <v>9.4777034233331503E-2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6.4459470094078375E-2</v>
      </c>
      <c r="L30">
        <f>L27</f>
        <v>2.4078573944567732E-2</v>
      </c>
      <c r="M30" s="3">
        <f t="shared" ref="M30:M31" si="5">L30/K30</f>
        <v>0.37354594925191187</v>
      </c>
    </row>
    <row r="31" spans="3:13" x14ac:dyDescent="0.25">
      <c r="C31" t="s">
        <v>91</v>
      </c>
      <c r="E31" s="6">
        <f>E28+E22</f>
        <v>0.43564702710123693</v>
      </c>
      <c r="F31">
        <f>((F28^2)+F22^2)^0.5</f>
        <v>2.3320606982813186E-2</v>
      </c>
      <c r="G31" s="3">
        <f t="shared" si="0"/>
        <v>5.3530967806636437E-2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4.809393926958723E-2</v>
      </c>
      <c r="L33">
        <f>((L30*K18)^2+(K30*L18)^2)^0.5</f>
        <v>1.8006605765305446E-2</v>
      </c>
      <c r="M33" s="3">
        <f t="shared" ref="M33:M34" si="6">L33/K33</f>
        <v>0.37440488424894186</v>
      </c>
    </row>
    <row r="34" spans="3:14" x14ac:dyDescent="0.25">
      <c r="C34" t="s">
        <v>93</v>
      </c>
      <c r="E34">
        <f>1-E31</f>
        <v>0.56435297289876307</v>
      </c>
      <c r="F34">
        <f>F31</f>
        <v>2.3320606982813186E-2</v>
      </c>
      <c r="G34" s="3">
        <f t="shared" si="0"/>
        <v>4.1322732585297416E-2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0.9836344691755089</v>
      </c>
      <c r="L36">
        <f>((L33^2)+L27^2)^0.5</f>
        <v>3.006685175390246E-2</v>
      </c>
      <c r="M36" s="3">
        <f t="shared" ref="M36:M37" si="7">L36/K36</f>
        <v>3.0567098547395113E-2</v>
      </c>
    </row>
    <row r="37" spans="3:14" x14ac:dyDescent="0.25">
      <c r="C37" t="s">
        <v>94</v>
      </c>
      <c r="E37">
        <f>E34*E13</f>
        <v>9.7978874049873071E-2</v>
      </c>
      <c r="F37">
        <f>((F34*E13)^2+(E34*F13)^2)^0.5</f>
        <v>9.6968794331410806E-3</v>
      </c>
      <c r="G37" s="3">
        <f t="shared" si="0"/>
        <v>9.896908417425973E-2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0.53362590115110997</v>
      </c>
      <c r="F40">
        <f>(F37^2+F31^2)^0.5</f>
        <v>2.5256289925238616E-2</v>
      </c>
      <c r="G40" s="3">
        <f t="shared" si="0"/>
        <v>4.7329580274790006E-2</v>
      </c>
      <c r="J40" t="s">
        <v>79</v>
      </c>
      <c r="K40">
        <f>K36*E40</f>
        <v>0.52489283001707465</v>
      </c>
      <c r="L40">
        <f>((F40*K36)^2+(L36*E40)^2)^0.5</f>
        <v>2.9573585047442692E-2</v>
      </c>
      <c r="M40" s="3">
        <f>L40/K40</f>
        <v>5.6342139492514438E-2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-1.1806758391919452</v>
      </c>
      <c r="I46" t="s">
        <v>132</v>
      </c>
      <c r="K46" s="3">
        <f>ABS(K40-K43)/K43</f>
        <v>0.95461676383472738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0.47730838195170422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0.22936066612909098</v>
      </c>
      <c r="C2">
        <f>Exp2_Act_C1!C2</f>
        <v>2.6714235004850949E-2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-0.88577368636573373</v>
      </c>
      <c r="J3">
        <f>AVERAGE(I3:I4)</f>
        <v>-0.44595300964175727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4.3599454818341448</v>
      </c>
      <c r="C5">
        <f>C2/B2^2</f>
        <v>0.50781422192286985</v>
      </c>
      <c r="E5">
        <f>B5*F1</f>
        <v>4.3599454818341448</v>
      </c>
      <c r="F5">
        <f>((C5*F$1)^2+(G$1*B5)^2)^0.5</f>
        <v>0.50972050241228517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0.22936066612909098</v>
      </c>
      <c r="Q7">
        <f>C2</f>
        <v>2.6714235004850949E-2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0.18656906182892841</v>
      </c>
      <c r="F9">
        <f>F5/((1+E5)^2)</f>
        <v>1.7742358808001908E-2</v>
      </c>
      <c r="G9" s="3">
        <f>F9/E9</f>
        <v>9.5098075930030071E-2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0.21843872964675329</v>
      </c>
      <c r="Q10">
        <f>((L$9*P7)^2+(Q7*K$9)^2)^0.5</f>
        <v>2.5628987537593489E-2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0.18656906182892841</v>
      </c>
      <c r="F13">
        <f>((F9*F$1)^2+(E9*G$1)^2)^0.5</f>
        <v>1.7842172914755039E-2</v>
      </c>
      <c r="G13" s="3">
        <f t="shared" si="0"/>
        <v>9.5633074100544821E-2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0.82072243410213774</v>
      </c>
      <c r="K14">
        <f>Q10/((1+P10)^2)</f>
        <v>1.7263309613873887E-2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0.81343093817107159</v>
      </c>
      <c r="F16">
        <f>F13</f>
        <v>1.7842172914755039E-2</v>
      </c>
      <c r="G16" s="3">
        <f t="shared" si="0"/>
        <v>2.1934465579673681E-2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0.82072243410213774</v>
      </c>
      <c r="L18">
        <f>((J14*Q$16)^2+(K14*P$16)^2)^0.5</f>
        <v>2.0499126957167341E-2</v>
      </c>
      <c r="M18" s="3">
        <f t="shared" ref="M18:M19" si="1">L18/K18</f>
        <v>2.4976930208558495E-2</v>
      </c>
    </row>
    <row r="19" spans="3:13" x14ac:dyDescent="0.25">
      <c r="C19" t="s">
        <v>87</v>
      </c>
      <c r="E19">
        <f>E16*E13</f>
        <v>0.15176104699720189</v>
      </c>
      <c r="F19">
        <f>((F16*E13)^2+(E16*F13)^2)^0.5</f>
        <v>1.4890230340141305E-2</v>
      </c>
      <c r="G19" s="3">
        <f t="shared" si="0"/>
        <v>9.8116286324881813E-2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0.17927756589786226</v>
      </c>
      <c r="L21">
        <f>L18</f>
        <v>2.0499126957167341E-2</v>
      </c>
      <c r="M21" s="3">
        <f>L21/K21</f>
        <v>0.11434295671353589</v>
      </c>
    </row>
    <row r="22" spans="3:13" x14ac:dyDescent="0.25">
      <c r="C22" t="s">
        <v>89</v>
      </c>
      <c r="E22">
        <f>E19+E13</f>
        <v>0.33833010882613029</v>
      </c>
      <c r="F22">
        <f>((F19^2+F13^2)^0.5)</f>
        <v>2.3239236086895865E-2</v>
      </c>
      <c r="G22" s="3">
        <f t="shared" si="0"/>
        <v>6.8688051936987488E-2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0.1471371202635999</v>
      </c>
      <c r="L24">
        <f>((L21*K18)^2+(K21*L18)^2)^0.5</f>
        <v>1.7220801075295243E-2</v>
      </c>
      <c r="M24" s="3">
        <f t="shared" ref="M24:M25" si="3">L24/K24</f>
        <v>0.11703913359486538</v>
      </c>
    </row>
    <row r="25" spans="3:13" x14ac:dyDescent="0.25">
      <c r="C25" t="s">
        <v>90</v>
      </c>
      <c r="E25">
        <f>1-E22</f>
        <v>0.66166989117386965</v>
      </c>
      <c r="F25">
        <f>F22</f>
        <v>2.3239236086895865E-2</v>
      </c>
      <c r="G25" s="3">
        <f t="shared" si="0"/>
        <v>3.5122100003170911E-2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0.96785955436573767</v>
      </c>
      <c r="L27">
        <f>((L24^2+L18^2)^0.5)</f>
        <v>2.6772564234323063E-2</v>
      </c>
      <c r="M27" s="3">
        <f t="shared" ref="M27:M28" si="4">L27/K27</f>
        <v>2.7661621062229205E-2</v>
      </c>
    </row>
    <row r="28" spans="3:13" x14ac:dyDescent="0.25">
      <c r="C28" t="s">
        <v>92</v>
      </c>
      <c r="E28">
        <f>E13*E25</f>
        <v>0.12344713083675801</v>
      </c>
      <c r="F28">
        <f>((F25*E13)^2+(E25*F13)^2)^0.5</f>
        <v>1.2576619429362485E-2</v>
      </c>
      <c r="G28" s="3">
        <f t="shared" si="0"/>
        <v>0.10187858838123462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3.2140445634262327E-2</v>
      </c>
      <c r="L30">
        <f>L27</f>
        <v>2.6772564234323063E-2</v>
      </c>
      <c r="M30" s="3">
        <f t="shared" ref="M30:M31" si="5">L30/K30</f>
        <v>0.83298671521165846</v>
      </c>
    </row>
    <row r="31" spans="3:13" x14ac:dyDescent="0.25">
      <c r="C31" t="s">
        <v>91</v>
      </c>
      <c r="E31" s="6">
        <f>E28+E22</f>
        <v>0.46177723966288831</v>
      </c>
      <c r="F31">
        <f>((F28^2)+F22^2)^0.5</f>
        <v>2.6424107367581995E-2</v>
      </c>
      <c r="G31" s="3">
        <f t="shared" si="0"/>
        <v>5.722262835403584E-2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2.6378384774079205E-2</v>
      </c>
      <c r="L33">
        <f>((L30*K18)^2+(K30*L18)^2)^0.5</f>
        <v>2.1982719621274696E-2</v>
      </c>
      <c r="M33" s="3">
        <f t="shared" ref="M33:M34" si="6">L33/K33</f>
        <v>0.83336109506128964</v>
      </c>
    </row>
    <row r="34" spans="3:13" x14ac:dyDescent="0.25">
      <c r="C34" t="s">
        <v>93</v>
      </c>
      <c r="E34">
        <f>1-E31</f>
        <v>0.53822276033711169</v>
      </c>
      <c r="F34">
        <f>F31</f>
        <v>2.6424107367581995E-2</v>
      </c>
      <c r="G34" s="3">
        <f t="shared" si="0"/>
        <v>4.9095113240903189E-2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0.99423793913981684</v>
      </c>
      <c r="L36">
        <f>((L33^2)+L27^2)^0.5</f>
        <v>3.4641162763806445E-2</v>
      </c>
      <c r="M36" s="3">
        <f t="shared" ref="M36:M37" si="7">L36/K36</f>
        <v>3.4841924050672296E-2</v>
      </c>
    </row>
    <row r="37" spans="3:13" x14ac:dyDescent="0.25">
      <c r="C37" t="s">
        <v>94</v>
      </c>
      <c r="E37">
        <f>E34*E13</f>
        <v>0.10041571545107111</v>
      </c>
      <c r="F37">
        <f>((F34*E13)^2+(E34*F13)^2)^0.5</f>
        <v>1.0794579656549057E-2</v>
      </c>
      <c r="G37" s="3">
        <f t="shared" si="0"/>
        <v>0.10749890699936165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0.56219295511395939</v>
      </c>
      <c r="F40">
        <f>(F37^2+F31^2)^0.5</f>
        <v>2.8543938062837157E-2</v>
      </c>
      <c r="G40" s="3">
        <f t="shared" si="0"/>
        <v>5.077249332847146E-2</v>
      </c>
      <c r="J40" t="s">
        <v>79</v>
      </c>
      <c r="K40" s="59">
        <f>K36*E40</f>
        <v>0.55895356509142657</v>
      </c>
      <c r="L40" s="59">
        <f>((F40*K36)^2+(L36*E40)^2)^0.5</f>
        <v>3.4419041418686069E-2</v>
      </c>
      <c r="M40" s="3">
        <f>L40/K40</f>
        <v>6.15776400192675E-2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7.7545502273831115</v>
      </c>
      <c r="I46" t="s">
        <v>132</v>
      </c>
      <c r="K46" s="3">
        <f>ABS(K40-K43)/K43</f>
        <v>0.29902961015040397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0.157007862126917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0.22936066612909098</v>
      </c>
      <c r="C2">
        <f>'Exp1'!W17</f>
        <v>4.0089728873310061E-2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4.3599454818341448</v>
      </c>
      <c r="C5">
        <f>C2/B2^2</f>
        <v>0.76207065151601727</v>
      </c>
      <c r="E5">
        <f>B5*F1</f>
        <v>4.3599454818341448</v>
      </c>
      <c r="F5">
        <f>((C5*F$1)^2+(G$1*B5)^2)^0.5</f>
        <v>0.76334224597774603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0.22936066612909098</v>
      </c>
      <c r="Q7">
        <f>Exp2_Act_C2!Q7</f>
        <v>2.6714235004850949E-2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0.18656906182892841</v>
      </c>
      <c r="F9">
        <f>F5/((1+E5)^2)</f>
        <v>2.6570428219676808E-2</v>
      </c>
      <c r="G9" s="3">
        <f>F9/E9</f>
        <v>0.14241604668645516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0.21843872964675329</v>
      </c>
      <c r="Q10">
        <f>((L$9*P7)^2+(Q7*K$9)^2)^0.5</f>
        <v>2.5628987537593489E-2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0.18656906182892841</v>
      </c>
      <c r="F13">
        <f>((F9*F$1)^2+(E9*G$1)^2)^0.5</f>
        <v>2.6637182546679614E-2</v>
      </c>
      <c r="G13" s="3">
        <f t="shared" si="0"/>
        <v>0.14277384623986672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0.82072243410213774</v>
      </c>
      <c r="K14">
        <f>Q10/((1+P10)^2)</f>
        <v>1.7263309613873887E-2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0.81343093817107159</v>
      </c>
      <c r="F16">
        <f>F13</f>
        <v>2.6637182546679614E-2</v>
      </c>
      <c r="G16" s="3">
        <f t="shared" si="0"/>
        <v>3.2746704479388246E-2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0.82072243410213774</v>
      </c>
      <c r="L18">
        <f>((J14*Q$16)^2+(K14*P$16)^2)^0.5</f>
        <v>2.0232604240061947E-2</v>
      </c>
      <c r="M18" s="3">
        <f t="shared" ref="M18:M19" si="1">L18/K18</f>
        <v>2.4652188607706595E-2</v>
      </c>
    </row>
    <row r="19" spans="3:13" x14ac:dyDescent="0.25">
      <c r="C19" t="s">
        <v>87</v>
      </c>
      <c r="E19">
        <f>E16*E13</f>
        <v>0.15176104699720189</v>
      </c>
      <c r="F19">
        <f>((F16*E13)^2+(E16*F13)^2)^0.5</f>
        <v>2.2230127778015467E-2</v>
      </c>
      <c r="G19" s="3">
        <f t="shared" si="0"/>
        <v>0.14648111763768562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0.17927756589786226</v>
      </c>
      <c r="L21">
        <f>L18</f>
        <v>2.0232604240061947E-2</v>
      </c>
      <c r="M21" s="3">
        <f>L21/K21</f>
        <v>0.11285630825436818</v>
      </c>
    </row>
    <row r="22" spans="3:13" x14ac:dyDescent="0.25">
      <c r="C22" t="s">
        <v>89</v>
      </c>
      <c r="E22">
        <f>E19+E13</f>
        <v>0.33833010882613029</v>
      </c>
      <c r="F22">
        <f>((F19^2+F13^2)^0.5)</f>
        <v>3.4694640436990089E-2</v>
      </c>
      <c r="G22" s="3">
        <f t="shared" si="0"/>
        <v>0.10254671260966565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0.1471371202635999</v>
      </c>
      <c r="L24">
        <f>((L21*K18)^2+(K21*L18)^2)^0.5</f>
        <v>1.6996902042770132E-2</v>
      </c>
      <c r="M24" s="3">
        <f t="shared" ref="M24:M25" si="3">L24/K24</f>
        <v>0.1155174303555741</v>
      </c>
    </row>
    <row r="25" spans="3:13" x14ac:dyDescent="0.25">
      <c r="C25" t="s">
        <v>90</v>
      </c>
      <c r="E25">
        <f>1-E22</f>
        <v>0.66166989117386965</v>
      </c>
      <c r="F25">
        <f>F22</f>
        <v>3.4694640436990089E-2</v>
      </c>
      <c r="G25" s="3">
        <f t="shared" si="0"/>
        <v>5.2434969309905079E-2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0.96785955436573767</v>
      </c>
      <c r="L27">
        <f>((L24^2+L18^2)^0.5)</f>
        <v>2.6424476407045348E-2</v>
      </c>
      <c r="M27" s="3">
        <f t="shared" ref="M27:M28" si="4">L27/K27</f>
        <v>2.7301974018701464E-2</v>
      </c>
    </row>
    <row r="28" spans="3:13" x14ac:dyDescent="0.25">
      <c r="C28" t="s">
        <v>92</v>
      </c>
      <c r="E28">
        <f>E13*E25</f>
        <v>0.12344713083675801</v>
      </c>
      <c r="F28">
        <f>((F25*E13)^2+(E25*F13)^2)^0.5</f>
        <v>1.8776059909328902E-2</v>
      </c>
      <c r="G28" s="3">
        <f t="shared" si="0"/>
        <v>0.15209798544575071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3.2140445634262327E-2</v>
      </c>
      <c r="L30">
        <f>L27</f>
        <v>2.6424476407045348E-2</v>
      </c>
      <c r="M30" s="3">
        <f t="shared" ref="M30:M31" si="5">L30/K30</f>
        <v>0.82215650360729142</v>
      </c>
    </row>
    <row r="31" spans="3:13" x14ac:dyDescent="0.25">
      <c r="C31" t="s">
        <v>91</v>
      </c>
      <c r="E31" s="6">
        <f>E28+E22</f>
        <v>0.46177723966288831</v>
      </c>
      <c r="F31">
        <f>((F28^2)+F22^2)^0.5</f>
        <v>3.9449442337892889E-2</v>
      </c>
      <c r="G31" s="3">
        <f t="shared" si="0"/>
        <v>8.5429594509015216E-2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2.6378384774079205E-2</v>
      </c>
      <c r="L33">
        <f>((L30*K18)^2+(K30*L18)^2)^0.5</f>
        <v>2.1696907734013827E-2</v>
      </c>
      <c r="M33" s="3">
        <f t="shared" ref="M33:M34" si="6">L33/K33</f>
        <v>0.82252601589671082</v>
      </c>
    </row>
    <row r="34" spans="3:13" x14ac:dyDescent="0.25">
      <c r="C34" t="s">
        <v>93</v>
      </c>
      <c r="E34">
        <f>1-E31</f>
        <v>0.53822276033711169</v>
      </c>
      <c r="F34">
        <f>F31</f>
        <v>3.9449442337892889E-2</v>
      </c>
      <c r="G34" s="3">
        <f t="shared" si="0"/>
        <v>7.3295752697608019E-2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0.99423793913981684</v>
      </c>
      <c r="L36">
        <f>((L33^2)+L27^2)^0.5</f>
        <v>3.4190770079142785E-2</v>
      </c>
      <c r="M36" s="3">
        <f t="shared" ref="M36:M37" si="7">L36/K36</f>
        <v>3.4388921135642396E-2</v>
      </c>
    </row>
    <row r="37" spans="3:13" x14ac:dyDescent="0.25">
      <c r="C37" t="s">
        <v>94</v>
      </c>
      <c r="E37">
        <f>E34*E13</f>
        <v>0.10041571545107111</v>
      </c>
      <c r="F37">
        <f>((F34*E13)^2+(E34*F13)^2)^0.5</f>
        <v>1.6115592545815152E-2</v>
      </c>
      <c r="G37" s="3">
        <f t="shared" si="0"/>
        <v>0.16048874893161208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0.56219295511395939</v>
      </c>
      <c r="F40">
        <f>(F37^2+F31^2)^0.5</f>
        <v>4.2614209178083645E-2</v>
      </c>
      <c r="G40" s="3">
        <f t="shared" si="0"/>
        <v>7.5799970082238988E-2</v>
      </c>
      <c r="J40" t="s">
        <v>79</v>
      </c>
      <c r="K40" s="60">
        <f>K36*E40</f>
        <v>0.55895356509142657</v>
      </c>
      <c r="L40" s="60">
        <f>((F40*K36)^2+(L36*E40)^2)^0.5</f>
        <v>4.6525064535572924E-2</v>
      </c>
      <c r="M40" s="3">
        <f>L40/K40</f>
        <v>8.323601000373429E-2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7.7545502273831115</v>
      </c>
      <c r="I46" t="s">
        <v>132</v>
      </c>
      <c r="K46" s="3">
        <f>ABS(K40-K43)/K43</f>
        <v>0.95900276115261673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0.50985746557256983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0.22936066612909098</v>
      </c>
      <c r="C2">
        <f>'Exp1'!W17</f>
        <v>4.0089728873310061E-2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4.3599454818341448</v>
      </c>
      <c r="C5">
        <f>C2/B2^2</f>
        <v>0.76207065151601727</v>
      </c>
      <c r="E5">
        <f>B5*F1</f>
        <v>4.3599454818341448</v>
      </c>
      <c r="F5">
        <f>((C5*F$1)^2+(G$1*B5)^2)^0.5</f>
        <v>0.76334224597774603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0.22936066612909098</v>
      </c>
      <c r="Q7">
        <f>Exp2_Act_C3!Q7</f>
        <v>2.6714235004850949E-2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0.18656906182892841</v>
      </c>
      <c r="F9">
        <f>F5/((1+E5)^2)</f>
        <v>2.6570428219676808E-2</v>
      </c>
      <c r="G9" s="3">
        <f>F9/E9</f>
        <v>0.14241604668645516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0.21843872964675329</v>
      </c>
      <c r="Q10">
        <f>((L$9*P7)^2+(Q7*K$9)^2)^0.5</f>
        <v>2.5628987537593489E-2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0.18656906182892841</v>
      </c>
      <c r="F13">
        <f>((F9*F$1)^2+(E9*G$1)^2)^0.5</f>
        <v>2.6637182546679614E-2</v>
      </c>
      <c r="G13" s="3">
        <f t="shared" si="0"/>
        <v>0.14277384623986672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0.82072243410213774</v>
      </c>
      <c r="K14">
        <f>Q10/((1+P10)^2)</f>
        <v>1.7263309613873887E-2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0.81343093817107159</v>
      </c>
      <c r="F16">
        <f>F13</f>
        <v>2.6637182546679614E-2</v>
      </c>
      <c r="G16" s="3">
        <f t="shared" si="0"/>
        <v>3.2746704479388246E-2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0.82072243410213774</v>
      </c>
      <c r="L18">
        <f>((J14*Q$16)^2+(K14*P$16)^2)^0.5</f>
        <v>2.0232604240061947E-2</v>
      </c>
      <c r="M18" s="3">
        <f t="shared" ref="M18:M19" si="1">L18/K18</f>
        <v>2.4652188607706595E-2</v>
      </c>
    </row>
    <row r="19" spans="3:13" x14ac:dyDescent="0.25">
      <c r="C19" t="s">
        <v>87</v>
      </c>
      <c r="E19">
        <f>E16*E13</f>
        <v>0.15176104699720189</v>
      </c>
      <c r="F19">
        <f>((F16*E13)^2+(E16*F13)^2)^0.5</f>
        <v>2.2230127778015467E-2</v>
      </c>
      <c r="G19" s="3">
        <f t="shared" si="0"/>
        <v>0.14648111763768562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0.17927756589786226</v>
      </c>
      <c r="L21">
        <f>L18</f>
        <v>2.0232604240061947E-2</v>
      </c>
      <c r="M21" s="3">
        <f>L21/K21</f>
        <v>0.11285630825436818</v>
      </c>
    </row>
    <row r="22" spans="3:13" x14ac:dyDescent="0.25">
      <c r="C22" t="s">
        <v>89</v>
      </c>
      <c r="E22">
        <f>E19+E13</f>
        <v>0.33833010882613029</v>
      </c>
      <c r="F22">
        <f>((F19^2+F13^2)^0.5)</f>
        <v>3.4694640436990089E-2</v>
      </c>
      <c r="G22" s="3">
        <f t="shared" si="0"/>
        <v>0.10254671260966565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0.1471371202635999</v>
      </c>
      <c r="L24">
        <f>((L21*K18)^2+(K21*L18)^2)^0.5</f>
        <v>1.6996902042770132E-2</v>
      </c>
      <c r="M24" s="3">
        <f t="shared" ref="M24:M25" si="3">L24/K24</f>
        <v>0.1155174303555741</v>
      </c>
    </row>
    <row r="25" spans="3:13" x14ac:dyDescent="0.25">
      <c r="C25" t="s">
        <v>90</v>
      </c>
      <c r="E25">
        <f>1-E22</f>
        <v>0.66166989117386965</v>
      </c>
      <c r="F25">
        <f>F22</f>
        <v>3.4694640436990089E-2</v>
      </c>
      <c r="G25" s="3">
        <f t="shared" si="0"/>
        <v>5.2434969309905079E-2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0.96785955436573767</v>
      </c>
      <c r="L27">
        <f>((L24^2+L18^2)^0.5)</f>
        <v>2.6424476407045348E-2</v>
      </c>
      <c r="M27" s="3">
        <f t="shared" ref="M27:M28" si="4">L27/K27</f>
        <v>2.7301974018701464E-2</v>
      </c>
    </row>
    <row r="28" spans="3:13" x14ac:dyDescent="0.25">
      <c r="C28" t="s">
        <v>92</v>
      </c>
      <c r="E28">
        <f>E13*E25</f>
        <v>0.12344713083675801</v>
      </c>
      <c r="F28">
        <f>((F25*E13)^2+(E25*F13)^2)^0.5</f>
        <v>1.8776059909328902E-2</v>
      </c>
      <c r="G28" s="3">
        <f t="shared" si="0"/>
        <v>0.15209798544575071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3.2140445634262327E-2</v>
      </c>
      <c r="L30">
        <f>L27</f>
        <v>2.6424476407045348E-2</v>
      </c>
      <c r="M30" s="3">
        <f t="shared" ref="M30:M31" si="5">L30/K30</f>
        <v>0.82215650360729142</v>
      </c>
    </row>
    <row r="31" spans="3:13" x14ac:dyDescent="0.25">
      <c r="C31" t="s">
        <v>91</v>
      </c>
      <c r="E31" s="6">
        <f>E28+E22</f>
        <v>0.46177723966288831</v>
      </c>
      <c r="F31">
        <f>((F28^2)+F22^2)^0.5</f>
        <v>3.9449442337892889E-2</v>
      </c>
      <c r="G31" s="3">
        <f t="shared" si="0"/>
        <v>8.5429594509015216E-2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2.6378384774079205E-2</v>
      </c>
      <c r="L33">
        <f>((L30*K18)^2+(K30*L18)^2)^0.5</f>
        <v>2.1696907734013827E-2</v>
      </c>
      <c r="M33" s="3">
        <f t="shared" ref="M33:M34" si="6">L33/K33</f>
        <v>0.82252601589671082</v>
      </c>
    </row>
    <row r="34" spans="3:14" x14ac:dyDescent="0.25">
      <c r="C34" t="s">
        <v>93</v>
      </c>
      <c r="E34">
        <f>1-E31</f>
        <v>0.53822276033711169</v>
      </c>
      <c r="F34">
        <f>F31</f>
        <v>3.9449442337892889E-2</v>
      </c>
      <c r="G34" s="3">
        <f t="shared" si="0"/>
        <v>7.3295752697608019E-2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0.99423793913981684</v>
      </c>
      <c r="L36">
        <f>((L33^2)+L27^2)^0.5</f>
        <v>3.4190770079142785E-2</v>
      </c>
      <c r="M36" s="3">
        <f t="shared" ref="M36:M37" si="7">L36/K36</f>
        <v>3.4388921135642396E-2</v>
      </c>
    </row>
    <row r="37" spans="3:14" x14ac:dyDescent="0.25">
      <c r="C37" t="s">
        <v>94</v>
      </c>
      <c r="E37">
        <f>E34*E13</f>
        <v>0.10041571545107111</v>
      </c>
      <c r="F37">
        <f>((F34*E13)^2+(E34*F13)^2)^0.5</f>
        <v>1.6115592545815152E-2</v>
      </c>
      <c r="G37" s="3">
        <f t="shared" si="0"/>
        <v>0.16048874893161208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0.56219295511395939</v>
      </c>
      <c r="F40">
        <f>(F37^2+F31^2)^0.5</f>
        <v>4.2614209178083645E-2</v>
      </c>
      <c r="G40" s="3">
        <f t="shared" si="0"/>
        <v>7.5799970082238988E-2</v>
      </c>
      <c r="I40" s="61"/>
      <c r="J40" s="61" t="s">
        <v>79</v>
      </c>
      <c r="K40" s="61">
        <f>K36*E40</f>
        <v>0.55895356509142657</v>
      </c>
      <c r="L40" s="61">
        <f>((F40*K36)^2+(L36*E40)^2)^0.5</f>
        <v>4.6525064535572924E-2</v>
      </c>
      <c r="M40" s="62">
        <f>L40/K40</f>
        <v>8.323601000373429E-2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-1.1903481141636916</v>
      </c>
      <c r="I46" t="s">
        <v>132</v>
      </c>
      <c r="K46" s="3">
        <f>ABS(K40-K43)/K43</f>
        <v>0.95167180765425941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0.48636231151007742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2016-04-22T06:19:14Z</dcterms:modified>
</cp:coreProperties>
</file>