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<sst xmlns="http://schemas.openxmlformats.org/spreadsheetml/2006/main" count="680" uniqueCount="172">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</sst>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2.8433351461627501</v>
      </c>
      <c r="S6" s="25">
        <f>Exp2_eq_V_p_sep_C1!C2</f>
        <v>1.2364430325367353</v>
      </c>
      <c r="T6" s="25"/>
      <c r="U6" s="25">
        <f>Exp2_eq_V_p_sep_C1!P7</f>
        <v>2.8433351461627501</v>
      </c>
      <c r="V6" s="27">
        <f>Exp2_eq_V_p_sep_C1!Q7</f>
        <v>1.2364430325367353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0.60769185580487484</v>
      </c>
      <c r="S10" s="25">
        <f>Exp2_eq_V_p_sep_C1!L40</f>
        <v>0.15759171091589991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1.640471120861176</v>
      </c>
      <c r="S13" s="18">
        <f>((S11/R10)^2+((S10*R11)/(R10^2))^2)^0.5</f>
        <v>0.43092466015504516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2.8433351461627501</v>
      </c>
      <c r="E16" s="25">
        <f>'Exp1'!AO12</f>
        <v>1.2364430325367353</v>
      </c>
      <c r="F16" s="25"/>
      <c r="G16" s="25">
        <f>'Exp1'!AN12</f>
        <v>2.8433351461627501</v>
      </c>
      <c r="H16" s="25">
        <f>'Exp1'!AO12</f>
        <v>1.2364430325367353</v>
      </c>
      <c r="J16" s="22" t="s">
        <v>152</v>
      </c>
      <c r="K16" s="25">
        <f>Exp2_Eq_V_P_Sep_C3!B2</f>
        <v>2.8433351461627501</v>
      </c>
      <c r="L16" s="25">
        <f>Exp2_Eq_V_P_Sep_C3!C2</f>
        <v>4.1899020427392859E-2</v>
      </c>
      <c r="M16" s="25"/>
      <c r="N16" s="25">
        <f>Exp2_Eq_V_P_Sep_C3!P7</f>
        <v>2.8433351461627501</v>
      </c>
      <c r="O16" s="27">
        <f>Exp2_Eq_V_P_Sep_C3!Q7</f>
        <v>1.2364430325367353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2.8433351461627501</v>
      </c>
      <c r="S18" s="25">
        <f>Exp2_Eq_V_P_Sep_C2!C2</f>
        <v>4.1899020427392859E-2</v>
      </c>
      <c r="T18" s="25"/>
      <c r="U18" s="25">
        <f>Exp2_Eq_V_P_Sep_C2!P7</f>
        <v>2.8433351461627501</v>
      </c>
      <c r="V18" s="27">
        <f>Exp2_Eq_V_P_Sep_C2!Q7</f>
        <v>1.2364430325367353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0.19249149189455464</v>
      </c>
      <c r="E20" s="25">
        <f>'Exp1'!AD27</f>
        <v>6.5679631123980023E-2</v>
      </c>
      <c r="F20" s="25"/>
      <c r="G20" s="25"/>
      <c r="H20" s="27"/>
      <c r="J20" s="22" t="s">
        <v>79</v>
      </c>
      <c r="K20" s="25">
        <f>Exp2_Eq_V_P_Sep_C3!K40</f>
        <v>0.60769185580487484</v>
      </c>
      <c r="L20" s="25">
        <f>Exp2_Eq_V_P_Sep_C3!L40</f>
        <v>0.12135787746600013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0.60769185580487484</v>
      </c>
      <c r="S22" s="25">
        <f>Exp2_Eq_V_P_Sep_C2!L40</f>
        <v>0.12135787746600013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4.332229221481251</v>
      </c>
      <c r="E23" s="18">
        <f>'Exp1'!AD33</f>
        <v>1.5590943744221313</v>
      </c>
      <c r="F23" s="18"/>
      <c r="G23" s="18"/>
      <c r="H23" s="41"/>
      <c r="J23" s="24" t="s">
        <v>154</v>
      </c>
      <c r="K23" s="18">
        <f>K21/K20</f>
        <v>1.6385187181140812</v>
      </c>
      <c r="L23" s="18">
        <f>((L21/K20)^2+((L20*K21)/(K20^2))^2)^0.5</f>
        <v>0.33439951173861338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1.5310027580407621</v>
      </c>
      <c r="S25" s="18">
        <f>((S23/R22)^2+((S22*R23)/(R22^2))^2)^0.5</f>
        <v>0.31493928417414269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45.828748986972457</v>
      </c>
      <c r="F4">
        <v>0.96389211438706701</v>
      </c>
      <c r="G4" s="3">
        <v>2.1032477117389099E-2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-0.41430397293476706</v>
      </c>
      <c r="M4" s="8">
        <f>((F8/E5)^2+((F5*E8)/(E5^2))^2)^0.5</f>
        <v>6.0802238439346117E-2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45.828748986972457</v>
      </c>
      <c r="S4">
        <f>(($Q4*$Q$2*E4)^2+(F4*$Q4)^2)^0.5</f>
        <v>2.4859150412785418</v>
      </c>
      <c r="T4" s="3">
        <f>S4/R4</f>
        <v>5.4243571911273471E-2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-0.41430397293476706</v>
      </c>
      <c r="Z4" s="8">
        <f>((S8/R5)^2+((S5*R8)/(R5^2))^2)^0.5</f>
        <v>0.11703927049725843</v>
      </c>
      <c r="AA4" s="42"/>
      <c r="AC4" s="43"/>
      <c r="AE4" s="64">
        <f>Y12/Y11</f>
        <v>2.5087452524925453</v>
      </c>
      <c r="AF4" s="61">
        <f>((Z12/Y11)^2+((Y12*Z11)/(Y11^2))^2)^0.5</f>
        <v>0.31656906093669701</v>
      </c>
      <c r="AH4">
        <v>0.43235750000000001</v>
      </c>
      <c r="AI4">
        <v>0</v>
      </c>
      <c r="AK4">
        <f>1/S16</f>
        <v>1.4</v>
      </c>
      <c r="AL4">
        <f>T16/S16^2</f>
        <v>1.979898987322333E-2</v>
      </c>
      <c r="AN4">
        <f>AK10*AK4</f>
        <v>0.35169965853288859</v>
      </c>
      <c r="AO4">
        <f>((AL10*AK4)^2+(AL4*AK10)^2)^0.5</f>
        <v>0.15293891503623971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25.845810422437925</v>
      </c>
      <c r="F5" s="10">
        <f>((F4*$C5*$B5)^2+($C5*$B$2*E4)^2+($C$2*$B5*E4)^2)^0.5</f>
        <v>0.78435433459160286</v>
      </c>
      <c r="G5" s="3">
        <f>F5/E5</f>
        <v>3.0347445940819451E-2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25.845810422437925</v>
      </c>
      <c r="S5">
        <f>((S4*$C5*$B5)^2+($C5*$B$2*R4)^2+($C$2*$B5*R4)^2)^0.5</f>
        <v>1.5116965678250838</v>
      </c>
      <c r="T5" s="3">
        <f>S5/R5</f>
        <v>5.8489037221781642E-2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64.815781766905332</v>
      </c>
      <c r="F7">
        <v>1.3728862710471248</v>
      </c>
      <c r="G7" s="3">
        <v>2.1181357898056162E-2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-0.29593140923911931</v>
      </c>
      <c r="M7" s="3">
        <f>((M4*F19)^2+(L4*G19)^2)^0.5</f>
        <v>4.3631350807442869E-2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64.815781766905332</v>
      </c>
      <c r="S7">
        <f>(($Q7*$Q$2*E7)^2+(F7*$Q7)^2)^0.5</f>
        <v>3.5195923952025217</v>
      </c>
      <c r="T7" s="3">
        <f>S7/R7</f>
        <v>5.4301472562035977E-2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-0.29593140923911931</v>
      </c>
      <c r="Z7" s="3">
        <f>((Z4*S19)^2+(Y4*T19)^2)^0.5</f>
        <v>8.3704169290400879E-2</v>
      </c>
      <c r="AA7" s="54" t="s">
        <v>15</v>
      </c>
      <c r="AB7" s="54">
        <f>1/(1+1/V17)</f>
        <v>-0.2646089673920628</v>
      </c>
      <c r="AC7">
        <f>W14/((V14+1)^2)</f>
        <v>0.11703927049725842</v>
      </c>
      <c r="AH7">
        <f>S19</f>
        <v>0.7142857142857143</v>
      </c>
      <c r="AI7">
        <f>T19</f>
        <v>1.0101525445522107E-2</v>
      </c>
      <c r="AK7">
        <f>AH4*AH7</f>
        <v>0.30882678571428573</v>
      </c>
      <c r="AL7">
        <f>((AI7*AH4)^2+(AH7*AI4)^2)^0.5</f>
        <v>4.3674702878123244E-3</v>
      </c>
      <c r="AN7">
        <f>1/AN4</f>
        <v>2.8433351461627501</v>
      </c>
      <c r="AO7">
        <f>AO4/AN4^2</f>
        <v>1.2364430325367353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36.55383236417277</v>
      </c>
      <c r="F8">
        <f>((F7*$C8*$B8)^2+($C8*$B$2*E7)^2+($C$2*$B8*E7)^2)^0.5</f>
        <v>1.1130940887055172</v>
      </c>
      <c r="G8" s="3">
        <f>F8/E8</f>
        <v>3.0450817786112232E-2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36.55383236417277</v>
      </c>
      <c r="S8">
        <f>((S7*$C8*$B8)^2+($C8*$B$2*R7)^2+($C$2*$B8*R7)^2)^0.5</f>
        <v>2.1399614719852496</v>
      </c>
      <c r="T8" s="3">
        <f>S8/R8</f>
        <v>5.8542739121457306E-2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28.029826312095054</v>
      </c>
      <c r="F10">
        <v>0.79213935395312907</v>
      </c>
      <c r="G10" s="3">
        <v>2.8260587316280148E-2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10.37103573547517</v>
      </c>
      <c r="S10">
        <f>(($Q10*$Q$2*E10)^2+(F10*$Q10)^2)^0.5</f>
        <v>0.59564974496241052</v>
      </c>
      <c r="T10" s="3">
        <f>S10/R10</f>
        <v>5.7433969003204834E-2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0.24682170707398263</v>
      </c>
      <c r="AI10" s="3">
        <f>Z14</f>
        <v>2.1253593890883767E-2</v>
      </c>
      <c r="AK10">
        <f>AK7/AH10-1</f>
        <v>0.25121404180920615</v>
      </c>
      <c r="AL10">
        <f>((AL7/AH10)^2+((AK7*AI10)/(AH10^2))^2)^0.5</f>
        <v>0.10918429748641469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14.367808669316803</v>
      </c>
      <c r="F11" s="18">
        <f>((F10*$C11*$B11)^2+($C11*$B$2*E10)^2+($C$2*$B11*E10)^2)^0.5</f>
        <v>0.51680366966212843</v>
      </c>
      <c r="G11" s="20">
        <f>F11/E11</f>
        <v>3.5969553990915074E-2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0.555904745662123</v>
      </c>
      <c r="M11" s="3">
        <f>((F11/E5)^2+((F5*E11)/(E5^2))^2)^0.5</f>
        <v>2.616166102808129E-2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5.3160892076472175</v>
      </c>
      <c r="S11" s="18">
        <f>((S10*$C11*$B11)^2+($C11*$B$2*R10)^2+($C$2*$B11*R10)^2)^0.5</f>
        <v>0.32743867986785796</v>
      </c>
      <c r="T11" s="20">
        <f>S11/R11</f>
        <v>6.1593902411727026E-2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0.20568475589498553</v>
      </c>
      <c r="Z11" s="3">
        <f>((S11/R5)^2+((S5*R11)/(R5^2))^2)^0.5</f>
        <v>1.7470830099014505E-2</v>
      </c>
      <c r="AA11" s="27"/>
      <c r="AB11" s="54" t="s">
        <v>19</v>
      </c>
      <c r="AC11" s="54">
        <f>(1/(1+Y25))*AB7</f>
        <v>0.16146882133389159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2.8433351461627501</v>
      </c>
      <c r="AO12">
        <f>AO7</f>
        <v>1.2364430325367353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-0.2929384212045032</v>
      </c>
      <c r="J14" s="6">
        <f>((F5/E8)^2+((F8*E5)/(E8^2))^2)^0.5</f>
        <v>3.0397232510077379E-2</v>
      </c>
      <c r="K14" s="22" t="s">
        <v>65</v>
      </c>
      <c r="L14" s="3">
        <f>L11/F23</f>
        <v>0.6670856947945476</v>
      </c>
      <c r="M14" s="3">
        <f>((M11/F23)^2+((L11*G23)/(F23^2))^2)^0.5</f>
        <v>3.2780840074612981E-2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-0.2929384212045032</v>
      </c>
      <c r="W14" s="6">
        <f>((S5/R8)^2+((S8*R5)/(R8^2))^2)^0.5</f>
        <v>5.8512153654737463E-2</v>
      </c>
      <c r="X14" s="22" t="s">
        <v>65</v>
      </c>
      <c r="Y14" s="3">
        <f>Y11/S23</f>
        <v>0.24682170707398263</v>
      </c>
      <c r="Z14" s="3">
        <f>((Z11/S23)^2+((Y11*T23)/(S23^2))^2)^0.5</f>
        <v>2.1253593890883767E-2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-2.6387619926009984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-0.20924172943178801</v>
      </c>
      <c r="J17">
        <f>((J14*F16)^2+(I14*G16)^2)^0.5</f>
        <v>2.1913027622613442E-2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-0.20924172943178801</v>
      </c>
      <c r="W17">
        <f>((W14*S16)^2+(V14*T16)^2)^0.5</f>
        <v>4.1899020427392859E-2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2.3694459551356251</v>
      </c>
      <c r="AO17">
        <f>((AO14*AN12)^2+(AO12*AN14)^2)^0.5</f>
        <v>1.0309139296366945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-2.2541902412782657</v>
      </c>
      <c r="M18">
        <f>((M14/L7)^2+((L14*M7)/(L7^2))^2)^0.5</f>
        <v>0.35032579686035131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-0.83405038927295838</v>
      </c>
      <c r="Z18">
        <f>((Z14/Y7)^2+((Y14*Z7)/(Y7^2))^2)^0.5</f>
        <v>0.24660098872809852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0.29678469793404016</v>
      </c>
      <c r="AO19">
        <f>AO17/((AN17+1)^2)</f>
        <v>9.0804091615384122E-2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0.73980931613564405</v>
      </c>
      <c r="AD20">
        <f>U32/((1+T32)^2)</f>
        <v>8.375044803218E-2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-0.44361828105197454</v>
      </c>
      <c r="M22">
        <f>M18/(L18^2)</f>
        <v>6.8943128652364599E-2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-1.1989683271674987</v>
      </c>
      <c r="Z22">
        <f>Z18/(Y18^2)</f>
        <v>0.35449509854064354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0.26019068386435584</v>
      </c>
      <c r="AD24">
        <f>U41/((1+T41)^2)</f>
        <v>8.3750448032180014E-2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-1.7323419372623692</v>
      </c>
      <c r="M25">
        <f>((L22*G25)^2+(M22*F25)^2)^0.5</f>
        <v>8.3073586481479209E-2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-2.6387619926009984</v>
      </c>
      <c r="Z25">
        <f>((Y22*T25)^2+(Z22*S25)^2)^0.5</f>
        <v>0.42588045629603744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0.35169965853288859</v>
      </c>
      <c r="W27" s="27">
        <f>AO7/(AN7^2)</f>
        <v>0.15293891503623969</v>
      </c>
      <c r="Z27" s="4"/>
      <c r="AB27" s="61" t="s">
        <v>79</v>
      </c>
      <c r="AC27" s="61">
        <f>AC24*AC20</f>
        <v>0.19249149189455464</v>
      </c>
      <c r="AD27" s="61">
        <f>((AD20*AC24)^2+(AD24*AC20)^2)^0.5</f>
        <v>6.5679631123980023E-2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0.35169965853288859</v>
      </c>
      <c r="U32" s="25">
        <f>((S$30*W27)^2+(T$30*V27)^2)^0.5</f>
        <v>0.15301977082202342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4.332229221481251</v>
      </c>
      <c r="AD33">
        <f>((AD28/AC27)^2+((AD27*AC28)/(AC27^2))^2)^0.5</f>
        <v>1.5590943744221313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2.8433351461627501</v>
      </c>
      <c r="W36" s="27">
        <f>AO12</f>
        <v>1.2364430325367353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2.8433351461627501</v>
      </c>
      <c r="U41" s="25">
        <f>((S$30*W36)^2+(T$30*V36)^2)^0.5</f>
        <v>1.2370967155640336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2.8433351461627501</v>
      </c>
      <c r="P26" s="61">
        <f>_xlfn.STDEV.S(Exp2_Act_C1!P7,Exp2_Act_C2!P7)+AVERAGE(Exp2_Act_C2!Q7,Exp2_Act_C1!Q7)</f>
        <v>1.2364430325367353</v>
      </c>
      <c r="Q26" s="62">
        <f>P26/O26</f>
        <v>0.43485659233853902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2.8433351461627501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2.8433351461627496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2.8433351461627501</v>
      </c>
      <c r="C2">
        <f>'Exp1'!AO7</f>
        <v>1.2364430325367353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0</v>
      </c>
      <c r="P3" t="str">
        <f>IF(O3=1,"='Exp1'!AN12","use solve")</f>
        <v>use solve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0.35169965853288859</v>
      </c>
      <c r="C5">
        <f>C2/B2^2</f>
        <v>0.15293891503623969</v>
      </c>
      <c r="E5">
        <f>B5*F1</f>
        <v>0.25121404180920615</v>
      </c>
      <c r="F5">
        <f>((C5*F$1)^2+(G$1*B5)^2)^0.5</f>
        <v>0.10929983630144531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2.8433351461627501</v>
      </c>
      <c r="Q7">
        <f>C2</f>
        <v>1.2364430325367353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0.79922376714541943</v>
      </c>
      <c r="F9">
        <f>F5/((1+E5)^2)</f>
        <v>6.9816213691869106E-2</v>
      </c>
      <c r="G9" s="3">
        <f>F9/E9</f>
        <v>8.7355026917218775E-2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2.7079382344407144</v>
      </c>
      <c r="Q10">
        <f>((L$9*P7)^2+(Q7*K$9)^2)^0.5</f>
        <v>1.1781873481562222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0.57087411938958532</v>
      </c>
      <c r="F13">
        <f>((F9*F$1)^2+(E9*G$1)^2)^0.5</f>
        <v>5.0518007600961395E-2</v>
      </c>
      <c r="G13" s="3">
        <f t="shared" si="0"/>
        <v>8.8492376664365935E-2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0.26969165524701216</v>
      </c>
      <c r="K14">
        <f>Q10/((1+P10)^2)</f>
        <v>8.5693794239608378E-2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0.42912588061041468</v>
      </c>
      <c r="F16">
        <f>F13</f>
        <v>5.0518007600961395E-2</v>
      </c>
      <c r="G16" s="3">
        <f t="shared" si="0"/>
        <v>0.11772305023668467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0.25684919547334489</v>
      </c>
      <c r="L18">
        <f>((J14*Q$16)^2+(K14*P$16)^2)^0.5</f>
        <v>8.1693931802734598E-2</v>
      </c>
      <c r="M18" s="3">
        <f t="shared" ref="M18:M19" si="1">L18/K18</f>
        <v>0.31806185591580943</v>
      </c>
    </row>
    <row r="19" spans="3:13" x14ac:dyDescent="0.25">
      <c r="C19" t="s">
        <v>87</v>
      </c>
      <c r="E19">
        <f>E16*E13</f>
        <v>0.2449768592007508</v>
      </c>
      <c r="F19">
        <f>((F16*E13)^2+(E16*F13)^2)^0.5</f>
        <v>3.6078710491675825E-2</v>
      </c>
      <c r="G19" s="3">
        <f t="shared" si="0"/>
        <v>0.14727395317820799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0.74315080452665505</v>
      </c>
      <c r="L21">
        <f>L18</f>
        <v>8.1693931802734598E-2</v>
      </c>
      <c r="M21" s="3">
        <f>L21/K21</f>
        <v>0.10992914399758875</v>
      </c>
    </row>
    <row r="22" spans="3:13" x14ac:dyDescent="0.25">
      <c r="C22" t="s">
        <v>89</v>
      </c>
      <c r="E22">
        <f>E19+E13</f>
        <v>0.81585097859033606</v>
      </c>
      <c r="F22">
        <f>((F19^2+F13^2)^0.5)</f>
        <v>6.2078518367571826E-2</v>
      </c>
      <c r="G22" s="3">
        <f t="shared" si="0"/>
        <v>7.6090511621171156E-2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0.19087768625804036</v>
      </c>
      <c r="L24">
        <f>((L21*K18)^2+(K21*L18)^2)^0.5</f>
        <v>6.4234740506296892E-2</v>
      </c>
      <c r="M24" s="3">
        <f t="shared" ref="M24:M25" si="3">L24/K24</f>
        <v>0.33652304659361998</v>
      </c>
    </row>
    <row r="25" spans="3:13" x14ac:dyDescent="0.25">
      <c r="C25" t="s">
        <v>90</v>
      </c>
      <c r="E25">
        <f>1-E22</f>
        <v>0.18414902140966394</v>
      </c>
      <c r="F25">
        <f>F22</f>
        <v>6.2078518367571826E-2</v>
      </c>
      <c r="G25" s="3">
        <f t="shared" si="0"/>
        <v>0.33711022677372759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0.44772688173138525</v>
      </c>
      <c r="L27">
        <f>((L24^2+L18^2)^0.5)</f>
        <v>0.10392305028866863</v>
      </c>
      <c r="M27" s="3">
        <f t="shared" ref="M27:M28" si="4">L27/K27</f>
        <v>0.23211259928551153</v>
      </c>
    </row>
    <row r="28" spans="3:13" x14ac:dyDescent="0.25">
      <c r="C28" t="s">
        <v>92</v>
      </c>
      <c r="E28">
        <f>E13*E25</f>
        <v>0.10512591043369579</v>
      </c>
      <c r="F28">
        <f>((F25*E13)^2+(E25*F13)^2)^0.5</f>
        <v>3.6639691136330442E-2</v>
      </c>
      <c r="G28" s="3">
        <f t="shared" si="0"/>
        <v>0.34853149889664498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0.55227311826861469</v>
      </c>
      <c r="L30">
        <f>L27</f>
        <v>0.10392305028866863</v>
      </c>
      <c r="M30" s="3">
        <f t="shared" ref="M30:M31" si="5">L30/K30</f>
        <v>0.18817329116881354</v>
      </c>
    </row>
    <row r="31" spans="3:13" x14ac:dyDescent="0.25">
      <c r="C31" t="s">
        <v>91</v>
      </c>
      <c r="E31" s="6">
        <f>E28+E22</f>
        <v>0.92097688902403185</v>
      </c>
      <c r="F31">
        <f>((F28^2)+F22^2)^0.5</f>
        <v>7.2084737700005841E-2</v>
      </c>
      <c r="G31" s="3">
        <f t="shared" si="0"/>
        <v>7.8269866007598457E-2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0.14185090610884915</v>
      </c>
      <c r="L33">
        <f>((L30*K18)^2+(K30*L18)^2)^0.5</f>
        <v>5.242202514264567E-2</v>
      </c>
      <c r="M33" s="3">
        <f t="shared" ref="M33:M34" si="6">L33/K33</f>
        <v>0.36955721031785077</v>
      </c>
    </row>
    <row r="34" spans="3:13" x14ac:dyDescent="0.25">
      <c r="C34" t="s">
        <v>93</v>
      </c>
      <c r="E34">
        <f>1-E31</f>
        <v>7.9023110975968147E-2</v>
      </c>
      <c r="F34">
        <f>F31</f>
        <v>7.2084737700005841E-2</v>
      </c>
      <c r="G34" s="3">
        <f t="shared" si="0"/>
        <v>0.91219817607443543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0.5895777878402344</v>
      </c>
      <c r="L36">
        <f>((L33^2)+L27^2)^0.5</f>
        <v>0.11639617305288574</v>
      </c>
      <c r="M36" s="3">
        <f t="shared" ref="M36:M37" si="7">L36/K36</f>
        <v>0.19742292781970805</v>
      </c>
    </row>
    <row r="37" spans="3:13" x14ac:dyDescent="0.25">
      <c r="C37" t="s">
        <v>94</v>
      </c>
      <c r="E37">
        <f>E34*E13</f>
        <v>4.5112248889831293E-2</v>
      </c>
      <c r="F37">
        <f>((F34*E13)^2+(E34*F13)^2)^0.5</f>
        <v>4.1344494112094586E-2</v>
      </c>
      <c r="G37" s="3">
        <f t="shared" si="0"/>
        <v>0.91648044887015168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0.96608913791386319</v>
      </c>
      <c r="F40">
        <f>(F37^2+F31^2)^0.5</f>
        <v>8.3099799053088369E-2</v>
      </c>
      <c r="G40" s="3">
        <f t="shared" si="0"/>
        <v>8.601669948647904E-2</v>
      </c>
      <c r="J40" t="s">
        <v>79</v>
      </c>
      <c r="K40">
        <f>K36*E40</f>
        <v>0.5695846967877346</v>
      </c>
      <c r="L40">
        <f>((F40*K36)^2+(L36*E40)^2)^0.5</f>
        <v>0.12265882466389164</v>
      </c>
      <c r="M40" s="3">
        <f>L40/K40</f>
        <v>0.21534782334505473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14.044080159776728</v>
      </c>
      <c r="I46" t="s">
        <v>132</v>
      </c>
      <c r="K46" s="3">
        <f>ABS(K40-K43)/K43</f>
        <v>0.28569736039816468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0.14284868019983019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2.8433351461627501</v>
      </c>
      <c r="C2">
        <f>'Exp1'!AO7</f>
        <v>1.2364430325367353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0.35169965853288859</v>
      </c>
      <c r="C5">
        <f>C2/B2^2</f>
        <v>0.15293891503623969</v>
      </c>
      <c r="E5">
        <f>B5*F1</f>
        <v>0.25121404180920615</v>
      </c>
      <c r="F5">
        <f>((C5*F$1)^2+(G$1*B5)^2)^0.5</f>
        <v>0.10929983630144531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2.8433351461627501</v>
      </c>
      <c r="Q7">
        <f>'Exp1'!AO12</f>
        <v>1.2364430325367353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0.79922376714541943</v>
      </c>
      <c r="F9">
        <f>F5/((1+E5)^2)</f>
        <v>6.9816213691869106E-2</v>
      </c>
      <c r="G9" s="3">
        <f>F9/E9</f>
        <v>8.7355026917218775E-2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2.7079382344407144</v>
      </c>
      <c r="Q10">
        <f>((L$9*P7)^2+(Q7*K$9)^2)^0.5</f>
        <v>1.1781873481562222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0.57087411938958532</v>
      </c>
      <c r="F13">
        <f>((F9*F$1)^2+(E9*G$1)^2)^0.5</f>
        <v>5.0518007600961395E-2</v>
      </c>
      <c r="G13" s="3">
        <f t="shared" si="0"/>
        <v>8.8492376664365935E-2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0.26969165524701216</v>
      </c>
      <c r="K14">
        <f>Q10/((1+P10)^2)</f>
        <v>8.5693794239608378E-2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0.42912588061041468</v>
      </c>
      <c r="F16">
        <f>F13</f>
        <v>5.0518007600961395E-2</v>
      </c>
      <c r="G16" s="3">
        <f t="shared" si="0"/>
        <v>0.11772305023668467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0.23904487624166987</v>
      </c>
      <c r="L18">
        <f>((J14*Q$16)^2+(K14*P$16)^2)^0.5</f>
        <v>7.7980571266246662E-2</v>
      </c>
      <c r="M18" s="3">
        <f>L18/K18</f>
        <v>0.32621728811877887</v>
      </c>
      <c r="P18" t="s">
        <v>136</v>
      </c>
      <c r="S18">
        <f>J14*P16*(1-P19)</f>
        <v>6.1293558010684637E-3</v>
      </c>
      <c r="T18">
        <f>((J14*Q$16)^2+(K14*P$16)^2)^0.5</f>
        <v>7.7980571266246662E-2</v>
      </c>
      <c r="U18">
        <f>L18/K18</f>
        <v>0.32621728811877887</v>
      </c>
    </row>
    <row r="19" spans="3:21" x14ac:dyDescent="0.25">
      <c r="C19" t="s">
        <v>87</v>
      </c>
      <c r="E19">
        <f>E16*E13</f>
        <v>0.2449768592007508</v>
      </c>
      <c r="F19">
        <f>((F16*E13)^2+(E16*F13)^2)^0.5</f>
        <v>3.6078710491675825E-2</v>
      </c>
      <c r="G19" s="3">
        <f t="shared" si="0"/>
        <v>0.14727395317820799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0.75482576795726164</v>
      </c>
      <c r="L21">
        <f>L18</f>
        <v>7.7980571266246662E-2</v>
      </c>
      <c r="M21" s="3">
        <f>L21/K21</f>
        <v>0.10330936565305748</v>
      </c>
    </row>
    <row r="22" spans="3:21" x14ac:dyDescent="0.25">
      <c r="C22" t="s">
        <v>89</v>
      </c>
      <c r="E22">
        <f>E19+E13</f>
        <v>0.81585097859033606</v>
      </c>
      <c r="F22">
        <f>((F19^2+F13^2)^0.5)</f>
        <v>6.2078518367571826E-2</v>
      </c>
      <c r="G22" s="3">
        <f t="shared" si="0"/>
        <v>7.6090511621171156E-2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0.18043723228536704</v>
      </c>
      <c r="L24">
        <f>((L21*K18)^2+(K21*L18)^2)^0.5</f>
        <v>6.1742906386766966E-2</v>
      </c>
      <c r="M24" s="3">
        <f t="shared" ref="M24:M25" si="2">L24/K24</f>
        <v>0.34218495598025278</v>
      </c>
    </row>
    <row r="25" spans="3:21" x14ac:dyDescent="0.25">
      <c r="C25" t="s">
        <v>90</v>
      </c>
      <c r="E25">
        <f>1-E22</f>
        <v>0.18414902140966394</v>
      </c>
      <c r="F25">
        <f>F22</f>
        <v>6.2078518367571826E-2</v>
      </c>
      <c r="G25" s="3">
        <f t="shared" si="0"/>
        <v>0.33711022677372759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0.41948210852703693</v>
      </c>
      <c r="L27">
        <f>((L24^2+L18^2)^0.5)</f>
        <v>9.9464345290637912E-2</v>
      </c>
      <c r="M27" s="3">
        <f t="shared" ref="M27:M28" si="3">L27/K27</f>
        <v>0.23711224690820662</v>
      </c>
    </row>
    <row r="28" spans="3:21" x14ac:dyDescent="0.25">
      <c r="C28" t="s">
        <v>92</v>
      </c>
      <c r="E28">
        <f>E13*E25</f>
        <v>0.10512591043369579</v>
      </c>
      <c r="F28">
        <f>((F25*E13)^2+(E25*F13)^2)^0.5</f>
        <v>3.6639691136330442E-2</v>
      </c>
      <c r="G28" s="3">
        <f t="shared" si="0"/>
        <v>0.34853149889664498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0.58051789147296307</v>
      </c>
      <c r="L30">
        <f>L27</f>
        <v>9.9464345290637912E-2</v>
      </c>
      <c r="M30" s="3">
        <f t="shared" ref="M30:M31" si="4">L30/K30</f>
        <v>0.17133726066265495</v>
      </c>
    </row>
    <row r="31" spans="3:21" x14ac:dyDescent="0.25">
      <c r="C31" t="s">
        <v>91</v>
      </c>
      <c r="E31" s="6">
        <f>E28+E22</f>
        <v>0.92097688902403185</v>
      </c>
      <c r="F31">
        <f>((F28^2)+F22^2)^0.5</f>
        <v>7.2084737700005841E-2</v>
      </c>
      <c r="G31" s="3">
        <f t="shared" si="0"/>
        <v>7.8269866007598457E-2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0.13876982752322958</v>
      </c>
      <c r="L33">
        <f>((L30*K18)^2+(K30*L18)^2)^0.5</f>
        <v>5.1133278165481334E-2</v>
      </c>
      <c r="M33" s="3">
        <f t="shared" ref="M33:M34" si="5">L33/K33</f>
        <v>0.3684754753833055</v>
      </c>
    </row>
    <row r="34" spans="3:13" x14ac:dyDescent="0.25">
      <c r="C34" t="s">
        <v>93</v>
      </c>
      <c r="E34">
        <f>1-E31</f>
        <v>7.9023110975968147E-2</v>
      </c>
      <c r="F34">
        <f>F31</f>
        <v>7.2084737700005841E-2</v>
      </c>
      <c r="G34" s="3">
        <f t="shared" si="0"/>
        <v>0.91219817607443543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0.55825193605026646</v>
      </c>
      <c r="L36">
        <f>((L33^2)+L27^2)^0.5</f>
        <v>0.11183813356831263</v>
      </c>
      <c r="M36" s="3">
        <f t="shared" ref="M36:M37" si="6">L36/K36</f>
        <v>0.2003363111637152</v>
      </c>
    </row>
    <row r="37" spans="3:13" x14ac:dyDescent="0.25">
      <c r="C37" t="s">
        <v>94</v>
      </c>
      <c r="E37">
        <f>E34*E13</f>
        <v>4.5112248889831293E-2</v>
      </c>
      <c r="F37">
        <f>((F34*E13)^2+(E34*F13)^2)^0.5</f>
        <v>4.1344494112094586E-2</v>
      </c>
      <c r="G37" s="3">
        <f t="shared" si="0"/>
        <v>0.91648044887015168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0.96608913791386319</v>
      </c>
      <c r="F40">
        <f>(F37^2+F31^2)^0.5</f>
        <v>8.3099799053088369E-2</v>
      </c>
      <c r="G40" s="3">
        <f t="shared" si="0"/>
        <v>8.601669948647904E-2</v>
      </c>
      <c r="J40" t="s">
        <v>79</v>
      </c>
      <c r="K40">
        <f>K36*E40</f>
        <v>0.53932113163754702</v>
      </c>
      <c r="L40">
        <f>((F40*K36)^2+(L36*E40)^2)^0.5</f>
        <v>0.11758376994090097</v>
      </c>
      <c r="M40" s="3">
        <f>L40/K40</f>
        <v>0.21802181120528322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14.044080159776728</v>
      </c>
      <c r="I46" t="s">
        <v>132</v>
      </c>
      <c r="K46" s="3">
        <f>ABS(K40-K43)/K43</f>
        <v>0.96044272971839995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0.48022136486357603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2.8433351461627501</v>
      </c>
      <c r="C2">
        <f>'Exp1'!AO7</f>
        <v>1.2364430325367353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0.35169965853288859</v>
      </c>
      <c r="C5">
        <f>C2/B2^2</f>
        <v>0.15293891503623969</v>
      </c>
      <c r="E5">
        <f>B5*F1</f>
        <v>0.25121404180920615</v>
      </c>
      <c r="F5">
        <f>((C5*F$1)^2+(G$1*B5)^2)^0.5</f>
        <v>0.10929983630144531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2.8433351461627501</v>
      </c>
      <c r="Q7">
        <f>'Exp1'!AO12</f>
        <v>1.2364430325367353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0.79922376714541943</v>
      </c>
      <c r="F9">
        <f>F5/((1+E5)^2)</f>
        <v>6.9816213691869106E-2</v>
      </c>
      <c r="G9" s="3">
        <f>F9/E9</f>
        <v>8.7355026917218775E-2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2.7079382344407144</v>
      </c>
      <c r="Q10">
        <f>((L$9*P7)^2+(Q7*K$9)^2)^0.5</f>
        <v>1.1781873481562222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0.57087411938958532</v>
      </c>
      <c r="F13">
        <f>((F9*F$1)^2+(E9*G$1)^2)^0.5</f>
        <v>5.0518007600961395E-2</v>
      </c>
      <c r="G13" s="3">
        <f t="shared" si="0"/>
        <v>8.8492376664365935E-2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0.26969165524701216</v>
      </c>
      <c r="K14">
        <f>Q10/((1+P10)^2)</f>
        <v>8.5693794239608378E-2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0.42912588061041468</v>
      </c>
      <c r="F16">
        <f>F13</f>
        <v>5.0518007600961395E-2</v>
      </c>
      <c r="G16" s="3">
        <f t="shared" si="0"/>
        <v>0.11772305023668467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0.24517423204273833</v>
      </c>
      <c r="L18">
        <f>((J14*Q$16)^2+(K14*P$16)^2)^0.5</f>
        <v>7.7980571266246662E-2</v>
      </c>
      <c r="M18" s="3">
        <f t="shared" ref="M18:M19" si="1">L18/K18</f>
        <v>0.31806185591580943</v>
      </c>
    </row>
    <row r="19" spans="3:13" x14ac:dyDescent="0.25">
      <c r="C19" t="s">
        <v>87</v>
      </c>
      <c r="E19">
        <f>E16*E13</f>
        <v>0.2449768592007508</v>
      </c>
      <c r="F19">
        <f>((F16*E13)^2+(E16*F13)^2)^0.5</f>
        <v>3.6078710491675825E-2</v>
      </c>
      <c r="G19" s="3">
        <f t="shared" si="0"/>
        <v>0.14727395317820799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0.75482576795726164</v>
      </c>
      <c r="L21">
        <f>L18</f>
        <v>7.7980571266246662E-2</v>
      </c>
      <c r="M21" s="3">
        <f>L21/K21</f>
        <v>0.10330936565305748</v>
      </c>
    </row>
    <row r="22" spans="3:13" x14ac:dyDescent="0.25">
      <c r="C22" t="s">
        <v>89</v>
      </c>
      <c r="E22">
        <f>E19+E13</f>
        <v>0.81585097859033606</v>
      </c>
      <c r="F22">
        <f>((F19^2+F13^2)^0.5)</f>
        <v>6.2078518367571826E-2</v>
      </c>
      <c r="G22" s="3">
        <f t="shared" si="0"/>
        <v>7.6090511621171156E-2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0.18506382798499182</v>
      </c>
      <c r="L24">
        <f>((L21*K18)^2+(K21*L18)^2)^0.5</f>
        <v>6.1888888419465764E-2</v>
      </c>
      <c r="M24" s="3">
        <f t="shared" ref="M24:M25" si="3">L24/K24</f>
        <v>0.33441915199379096</v>
      </c>
    </row>
    <row r="25" spans="3:13" x14ac:dyDescent="0.25">
      <c r="C25" t="s">
        <v>90</v>
      </c>
      <c r="E25">
        <f>1-E22</f>
        <v>0.18414902140966394</v>
      </c>
      <c r="F25">
        <f>F22</f>
        <v>6.2078518367571826E-2</v>
      </c>
      <c r="G25" s="3">
        <f t="shared" si="0"/>
        <v>0.33711022677372759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0.43023806002773013</v>
      </c>
      <c r="L27">
        <f>((L24^2+L18^2)^0.5)</f>
        <v>9.9555030032677197E-2</v>
      </c>
      <c r="M27" s="3">
        <f t="shared" ref="M27:M28" si="4">L27/K27</f>
        <v>0.23139521879180233</v>
      </c>
    </row>
    <row r="28" spans="3:13" x14ac:dyDescent="0.25">
      <c r="C28" t="s">
        <v>92</v>
      </c>
      <c r="E28">
        <f>E13*E25</f>
        <v>0.10512591043369579</v>
      </c>
      <c r="F28">
        <f>((F25*E13)^2+(E25*F13)^2)^0.5</f>
        <v>3.6639691136330442E-2</v>
      </c>
      <c r="G28" s="3">
        <f t="shared" si="0"/>
        <v>0.34853149889664498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0.56976193997226987</v>
      </c>
      <c r="L30">
        <f>L27</f>
        <v>9.9555030032677197E-2</v>
      </c>
      <c r="M30" s="3">
        <f t="shared" ref="M30:M31" si="5">L30/K30</f>
        <v>0.17473092365124021</v>
      </c>
    </row>
    <row r="31" spans="3:13" x14ac:dyDescent="0.25">
      <c r="C31" t="s">
        <v>91</v>
      </c>
      <c r="E31" s="6">
        <f>E28+E22</f>
        <v>0.92097688902403185</v>
      </c>
      <c r="F31">
        <f>((F28^2)+F22^2)^0.5</f>
        <v>7.2084737700005841E-2</v>
      </c>
      <c r="G31" s="3">
        <f t="shared" si="0"/>
        <v>7.8269866007598457E-2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0.13969094607988206</v>
      </c>
      <c r="L33">
        <f>((L30*K18)^2+(K30*L18)^2)^0.5</f>
        <v>5.0693426656784633E-2</v>
      </c>
      <c r="M33" s="3">
        <f t="shared" ref="M33:M34" si="6">L33/K33</f>
        <v>0.36289701000232094</v>
      </c>
    </row>
    <row r="34" spans="3:14" x14ac:dyDescent="0.25">
      <c r="C34" t="s">
        <v>93</v>
      </c>
      <c r="E34">
        <f>1-E31</f>
        <v>7.9023110975968147E-2</v>
      </c>
      <c r="F34">
        <f>F31</f>
        <v>7.2084737700005841E-2</v>
      </c>
      <c r="G34" s="3">
        <f t="shared" si="0"/>
        <v>0.91219817607443543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0.56992900610761221</v>
      </c>
      <c r="L36">
        <f>((L33^2)+L27^2)^0.5</f>
        <v>0.11171851910499915</v>
      </c>
      <c r="M36" s="3">
        <f t="shared" ref="M36:M37" si="7">L36/K36</f>
        <v>0.19602181659079274</v>
      </c>
    </row>
    <row r="37" spans="3:14" x14ac:dyDescent="0.25">
      <c r="C37" t="s">
        <v>94</v>
      </c>
      <c r="E37">
        <f>E34*E13</f>
        <v>4.5112248889831293E-2</v>
      </c>
      <c r="F37">
        <f>((F34*E13)^2+(E34*F13)^2)^0.5</f>
        <v>4.1344494112094586E-2</v>
      </c>
      <c r="G37" s="3">
        <f t="shared" si="0"/>
        <v>0.91648044887015168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0.96608913791386319</v>
      </c>
      <c r="F40">
        <f>(F37^2+F31^2)^0.5</f>
        <v>8.3099799053088369E-2</v>
      </c>
      <c r="G40" s="3">
        <f t="shared" si="0"/>
        <v>8.601669948647904E-2</v>
      </c>
      <c r="J40" t="s">
        <v>79</v>
      </c>
      <c r="K40">
        <f>K36*E40</f>
        <v>0.5506022221826079</v>
      </c>
      <c r="L40">
        <f>((F40*K36)^2+(L36*E40)^2)^0.5</f>
        <v>0.11786415148059765</v>
      </c>
      <c r="M40" s="3">
        <f>L40/K40</f>
        <v>0.21406406790982374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-1.3270998753064314</v>
      </c>
      <c r="I46" t="s">
        <v>132</v>
      </c>
      <c r="K46" s="3">
        <f>ABS(K40-K43)/K43</f>
        <v>0.9523938807058494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0.47619694038726523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2.8433351461627501</v>
      </c>
      <c r="C2">
        <f>Exp2_Act_C1!C2</f>
        <v>1.2364430325367353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-0.93548709690067156</v>
      </c>
      <c r="J3">
        <f>AVERAGE(I3:I4)</f>
        <v>-0.47080971490922618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0.35169965853288859</v>
      </c>
      <c r="C5">
        <f>C2/B2^2</f>
        <v>0.15293891503623969</v>
      </c>
      <c r="E5">
        <f>B5*F1</f>
        <v>0.35169965853288859</v>
      </c>
      <c r="F5">
        <f>((C5*F$1)^2+(G$1*B5)^2)^0.5</f>
        <v>0.15298017332786157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2.8433351461627501</v>
      </c>
      <c r="Q7">
        <f>C2</f>
        <v>1.2364430325367353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0.73980931613564405</v>
      </c>
      <c r="F9">
        <f>F5/((1+E5)^2)</f>
        <v>8.3728775617829931E-2</v>
      </c>
      <c r="G9" s="3">
        <f>F9/E9</f>
        <v>0.11317615741199757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2.7079382344407144</v>
      </c>
      <c r="Q10">
        <f>((L$9*P7)^2+(Q7*K$9)^2)^0.5</f>
        <v>1.1781873481562222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0.73980931613564405</v>
      </c>
      <c r="F13">
        <f>((F9*F$1)^2+(E9*G$1)^2)^0.5</f>
        <v>8.4061623967399843E-2</v>
      </c>
      <c r="G13" s="3">
        <f t="shared" si="0"/>
        <v>0.11362606841245447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0.26969165524701216</v>
      </c>
      <c r="K14">
        <f>Q10/((1+P10)^2)</f>
        <v>8.5693794239608378E-2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0.26019068386435595</v>
      </c>
      <c r="F16">
        <f>F13</f>
        <v>8.4061623967399843E-2</v>
      </c>
      <c r="G16" s="3">
        <f t="shared" si="0"/>
        <v>0.32307699383742466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0.26969165524701216</v>
      </c>
      <c r="L18">
        <f>((J14*Q$16)^2+(K14*P$16)^2)^0.5</f>
        <v>8.5770744855244205E-2</v>
      </c>
      <c r="M18" s="3">
        <f t="shared" ref="M18:M19" si="1">L18/K18</f>
        <v>0.31803262424521916</v>
      </c>
    </row>
    <row r="19" spans="3:13" x14ac:dyDescent="0.25">
      <c r="C19" t="s">
        <v>87</v>
      </c>
      <c r="E19">
        <f>E16*E13</f>
        <v>0.19249149189455472</v>
      </c>
      <c r="F19">
        <f>((F16*E13)^2+(E16*F13)^2)^0.5</f>
        <v>6.5923664691800998E-2</v>
      </c>
      <c r="G19" s="3">
        <f t="shared" si="0"/>
        <v>0.34247573252699109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0.73030834475298789</v>
      </c>
      <c r="L21">
        <f>L18</f>
        <v>8.5770744855244205E-2</v>
      </c>
      <c r="M21" s="3">
        <f>L21/K21</f>
        <v>0.11744456361683014</v>
      </c>
    </row>
    <row r="22" spans="3:13" x14ac:dyDescent="0.25">
      <c r="C22" t="s">
        <v>89</v>
      </c>
      <c r="E22">
        <f>E19+E13</f>
        <v>0.93230080803019877</v>
      </c>
      <c r="F22">
        <f>((F19^2+F13^2)^0.5)</f>
        <v>0.1068283023848715</v>
      </c>
      <c r="G22" s="3">
        <f t="shared" si="0"/>
        <v>0.11458565890399952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0.19695806633713892</v>
      </c>
      <c r="L24">
        <f>((L21*K18)^2+(K21*L18)^2)^0.5</f>
        <v>6.6773715696779826E-2</v>
      </c>
      <c r="M24" s="3">
        <f t="shared" ref="M24:M25" si="3">L24/K24</f>
        <v>0.33902503684454993</v>
      </c>
    </row>
    <row r="25" spans="3:13" x14ac:dyDescent="0.25">
      <c r="C25" t="s">
        <v>90</v>
      </c>
      <c r="E25">
        <f>1-E22</f>
        <v>6.7699191969801231E-2</v>
      </c>
      <c r="F25">
        <f>F22</f>
        <v>0.1068283023848715</v>
      </c>
      <c r="G25" s="3">
        <f t="shared" si="0"/>
        <v>1.5779848957802141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0.46664972158415108</v>
      </c>
      <c r="L27">
        <f>((L24^2+L18^2)^0.5)</f>
        <v>0.10869843504383024</v>
      </c>
      <c r="M27" s="3">
        <f t="shared" ref="M27:M28" si="4">L27/K27</f>
        <v>0.23293367598040798</v>
      </c>
    </row>
    <row r="28" spans="3:13" x14ac:dyDescent="0.25">
      <c r="C28" t="s">
        <v>92</v>
      </c>
      <c r="E28">
        <f>E13*E25</f>
        <v>5.0084492914114334E-2</v>
      </c>
      <c r="F28">
        <f>((F25*E13)^2+(E25*F13)^2)^0.5</f>
        <v>7.9237201085789175E-2</v>
      </c>
      <c r="G28" s="3">
        <f t="shared" si="0"/>
        <v>1.5820705466992819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0.53335027841584892</v>
      </c>
      <c r="L30">
        <f>L27</f>
        <v>0.10869843504383024</v>
      </c>
      <c r="M30" s="3">
        <f t="shared" ref="M30:M31" si="5">L30/K30</f>
        <v>0.20380309046933495</v>
      </c>
    </row>
    <row r="31" spans="3:13" x14ac:dyDescent="0.25">
      <c r="C31" t="s">
        <v>91</v>
      </c>
      <c r="E31" s="6">
        <f>E28+E22</f>
        <v>0.98238530094431309</v>
      </c>
      <c r="F31">
        <f>((F28^2)+F22^2)^0.5</f>
        <v>0.13300684278014921</v>
      </c>
      <c r="G31" s="3">
        <f t="shared" si="0"/>
        <v>0.13539172731136859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0.14384011941242508</v>
      </c>
      <c r="L33">
        <f>((L30*K18)^2+(K30*L18)^2)^0.5</f>
        <v>5.4332822909811777E-2</v>
      </c>
      <c r="M33" s="3">
        <f t="shared" ref="M33:M34" si="6">L33/K33</f>
        <v>0.37773065770354503</v>
      </c>
    </row>
    <row r="34" spans="3:13" x14ac:dyDescent="0.25">
      <c r="C34" t="s">
        <v>93</v>
      </c>
      <c r="E34">
        <f>1-E31</f>
        <v>1.7614699055686911E-2</v>
      </c>
      <c r="F34">
        <f>F31</f>
        <v>0.13300684278014921</v>
      </c>
      <c r="G34" s="3">
        <f t="shared" si="0"/>
        <v>7.5509006631145317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0.61048984099657622</v>
      </c>
      <c r="L36">
        <f>((L33^2)+L27^2)^0.5</f>
        <v>0.12152121389422815</v>
      </c>
      <c r="M36" s="3">
        <f t="shared" ref="M36:M37" si="7">L36/K36</f>
        <v>0.19905525978262703</v>
      </c>
    </row>
    <row r="37" spans="3:13" x14ac:dyDescent="0.25">
      <c r="C37" t="s">
        <v>94</v>
      </c>
      <c r="E37">
        <f>E34*E13</f>
        <v>1.3031518462322908E-2</v>
      </c>
      <c r="F37">
        <f>((F34*E13)^2+(E34*F13)^2)^0.5</f>
        <v>9.8410841718063816E-2</v>
      </c>
      <c r="G37" s="3">
        <f t="shared" si="0"/>
        <v>7.5517555381279626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0.99541681940663596</v>
      </c>
      <c r="F40">
        <f>(F37^2+F31^2)^0.5</f>
        <v>0.16545547435488842</v>
      </c>
      <c r="G40" s="3">
        <f t="shared" si="0"/>
        <v>0.16621727815842591</v>
      </c>
      <c r="J40" t="s">
        <v>79</v>
      </c>
      <c r="K40" s="59">
        <f>K36*E40</f>
        <v>0.60769185580487484</v>
      </c>
      <c r="L40" s="59">
        <f>((F40*K36)^2+(L36*E40)^2)^0.5</f>
        <v>0.15759171091589991</v>
      </c>
      <c r="M40" s="3">
        <f>L40/K40</f>
        <v>0.25932832472663808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14.500775069141305</v>
      </c>
      <c r="I46" t="s">
        <v>132</v>
      </c>
      <c r="K46" s="3">
        <f>ABS(K40-K43)/K43</f>
        <v>0.2379080773869075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0.12644709574516877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2.8433351461627501</v>
      </c>
      <c r="C2">
        <f>'Exp1'!W17</f>
        <v>4.1899020427392859E-2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0.35169965853288859</v>
      </c>
      <c r="C5">
        <f>C2/B2^2</f>
        <v>5.1826008611976417E-3</v>
      </c>
      <c r="E5">
        <f>B5*F1</f>
        <v>0.35169965853288859</v>
      </c>
      <c r="F5">
        <f>((C5*F$1)^2+(G$1*B5)^2)^0.5</f>
        <v>6.2833948345548084E-3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2.8433351461627501</v>
      </c>
      <c r="Q7">
        <f>Exp2_Act_C2!Q7</f>
        <v>1.2364430325367353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0.73980931613564405</v>
      </c>
      <c r="F9">
        <f>F5/((1+E5)^2)</f>
        <v>3.4390139896962376E-3</v>
      </c>
      <c r="G9" s="3">
        <f>F9/E9</f>
        <v>4.6485140355622314E-3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2.7079382344407144</v>
      </c>
      <c r="Q10">
        <f>((L$9*P7)^2+(Q7*K$9)^2)^0.5</f>
        <v>1.1781873481562222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0.73980931613564405</v>
      </c>
      <c r="F13">
        <f>((F9*F$1)^2+(E9*G$1)^2)^0.5</f>
        <v>8.2265165651658288E-3</v>
      </c>
      <c r="G13" s="3">
        <f t="shared" si="0"/>
        <v>1.1119779632049803E-2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0.26969165524701216</v>
      </c>
      <c r="K14">
        <f>Q10/((1+P10)^2)</f>
        <v>8.5693794239608378E-2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0.26019068386435595</v>
      </c>
      <c r="F16">
        <f>F13</f>
        <v>8.2265165651658288E-3</v>
      </c>
      <c r="G16" s="3">
        <f t="shared" si="0"/>
        <v>3.1617260245391882E-2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0.26969165524701216</v>
      </c>
      <c r="L18">
        <f>((J14*Q$16)^2+(K14*P$16)^2)^0.5</f>
        <v>8.5763911128118958E-2</v>
      </c>
      <c r="M18" s="3">
        <f t="shared" ref="M18:M19" si="1">L18/K18</f>
        <v>0.31800728520712773</v>
      </c>
    </row>
    <row r="19" spans="3:13" x14ac:dyDescent="0.25">
      <c r="C19" t="s">
        <v>87</v>
      </c>
      <c r="E19">
        <f>E16*E13</f>
        <v>0.19249149189455472</v>
      </c>
      <c r="F19">
        <f>((F16*E13)^2+(E16*F13)^2)^0.5</f>
        <v>6.4514827816538247E-3</v>
      </c>
      <c r="G19" s="3">
        <f t="shared" si="0"/>
        <v>3.3515677592586245E-2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0.73030834475298789</v>
      </c>
      <c r="L21">
        <f>L18</f>
        <v>8.5763911128118958E-2</v>
      </c>
      <c r="M21" s="3">
        <f>L21/K21</f>
        <v>0.11743520629923361</v>
      </c>
    </row>
    <row r="22" spans="3:13" x14ac:dyDescent="0.25">
      <c r="C22" t="s">
        <v>89</v>
      </c>
      <c r="E22">
        <f>E19+E13</f>
        <v>0.93230080803019877</v>
      </c>
      <c r="F22">
        <f>((F19^2+F13^2)^0.5)</f>
        <v>1.0454530351905989E-2</v>
      </c>
      <c r="G22" s="3">
        <f t="shared" si="0"/>
        <v>1.1213687966220607E-2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0.19695806633713892</v>
      </c>
      <c r="L24">
        <f>((L21*K18)^2+(K21*L18)^2)^0.5</f>
        <v>6.6768395545334466E-2</v>
      </c>
      <c r="M24" s="3">
        <f t="shared" ref="M24:M25" si="3">L24/K24</f>
        <v>0.33899802524992828</v>
      </c>
    </row>
    <row r="25" spans="3:13" x14ac:dyDescent="0.25">
      <c r="C25" t="s">
        <v>90</v>
      </c>
      <c r="E25">
        <f>1-E22</f>
        <v>6.7699191969801231E-2</v>
      </c>
      <c r="F25">
        <f>F22</f>
        <v>1.0454530351905989E-2</v>
      </c>
      <c r="G25" s="3">
        <f t="shared" si="0"/>
        <v>0.15442622057541647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0.46664972158415108</v>
      </c>
      <c r="L27">
        <f>((L24^2+L18^2)^0.5)</f>
        <v>0.10868977456821836</v>
      </c>
      <c r="M27" s="3">
        <f t="shared" ref="M27:M28" si="4">L27/K27</f>
        <v>0.23291511714449464</v>
      </c>
    </row>
    <row r="28" spans="3:13" x14ac:dyDescent="0.25">
      <c r="C28" t="s">
        <v>92</v>
      </c>
      <c r="E28">
        <f>E13*E25</f>
        <v>5.0084492914114334E-2</v>
      </c>
      <c r="F28">
        <f>((F25*E13)^2+(E25*F13)^2)^0.5</f>
        <v>7.754384421152922E-3</v>
      </c>
      <c r="G28" s="3">
        <f t="shared" si="0"/>
        <v>0.15482605433283034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0.53335027841584892</v>
      </c>
      <c r="L30">
        <f>L27</f>
        <v>0.10868977456821836</v>
      </c>
      <c r="M30" s="3">
        <f t="shared" ref="M30:M31" si="5">L30/K30</f>
        <v>0.20378685259347296</v>
      </c>
    </row>
    <row r="31" spans="3:13" x14ac:dyDescent="0.25">
      <c r="C31" t="s">
        <v>91</v>
      </c>
      <c r="E31" s="6">
        <f>E28+E22</f>
        <v>0.98238530094431309</v>
      </c>
      <c r="F31">
        <f>((F28^2)+F22^2)^0.5</f>
        <v>1.301643893812523E-2</v>
      </c>
      <c r="G31" s="3">
        <f t="shared" si="0"/>
        <v>1.3249830718775252E-2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0.14384011941242508</v>
      </c>
      <c r="L33">
        <f>((L30*K18)^2+(K30*L18)^2)^0.5</f>
        <v>5.4328493978235672E-2</v>
      </c>
      <c r="M33" s="3">
        <f t="shared" ref="M33:M34" si="6">L33/K33</f>
        <v>0.37770056226429072</v>
      </c>
    </row>
    <row r="34" spans="3:13" x14ac:dyDescent="0.25">
      <c r="C34" t="s">
        <v>93</v>
      </c>
      <c r="E34">
        <f>1-E31</f>
        <v>1.7614699055686911E-2</v>
      </c>
      <c r="F34">
        <f>F31</f>
        <v>1.301643893812523E-2</v>
      </c>
      <c r="G34" s="3">
        <f t="shared" si="0"/>
        <v>0.73895323996028583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0.61048984099657622</v>
      </c>
      <c r="L36">
        <f>((L33^2)+L27^2)^0.5</f>
        <v>0.12151153177222858</v>
      </c>
      <c r="M36" s="3">
        <f t="shared" ref="M36:M37" si="7">L36/K36</f>
        <v>0.19903940018702138</v>
      </c>
    </row>
    <row r="37" spans="3:13" x14ac:dyDescent="0.25">
      <c r="C37" t="s">
        <v>94</v>
      </c>
      <c r="E37">
        <f>E34*E13</f>
        <v>1.3031518462322908E-2</v>
      </c>
      <c r="F37">
        <f>((F34*E13)^2+(E34*F13)^2)^0.5</f>
        <v>9.6307730136111699E-3</v>
      </c>
      <c r="G37" s="3">
        <f t="shared" si="0"/>
        <v>0.73903690053127202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0.99541681940663596</v>
      </c>
      <c r="F40">
        <f>(F37^2+F31^2)^0.5</f>
        <v>1.6191956999376075E-2</v>
      </c>
      <c r="G40" s="3">
        <f t="shared" si="0"/>
        <v>1.6266509349347782E-2</v>
      </c>
      <c r="J40" t="s">
        <v>79</v>
      </c>
      <c r="K40" s="60">
        <f>K36*E40</f>
        <v>0.60769185580487484</v>
      </c>
      <c r="L40" s="60">
        <f>((F40*K36)^2+(L36*E40)^2)^0.5</f>
        <v>0.12135787746600013</v>
      </c>
      <c r="M40" s="3">
        <f>L40/K40</f>
        <v>0.19970298483803806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14.500775069141305</v>
      </c>
      <c r="I46" t="s">
        <v>132</v>
      </c>
      <c r="K46" s="3">
        <f>ABS(K40-K43)/K43</f>
        <v>0.95542798236922066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0.50807007618087185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2.8433351461627501</v>
      </c>
      <c r="C2">
        <f>'Exp1'!W17</f>
        <v>4.1899020427392859E-2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0.35169965853288859</v>
      </c>
      <c r="C5">
        <f>C2/B2^2</f>
        <v>5.1826008611976417E-3</v>
      </c>
      <c r="E5">
        <f>B5*F1</f>
        <v>0.35169965853288859</v>
      </c>
      <c r="F5">
        <f>((C5*F$1)^2+(G$1*B5)^2)^0.5</f>
        <v>6.2833948345548084E-3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2.8433351461627501</v>
      </c>
      <c r="Q7">
        <f>Exp2_Act_C3!Q7</f>
        <v>1.2364430325367353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0.73980931613564405</v>
      </c>
      <c r="F9">
        <f>F5/((1+E5)^2)</f>
        <v>3.4390139896962376E-3</v>
      </c>
      <c r="G9" s="3">
        <f>F9/E9</f>
        <v>4.6485140355622314E-3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2.7079382344407144</v>
      </c>
      <c r="Q10">
        <f>((L$9*P7)^2+(Q7*K$9)^2)^0.5</f>
        <v>1.1781873481562222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0.73980931613564405</v>
      </c>
      <c r="F13">
        <f>((F9*F$1)^2+(E9*G$1)^2)^0.5</f>
        <v>8.2265165651658288E-3</v>
      </c>
      <c r="G13" s="3">
        <f t="shared" si="0"/>
        <v>1.1119779632049803E-2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0.26969165524701216</v>
      </c>
      <c r="K14">
        <f>Q10/((1+P10)^2)</f>
        <v>8.5693794239608378E-2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0.26019068386435595</v>
      </c>
      <c r="F16">
        <f>F13</f>
        <v>8.2265165651658288E-3</v>
      </c>
      <c r="G16" s="3">
        <f t="shared" si="0"/>
        <v>3.1617260245391882E-2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0.26969165524701216</v>
      </c>
      <c r="L18">
        <f>((J14*Q$16)^2+(K14*P$16)^2)^0.5</f>
        <v>8.5763911128118958E-2</v>
      </c>
      <c r="M18" s="3">
        <f t="shared" ref="M18:M19" si="1">L18/K18</f>
        <v>0.31800728520712773</v>
      </c>
    </row>
    <row r="19" spans="3:13" x14ac:dyDescent="0.25">
      <c r="C19" t="s">
        <v>87</v>
      </c>
      <c r="E19">
        <f>E16*E13</f>
        <v>0.19249149189455472</v>
      </c>
      <c r="F19">
        <f>((F16*E13)^2+(E16*F13)^2)^0.5</f>
        <v>6.4514827816538247E-3</v>
      </c>
      <c r="G19" s="3">
        <f t="shared" si="0"/>
        <v>3.3515677592586245E-2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0.73030834475298789</v>
      </c>
      <c r="L21">
        <f>L18</f>
        <v>8.5763911128118958E-2</v>
      </c>
      <c r="M21" s="3">
        <f>L21/K21</f>
        <v>0.11743520629923361</v>
      </c>
    </row>
    <row r="22" spans="3:13" x14ac:dyDescent="0.25">
      <c r="C22" t="s">
        <v>89</v>
      </c>
      <c r="E22">
        <f>E19+E13</f>
        <v>0.93230080803019877</v>
      </c>
      <c r="F22">
        <f>((F19^2+F13^2)^0.5)</f>
        <v>1.0454530351905989E-2</v>
      </c>
      <c r="G22" s="3">
        <f t="shared" si="0"/>
        <v>1.1213687966220607E-2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0.19695806633713892</v>
      </c>
      <c r="L24">
        <f>((L21*K18)^2+(K21*L18)^2)^0.5</f>
        <v>6.6768395545334466E-2</v>
      </c>
      <c r="M24" s="3">
        <f t="shared" ref="M24:M25" si="3">L24/K24</f>
        <v>0.33899802524992828</v>
      </c>
    </row>
    <row r="25" spans="3:13" x14ac:dyDescent="0.25">
      <c r="C25" t="s">
        <v>90</v>
      </c>
      <c r="E25">
        <f>1-E22</f>
        <v>6.7699191969801231E-2</v>
      </c>
      <c r="F25">
        <f>F22</f>
        <v>1.0454530351905989E-2</v>
      </c>
      <c r="G25" s="3">
        <f t="shared" si="0"/>
        <v>0.15442622057541647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0.46664972158415108</v>
      </c>
      <c r="L27">
        <f>((L24^2+L18^2)^0.5)</f>
        <v>0.10868977456821836</v>
      </c>
      <c r="M27" s="3">
        <f t="shared" ref="M27:M28" si="4">L27/K27</f>
        <v>0.23291511714449464</v>
      </c>
    </row>
    <row r="28" spans="3:13" x14ac:dyDescent="0.25">
      <c r="C28" t="s">
        <v>92</v>
      </c>
      <c r="E28">
        <f>E13*E25</f>
        <v>5.0084492914114334E-2</v>
      </c>
      <c r="F28">
        <f>((F25*E13)^2+(E25*F13)^2)^0.5</f>
        <v>7.754384421152922E-3</v>
      </c>
      <c r="G28" s="3">
        <f t="shared" si="0"/>
        <v>0.15482605433283034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0.53335027841584892</v>
      </c>
      <c r="L30">
        <f>L27</f>
        <v>0.10868977456821836</v>
      </c>
      <c r="M30" s="3">
        <f t="shared" ref="M30:M31" si="5">L30/K30</f>
        <v>0.20378685259347296</v>
      </c>
    </row>
    <row r="31" spans="3:13" x14ac:dyDescent="0.25">
      <c r="C31" t="s">
        <v>91</v>
      </c>
      <c r="E31" s="6">
        <f>E28+E22</f>
        <v>0.98238530094431309</v>
      </c>
      <c r="F31">
        <f>((F28^2)+F22^2)^0.5</f>
        <v>1.301643893812523E-2</v>
      </c>
      <c r="G31" s="3">
        <f t="shared" si="0"/>
        <v>1.3249830718775252E-2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0.14384011941242508</v>
      </c>
      <c r="L33">
        <f>((L30*K18)^2+(K30*L18)^2)^0.5</f>
        <v>5.4328493978235672E-2</v>
      </c>
      <c r="M33" s="3">
        <f t="shared" ref="M33:M34" si="6">L33/K33</f>
        <v>0.37770056226429072</v>
      </c>
    </row>
    <row r="34" spans="3:14" x14ac:dyDescent="0.25">
      <c r="C34" t="s">
        <v>93</v>
      </c>
      <c r="E34">
        <f>1-E31</f>
        <v>1.7614699055686911E-2</v>
      </c>
      <c r="F34">
        <f>F31</f>
        <v>1.301643893812523E-2</v>
      </c>
      <c r="G34" s="3">
        <f t="shared" si="0"/>
        <v>0.73895323996028583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0.61048984099657622</v>
      </c>
      <c r="L36">
        <f>((L33^2)+L27^2)^0.5</f>
        <v>0.12151153177222858</v>
      </c>
      <c r="M36" s="3">
        <f t="shared" ref="M36:M37" si="7">L36/K36</f>
        <v>0.19903940018702138</v>
      </c>
    </row>
    <row r="37" spans="3:14" x14ac:dyDescent="0.25">
      <c r="C37" t="s">
        <v>94</v>
      </c>
      <c r="E37">
        <f>E34*E13</f>
        <v>1.3031518462322908E-2</v>
      </c>
      <c r="F37">
        <f>((F34*E13)^2+(E34*F13)^2)^0.5</f>
        <v>9.6307730136111699E-3</v>
      </c>
      <c r="G37" s="3">
        <f t="shared" si="0"/>
        <v>0.73903690053127202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0.99541681940663596</v>
      </c>
      <c r="F40">
        <f>(F37^2+F31^2)^0.5</f>
        <v>1.6191956999376075E-2</v>
      </c>
      <c r="G40" s="3">
        <f t="shared" si="0"/>
        <v>1.6266509349347782E-2</v>
      </c>
      <c r="I40" s="61"/>
      <c r="J40" s="61" t="s">
        <v>79</v>
      </c>
      <c r="K40" s="61">
        <f>K36*E40</f>
        <v>0.60769185580487484</v>
      </c>
      <c r="L40" s="61">
        <f>((F40*K36)^2+(L36*E40)^2)^0.5</f>
        <v>0.12135787746600013</v>
      </c>
      <c r="M40" s="62">
        <f>L40/K40</f>
        <v>0.19970298483803806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-1.3370296846613192</v>
      </c>
      <c r="I46" t="s">
        <v>132</v>
      </c>
      <c r="K46" s="3">
        <f>ABS(K40-K43)/K43</f>
        <v>0.94745780199205942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0.48425530867897743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2016-04-22T07:28:59Z</dcterms:modified>
</cp:coreProperties>
</file>