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<sst xmlns="http://schemas.openxmlformats.org/spreadsheetml/2006/main" count="680" uniqueCount="172">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</sst>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4.6622125888586649E-2</v>
      </c>
      <c r="S6" s="25">
        <f>Exp2_eq_V_p_sep_C1!C2</f>
        <v>4.1551206532736817E-3</v>
      </c>
      <c r="T6" s="25"/>
      <c r="U6" s="25">
        <f>Exp2_eq_V_p_sep_C1!P7</f>
        <v>4.6622125888586649E-2</v>
      </c>
      <c r="V6" s="27">
        <f>Exp2_eq_V_p_sep_C1!Q7</f>
        <v>4.1551206532736817E-3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0.16661241584307895</v>
      </c>
      <c r="S10" s="25">
        <f>Exp2_eq_V_p_sep_C1!L40</f>
        <v>8.3865974267057757E-3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5.9833532500323701</v>
      </c>
      <c r="S13" s="18">
        <f>((S11/R10)^2+((S10*R11)/(R10^2))^2)^0.5</f>
        <v>0.39167615281725543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4.6622125888586649E-2</v>
      </c>
      <c r="E16" s="25">
        <f>'Exp1'!AO12</f>
        <v>4.1551206532736817E-3</v>
      </c>
      <c r="F16" s="25"/>
      <c r="G16" s="25">
        <f>'Exp1'!AN12</f>
        <v>4.6622125888586649E-2</v>
      </c>
      <c r="H16" s="25">
        <f>'Exp1'!AO12</f>
        <v>4.1551206532736817E-3</v>
      </c>
      <c r="J16" s="22" t="s">
        <v>152</v>
      </c>
      <c r="K16" s="25">
        <f>Exp2_Eq_V_P_Sep_C3!B2</f>
        <v>4.6622125888586649E-2</v>
      </c>
      <c r="L16" s="25">
        <f>Exp2_Eq_V_P_Sep_C3!C2</f>
        <v>4.1078546895752528E-2</v>
      </c>
      <c r="M16" s="25"/>
      <c r="N16" s="25">
        <f>Exp2_Eq_V_P_Sep_C3!P7</f>
        <v>4.6622125888586649E-2</v>
      </c>
      <c r="O16" s="27">
        <f>Exp2_Eq_V_P_Sep_C3!Q7</f>
        <v>4.1551206532736817E-3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4.6622125888586649E-2</v>
      </c>
      <c r="S18" s="25">
        <f>Exp2_Eq_V_P_Sep_C2!C2</f>
        <v>4.1078546895752528E-2</v>
      </c>
      <c r="T18" s="25"/>
      <c r="U18" s="25">
        <f>Exp2_Eq_V_P_Sep_C2!P7</f>
        <v>4.6622125888586649E-2</v>
      </c>
      <c r="V18" s="27">
        <f>Exp2_Eq_V_P_Sep_C2!Q7</f>
        <v>4.1551206532736817E-3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4.2561041752347401E-2</v>
      </c>
      <c r="E20" s="25">
        <f>'Exp1'!AD27</f>
        <v>3.6735448104465189E-3</v>
      </c>
      <c r="F20" s="25"/>
      <c r="G20" s="25"/>
      <c r="H20" s="27"/>
      <c r="J20" s="22" t="s">
        <v>79</v>
      </c>
      <c r="K20" s="25">
        <f>Exp2_Eq_V_P_Sep_C3!K40</f>
        <v>0.16661241584307895</v>
      </c>
      <c r="L20" s="25">
        <f>Exp2_Eq_V_P_Sep_C3!L40</f>
        <v>7.0463791213307217E-2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0.16661241584307895</v>
      </c>
      <c r="S22" s="25">
        <f>Exp2_Eq_V_P_Sep_C2!L40</f>
        <v>7.0463791213307217E-2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19.593441131551188</v>
      </c>
      <c r="E23" s="18">
        <f>'Exp1'!AD33</f>
        <v>2.808261031080896</v>
      </c>
      <c r="F23" s="18"/>
      <c r="G23" s="18"/>
      <c r="H23" s="41"/>
      <c r="J23" s="24" t="s">
        <v>154</v>
      </c>
      <c r="K23" s="18">
        <f>K21/K20</f>
        <v>5.976232176595814</v>
      </c>
      <c r="L23" s="18">
        <f>((L21/K20)^2+((L20*K21)/(K20^2))^2)^0.5</f>
        <v>2.5399456468920998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5.584085090948042</v>
      </c>
      <c r="S25" s="18">
        <f>((S23/R22)^2+((S22*R23)/(R22^2))^2)^0.5</f>
        <v>2.3776409420783629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34.1892</v>
      </c>
      <c r="F4">
        <v>0.49492799999999998</v>
      </c>
      <c r="G4" s="3">
        <v>1.4476150363272612E-2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-0.38964994793677543</v>
      </c>
      <c r="M4" s="8">
        <f>((F8/E5)^2+((F5*E8)/(E5^2))^2)^0.5</f>
        <v>5.1184346940559851E-2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34.1892</v>
      </c>
      <c r="S4">
        <f>(($Q4*$Q$2*E4)^2+(F4*$Q4)^2)^0.5</f>
        <v>1.7796649169953314</v>
      </c>
      <c r="T4" s="3">
        <f>S4/R4</f>
        <v>5.2053423800361848E-2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-0.38964994793677543</v>
      </c>
      <c r="Z4" s="8">
        <f>((S8/R5)^2+((S5*R8)/(R5^2))^2)^0.5</f>
        <v>0.11079473029316425</v>
      </c>
      <c r="AA4" s="42"/>
      <c r="AC4" s="43"/>
      <c r="AE4" s="64">
        <f>Y12/Y11</f>
        <v>14.714011691728032</v>
      </c>
      <c r="AF4" s="61">
        <f>((Z12/Y11)^2+((Y12*Z11)/(Y11^2))^2)^0.5</f>
        <v>1.8099655510822097</v>
      </c>
      <c r="AH4">
        <v>0.961561</v>
      </c>
      <c r="AI4">
        <v>0</v>
      </c>
      <c r="AK4">
        <f>1/S16</f>
        <v>1.4</v>
      </c>
      <c r="AL4">
        <f>T16/S16^2</f>
        <v>1.979898987322333E-2</v>
      </c>
      <c r="AN4">
        <f>AK10*AK4</f>
        <v>21.449043366012734</v>
      </c>
      <c r="AO4">
        <f>((AL10*AK4)^2+(AL4*AK10)^2)^0.5</f>
        <v>1.911610879693932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19.281512178</v>
      </c>
      <c r="F5" s="10">
        <f>((F4*$C5*$B5)^2+($C5*$B$2*E4)^2+($C$2*$B5*E4)^2)^0.5</f>
        <v>0.5058086094139489</v>
      </c>
      <c r="G5" s="3">
        <f>F5/E5</f>
        <v>2.6232828874857186E-2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19.281512178</v>
      </c>
      <c r="S5">
        <f>((S4*$C5*$B5)^2+($C5*$B$2*R4)^2+($C$2*$B5*R4)^2)^0.5</f>
        <v>1.0887075498191323</v>
      </c>
      <c r="T5" s="3">
        <f>S5/R5</f>
        <v>5.6463805316127436E-2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47.511020000000002</v>
      </c>
      <c r="F7">
        <v>0.65467500000000001</v>
      </c>
      <c r="G7" s="3">
        <v>1.3779434750085348E-2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-0.27832139138341105</v>
      </c>
      <c r="M7" s="3">
        <f>((M4*F19)^2+(L4*G19)^2)^0.5</f>
        <v>3.6771514513975943E-2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47.511020000000002</v>
      </c>
      <c r="S7">
        <f>(($Q7*$Q$2*E7)^2+(F7*$Q7)^2)^0.5</f>
        <v>2.4641107745444399</v>
      </c>
      <c r="T7" s="3">
        <f>S7/R7</f>
        <v>5.1863983861942763E-2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-0.27832139138341105</v>
      </c>
      <c r="Z7" s="3">
        <f>((Z4*S19)^2+(Y4*T19)^2)^0.5</f>
        <v>7.9236914445072471E-2</v>
      </c>
      <c r="AA7" s="54" t="s">
        <v>15</v>
      </c>
      <c r="AB7" s="54">
        <f>1/(1+1/V17)</f>
        <v>-0.25044024086503036</v>
      </c>
      <c r="AC7">
        <f>W14/((V14+1)^2)</f>
        <v>0.11079473029316429</v>
      </c>
      <c r="AH7">
        <f>S19</f>
        <v>0.7142857142857143</v>
      </c>
      <c r="AI7">
        <f>T19</f>
        <v>1.0101525445522107E-2</v>
      </c>
      <c r="AK7">
        <f>AH4*AH7</f>
        <v>0.6868292857142857</v>
      </c>
      <c r="AL7">
        <f>((AI7*AH4)^2+(AH7*AI4)^2)^0.5</f>
        <v>9.7132329089216832E-3</v>
      </c>
      <c r="AN7">
        <f>1/AN4</f>
        <v>4.6622125888586649E-2</v>
      </c>
      <c r="AO7">
        <f>AO4/AN4^2</f>
        <v>4.1551206532736817E-3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26.794552394300002</v>
      </c>
      <c r="F8">
        <f>((F7*$C8*$B8)^2+($C8*$B$2*E7)^2+($C$2*$B8*E7)^2)^0.5</f>
        <v>0.69277013560756884</v>
      </c>
      <c r="G8" s="3">
        <f>F8/E8</f>
        <v>2.5854887419389832E-2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26.794552394300002</v>
      </c>
      <c r="S8">
        <f>((S7*$C8*$B8)^2+($C8*$B$2*R7)^2+($C$2*$B8*R7)^2)^0.5</f>
        <v>1.5082441963478426</v>
      </c>
      <c r="T8" s="3">
        <f>S8/R8</f>
        <v>5.6289210364592279E-2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3.5653060000000001</v>
      </c>
      <c r="F10">
        <v>5.5219999999999998E-2</v>
      </c>
      <c r="G10" s="3">
        <v>1.5488151648133427E-2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1.3191632200000001</v>
      </c>
      <c r="S10">
        <f>(($Q10*$Q$2*E10)^2+(F10*$Q10)^2)^0.5</f>
        <v>6.9050134746153263E-2</v>
      </c>
      <c r="T10" s="3">
        <f>S10/R10</f>
        <v>5.2343890201967017E-2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4.2083206049242879E-2</v>
      </c>
      <c r="AI10" s="3">
        <f>Z14</f>
        <v>3.4248574240016275E-3</v>
      </c>
      <c r="AK10">
        <f>AK7/AH10-1</f>
        <v>15.320745261437668</v>
      </c>
      <c r="AL10">
        <f>((AL7/AH10)^2+((AK7*AI10)/(AH10^2))^2)^0.5</f>
        <v>1.3481362537684731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1.82754020254</v>
      </c>
      <c r="F11" s="18">
        <f>((F10*$C11*$B11)^2+($C11*$B$2*E10)^2+($C$2*$B11*E10)^2)^0.5</f>
        <v>4.9547269516363762E-2</v>
      </c>
      <c r="G11" s="20">
        <f>F11/E11</f>
        <v>2.7111452567500662E-2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9.4781995606402908E-2</v>
      </c>
      <c r="M11" s="3">
        <f>((F11/E5)^2+((F5*E11)/(E5^2))^2)^0.5</f>
        <v>3.5756715697727011E-3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0.67618987493979998</v>
      </c>
      <c r="S11" s="18">
        <f>((S10*$C11*$B11)^2+($C11*$B$2*R10)^2+($C$2*$B11*R10)^2)^0.5</f>
        <v>3.8459875803235878E-2</v>
      </c>
      <c r="T11" s="20">
        <f>S11/R11</f>
        <v>5.6877331691279606E-2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3.5069338374369069E-2</v>
      </c>
      <c r="Z11" s="3">
        <f>((S11/R5)^2+((S5*R11)/(R5^2))^2)^0.5</f>
        <v>2.8106258111533014E-3</v>
      </c>
      <c r="AA11" s="27"/>
      <c r="AB11" s="54" t="s">
        <v>19</v>
      </c>
      <c r="AC11" s="54">
        <f>(1/(1+Y25))*AB7</f>
        <v>3.078054068200594E-2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4.6622125888586649E-2</v>
      </c>
      <c r="AO12">
        <f>AO7</f>
        <v>4.1551206532736817E-3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-0.28039431693952277</v>
      </c>
      <c r="J14" s="6">
        <f>((F5/E8)^2+((F8*E5)/(E8^2))^2)^0.5</f>
        <v>2.6504910101174475E-2</v>
      </c>
      <c r="K14" s="22" t="s">
        <v>65</v>
      </c>
      <c r="L14" s="3">
        <f>L11/F23</f>
        <v>0.11373839472768349</v>
      </c>
      <c r="M14" s="3">
        <f>((M11/F23)^2+((L11*G23)/(F23^2))^2)^0.5</f>
        <v>4.5823901644092219E-3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-0.28039431693952277</v>
      </c>
      <c r="W14" s="6">
        <f>((S5/R8)^2+((S8*R5)/(R8^2))^2)^0.5</f>
        <v>5.7373094346880239E-2</v>
      </c>
      <c r="X14" s="22" t="s">
        <v>65</v>
      </c>
      <c r="Y14" s="3">
        <f>Y11/S23</f>
        <v>4.2083206049242879E-2</v>
      </c>
      <c r="Z14" s="3">
        <f>((Z11/S23)^2+((Y11*T23)/(S23^2))^2)^0.5</f>
        <v>3.4248574240016275E-3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-9.1363171444040212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-0.20028165495680197</v>
      </c>
      <c r="J17">
        <f>((J14*F16)^2+(I14*G16)^2)^0.5</f>
        <v>1.9142783236341034E-2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-0.20028165495680197</v>
      </c>
      <c r="W17">
        <f>((W14*S16)^2+(V14*T16)^2)^0.5</f>
        <v>4.1078546895752528E-2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3.8851771573822212E-2</v>
      </c>
      <c r="AO17">
        <f>((AO14*AN12)^2+(AO12*AN14)^2)^0.5</f>
        <v>3.5059227830811683E-3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-0.40865847271868266</v>
      </c>
      <c r="M18">
        <f>((M14/L7)^2+((L14*M7)/(L7^2))^2)^0.5</f>
        <v>5.6446068113930874E-2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-0.15120363490591254</v>
      </c>
      <c r="Z18">
        <f>((Z14/Y7)^2+((Y14*Z7)/(Y7^2))^2)^0.5</f>
        <v>4.4771306032554539E-2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0.96260123663748187</v>
      </c>
      <c r="AO19">
        <f>AO17/((AN17+1)^2)</f>
        <v>3.2485920502756116E-3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4.4545327998874729E-2</v>
      </c>
      <c r="AD20">
        <f>U32/((1+T32)^2)</f>
        <v>3.8406414921826398E-3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-2.4470311195245724</v>
      </c>
      <c r="M22">
        <f>M18/(L18^2)</f>
        <v>0.33799687139896134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-6.6135976203366846</v>
      </c>
      <c r="Z22">
        <f>Z18/(Y18^2)</f>
        <v>1.9582823073037758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0.95545467200112533</v>
      </c>
      <c r="AD24">
        <f>U41/((1+T41)^2)</f>
        <v>3.8406414921826402E-3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-4.1364373434294865</v>
      </c>
      <c r="M25">
        <f>((L22*G25)^2+(M22*F25)^2)^0.5</f>
        <v>0.40771662630199085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-9.1363171444040212</v>
      </c>
      <c r="Z25">
        <f>((Y22*T25)^2+(Z22*S25)^2)^0.5</f>
        <v>2.3526175300940593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21.449043366012734</v>
      </c>
      <c r="W27" s="27">
        <f>AO7/(AN7^2)</f>
        <v>1.911610879693932</v>
      </c>
      <c r="Z27" s="4"/>
      <c r="AB27" s="61" t="s">
        <v>79</v>
      </c>
      <c r="AC27" s="61">
        <f>AC24*AC20</f>
        <v>4.2561041752347401E-2</v>
      </c>
      <c r="AD27" s="61">
        <f>((AD20*AC24)^2+(AD24*AC20)^2)^0.5</f>
        <v>3.6735448104465189E-3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21.449043366012734</v>
      </c>
      <c r="U32" s="25">
        <f>((S$30*W27)^2+(T$30*V27)^2)^0.5</f>
        <v>1.9355279506190624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19.593441131551188</v>
      </c>
      <c r="AD33">
        <f>((AD28/AC27)^2+((AD27*AC28)/(AC27^2))^2)^0.5</f>
        <v>2.808261031080896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4.6622125888586649E-2</v>
      </c>
      <c r="W36" s="27">
        <f>AO12</f>
        <v>4.1551206532736817E-3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4.6622125888586649E-2</v>
      </c>
      <c r="U41" s="25">
        <f>((S$30*W36)^2+(T$30*V36)^2)^0.5</f>
        <v>4.207107339697402E-3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4.6622125888586649E-2</v>
      </c>
      <c r="P26" s="61">
        <f>_xlfn.STDEV.S(Exp2_Act_C1!P7,Exp2_Act_C2!P7)+AVERAGE(Exp2_Act_C2!Q7,Exp2_Act_C1!Q7)</f>
        <v>4.1551206532736817E-3</v>
      </c>
      <c r="Q26" s="62">
        <f>P26/O26</f>
        <v>8.9123363083082358E-2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4.6622125888586649E-2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4.6622125888586642E-2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4.6622125888586649E-2</v>
      </c>
      <c r="C2">
        <f>'Exp1'!AO7</f>
        <v>4.1551206532736817E-3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21.449043366012734</v>
      </c>
      <c r="C5">
        <f>C2/B2^2</f>
        <v>1.911610879693932</v>
      </c>
      <c r="E5">
        <f>B5*F1</f>
        <v>15.320745261437668</v>
      </c>
      <c r="F5">
        <f>((C5*F$1)^2+(G$1*B5)^2)^0.5</f>
        <v>1.3825199647279016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4.6622125888586649E-2</v>
      </c>
      <c r="Q7">
        <f>C2</f>
        <v>4.1551206532736817E-3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6.1271711798773068E-2</v>
      </c>
      <c r="F9">
        <f>F5/((1+E5)^2)</f>
        <v>5.190287788818534E-3</v>
      </c>
      <c r="G9" s="3">
        <f>F9/E9</f>
        <v>8.4709364834857873E-2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4.4402024655796804E-2</v>
      </c>
      <c r="Q10">
        <f>((L$9*P7)^2+(Q7*K$9)^2)^0.5</f>
        <v>4.0067688949499067E-3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4.3765508427695048E-2</v>
      </c>
      <c r="F13">
        <f>((F9*F$1)^2+(E9*G$1)^2)^0.5</f>
        <v>3.7586588375640791E-3</v>
      </c>
      <c r="G13" s="3">
        <f t="shared" si="0"/>
        <v>8.5881758777548667E-2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0.95748569649658588</v>
      </c>
      <c r="K14">
        <f>Q10/((1+P10)^2)</f>
        <v>3.6733210157710444E-3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0.956234491572305</v>
      </c>
      <c r="F16">
        <f>F13</f>
        <v>3.7586588375640791E-3</v>
      </c>
      <c r="G16" s="3">
        <f t="shared" si="0"/>
        <v>3.9306873687267223E-3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0.91189113952055789</v>
      </c>
      <c r="L18">
        <f>((J14*Q$16)^2+(K14*P$16)^2)^0.5</f>
        <v>1.3362181685485815E-2</v>
      </c>
      <c r="M18" s="3">
        <f t="shared" ref="M18:M19" si="1">L18/K18</f>
        <v>1.4653264086446993E-2</v>
      </c>
    </row>
    <row r="19" spans="3:13" x14ac:dyDescent="0.25">
      <c r="C19" t="s">
        <v>87</v>
      </c>
      <c r="E19">
        <f>E16*E13</f>
        <v>4.1850088699760403E-2</v>
      </c>
      <c r="F19">
        <f>((F16*E13)^2+(E16*F13)^2)^0.5</f>
        <v>3.5979217112461497E-3</v>
      </c>
      <c r="G19" s="3">
        <f t="shared" si="0"/>
        <v>8.5971662737879651E-2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8.8108860479442108E-2</v>
      </c>
      <c r="L21">
        <f>L18</f>
        <v>1.3362181685485815E-2</v>
      </c>
      <c r="M21" s="3">
        <f>L21/K21</f>
        <v>0.15165536828845413</v>
      </c>
    </row>
    <row r="22" spans="3:13" x14ac:dyDescent="0.25">
      <c r="C22" t="s">
        <v>89</v>
      </c>
      <c r="E22">
        <f>E19+E13</f>
        <v>8.5615597127455451E-2</v>
      </c>
      <c r="F22">
        <f>((F19^2+F13^2)^0.5)</f>
        <v>5.203129529182891E-3</v>
      </c>
      <c r="G22" s="3">
        <f t="shared" si="0"/>
        <v>6.0773150030560691E-2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8.0345689184456309E-2</v>
      </c>
      <c r="L24">
        <f>((L21*K18)^2+(K21*L18)^2)^0.5</f>
        <v>1.2241600848627854E-2</v>
      </c>
      <c r="M24" s="3">
        <f t="shared" ref="M24:M25" si="3">L24/K24</f>
        <v>0.1523616384760082</v>
      </c>
    </row>
    <row r="25" spans="3:13" x14ac:dyDescent="0.25">
      <c r="C25" t="s">
        <v>90</v>
      </c>
      <c r="E25">
        <f>1-E22</f>
        <v>0.91438440287254452</v>
      </c>
      <c r="F25">
        <f>F22</f>
        <v>5.203129529182891E-3</v>
      </c>
      <c r="G25" s="3">
        <f t="shared" si="0"/>
        <v>5.6903087069696571E-3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0.99223682870501417</v>
      </c>
      <c r="L27">
        <f>((L24^2+L18^2)^0.5)</f>
        <v>1.8121939485967242E-2</v>
      </c>
      <c r="M27" s="3">
        <f t="shared" ref="M27:M28" si="4">L27/K27</f>
        <v>1.8263723903111425E-2</v>
      </c>
    </row>
    <row r="28" spans="3:13" x14ac:dyDescent="0.25">
      <c r="C28" t="s">
        <v>92</v>
      </c>
      <c r="E28">
        <f>E13*E25</f>
        <v>4.0018498290071251E-2</v>
      </c>
      <c r="F28">
        <f>((F25*E13)^2+(E25*F13)^2)^0.5</f>
        <v>3.4443947524698069E-3</v>
      </c>
      <c r="G28" s="3">
        <f t="shared" si="0"/>
        <v>8.6070065085984873E-2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7.7631712949858267E-3</v>
      </c>
      <c r="L30">
        <f>L27</f>
        <v>1.8121939485967242E-2</v>
      </c>
      <c r="M30" s="3">
        <f t="shared" ref="M30:M31" si="5">L30/K30</f>
        <v>2.334347497609909</v>
      </c>
    </row>
    <row r="31" spans="3:13" x14ac:dyDescent="0.25">
      <c r="C31" t="s">
        <v>91</v>
      </c>
      <c r="E31" s="6">
        <f>E28+E22</f>
        <v>0.12563409541752671</v>
      </c>
      <c r="F31">
        <f>((F28^2)+F22^2)^0.5</f>
        <v>6.2399048156439466E-3</v>
      </c>
      <c r="G31" s="3">
        <f t="shared" si="0"/>
        <v>4.9667288126734446E-2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7.0791671184779106E-3</v>
      </c>
      <c r="L33">
        <f>((L30*K18)^2+(K30*L18)^2)^0.5</f>
        <v>1.6525561623247521E-2</v>
      </c>
      <c r="M33" s="3">
        <f t="shared" ref="M33:M34" si="6">L33/K33</f>
        <v>2.3343934881990291</v>
      </c>
    </row>
    <row r="34" spans="3:13" x14ac:dyDescent="0.25">
      <c r="C34" t="s">
        <v>93</v>
      </c>
      <c r="E34">
        <f>1-E31</f>
        <v>0.87436590458247332</v>
      </c>
      <c r="F34">
        <f>F31</f>
        <v>6.2399048156439466E-3</v>
      </c>
      <c r="G34" s="3">
        <f t="shared" si="0"/>
        <v>7.1364914653478193E-3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0.99931599582349206</v>
      </c>
      <c r="L36">
        <f>((L33^2)+L27^2)^0.5</f>
        <v>2.4525474056515398E-2</v>
      </c>
      <c r="M36" s="3">
        <f t="shared" ref="M36:M37" si="7">L36/K36</f>
        <v>2.4542261065585207E-2</v>
      </c>
    </row>
    <row r="37" spans="3:13" x14ac:dyDescent="0.25">
      <c r="C37" t="s">
        <v>94</v>
      </c>
      <c r="E37">
        <f>E34*E13</f>
        <v>3.8267068365893442E-2</v>
      </c>
      <c r="F37">
        <f>((F34*E13)^2+(E34*F13)^2)^0.5</f>
        <v>3.2977701630563473E-3</v>
      </c>
      <c r="G37" s="3">
        <f t="shared" si="0"/>
        <v>8.6177758158123605E-2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0.16390116378342015</v>
      </c>
      <c r="F40">
        <f>(F37^2+F31^2)^0.5</f>
        <v>7.0577404427083603E-3</v>
      </c>
      <c r="G40" s="3">
        <f t="shared" si="0"/>
        <v>4.3060953807713624E-2</v>
      </c>
      <c r="J40" t="s">
        <v>79</v>
      </c>
      <c r="K40">
        <f>K36*E40</f>
        <v>0.16378905470285779</v>
      </c>
      <c r="L40">
        <f>((F40*K36)^2+(L36*E40)^2)^0.5</f>
        <v>8.1180047284792837E-3</v>
      </c>
      <c r="M40" s="3">
        <f>L40/K40</f>
        <v>4.9563780334447714E-2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1.5522926917105173</v>
      </c>
      <c r="I46" t="s">
        <v>132</v>
      </c>
      <c r="K46" s="3">
        <f>ABS(K40-K43)/K43</f>
        <v>0.79459603677564949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0.39729801838857259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4.6622125888586649E-2</v>
      </c>
      <c r="C2">
        <f>'Exp1'!AO7</f>
        <v>4.1551206532736817E-3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21.449043366012734</v>
      </c>
      <c r="C5">
        <f>C2/B2^2</f>
        <v>1.911610879693932</v>
      </c>
      <c r="E5">
        <f>B5*F1</f>
        <v>15.320745261437668</v>
      </c>
      <c r="F5">
        <f>((C5*F$1)^2+(G$1*B5)^2)^0.5</f>
        <v>1.3825199647279016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4.6622125888586649E-2</v>
      </c>
      <c r="Q7">
        <f>'Exp1'!AO12</f>
        <v>4.1551206532736817E-3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6.1271711798773068E-2</v>
      </c>
      <c r="F9">
        <f>F5/((1+E5)^2)</f>
        <v>5.190287788818534E-3</v>
      </c>
      <c r="G9" s="3">
        <f>F9/E9</f>
        <v>8.4709364834857873E-2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4.4402024655796804E-2</v>
      </c>
      <c r="Q10">
        <f>((L$9*P7)^2+(Q7*K$9)^2)^0.5</f>
        <v>4.0067688949499067E-3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4.3765508427695048E-2</v>
      </c>
      <c r="F13">
        <f>((F9*F$1)^2+(E9*G$1)^2)^0.5</f>
        <v>3.7586588375640791E-3</v>
      </c>
      <c r="G13" s="3">
        <f t="shared" si="0"/>
        <v>8.5881758777548667E-2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0.95748569649658588</v>
      </c>
      <c r="K14">
        <f>Q10/((1+P10)^2)</f>
        <v>3.6733210157710444E-3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0.956234491572305</v>
      </c>
      <c r="F16">
        <f>F13</f>
        <v>3.7586588375640791E-3</v>
      </c>
      <c r="G16" s="3">
        <f t="shared" si="0"/>
        <v>3.9306873687267223E-3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0.84868050371288284</v>
      </c>
      <c r="L18">
        <f>((J14*Q$16)^2+(K14*P$16)^2)^0.5</f>
        <v>1.2754809790691006E-2</v>
      </c>
      <c r="M18" s="3">
        <f>L18/K18</f>
        <v>1.5028988806612301E-2</v>
      </c>
      <c r="P18" t="s">
        <v>136</v>
      </c>
      <c r="S18">
        <f>J14*P16*(1-P19)</f>
        <v>2.1761038556740605E-2</v>
      </c>
      <c r="T18">
        <f>((J14*Q$16)^2+(K14*P$16)^2)^0.5</f>
        <v>1.2754809790691006E-2</v>
      </c>
      <c r="U18">
        <f>L18/K18</f>
        <v>1.5028988806612301E-2</v>
      </c>
    </row>
    <row r="19" spans="3:21" x14ac:dyDescent="0.25">
      <c r="C19" t="s">
        <v>87</v>
      </c>
      <c r="E19">
        <f>E16*E13</f>
        <v>4.1850088699760403E-2</v>
      </c>
      <c r="F19">
        <f>((F16*E13)^2+(E16*F13)^2)^0.5</f>
        <v>3.5979217112461497E-3</v>
      </c>
      <c r="G19" s="3">
        <f t="shared" si="0"/>
        <v>8.5971662737879651E-2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0.12955845773037655</v>
      </c>
      <c r="L21">
        <f>L18</f>
        <v>1.2754809790691006E-2</v>
      </c>
      <c r="M21" s="3">
        <f>L21/K21</f>
        <v>9.8448299046867138E-2</v>
      </c>
    </row>
    <row r="22" spans="3:21" x14ac:dyDescent="0.25">
      <c r="C22" t="s">
        <v>89</v>
      </c>
      <c r="E22">
        <f>E19+E13</f>
        <v>8.5615597127455451E-2</v>
      </c>
      <c r="F22">
        <f>((F19^2+F13^2)^0.5)</f>
        <v>5.203129529182891E-3</v>
      </c>
      <c r="G22" s="3">
        <f t="shared" si="0"/>
        <v>6.0773150030560691E-2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0.10995373716688021</v>
      </c>
      <c r="L24">
        <f>((L21*K18)^2+(K21*L18)^2)^0.5</f>
        <v>1.0950165710702583E-2</v>
      </c>
      <c r="M24" s="3">
        <f t="shared" ref="M24:M25" si="2">L24/K24</f>
        <v>9.9588845207536469E-2</v>
      </c>
    </row>
    <row r="25" spans="3:21" x14ac:dyDescent="0.25">
      <c r="C25" t="s">
        <v>90</v>
      </c>
      <c r="E25">
        <f>1-E22</f>
        <v>0.91438440287254452</v>
      </c>
      <c r="F25">
        <f>F22</f>
        <v>5.203129529182891E-3</v>
      </c>
      <c r="G25" s="3">
        <f t="shared" si="0"/>
        <v>5.6903087069696571E-3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0.95863424087976301</v>
      </c>
      <c r="L27">
        <f>((L24^2+L18^2)^0.5)</f>
        <v>1.6810452161930497E-2</v>
      </c>
      <c r="M27" s="3">
        <f t="shared" ref="M27:M28" si="3">L27/K27</f>
        <v>1.7535835300962251E-2</v>
      </c>
    </row>
    <row r="28" spans="3:21" x14ac:dyDescent="0.25">
      <c r="C28" t="s">
        <v>92</v>
      </c>
      <c r="E28">
        <f>E13*E25</f>
        <v>4.0018498290071251E-2</v>
      </c>
      <c r="F28">
        <f>((F25*E13)^2+(E25*F13)^2)^0.5</f>
        <v>3.4443947524698069E-3</v>
      </c>
      <c r="G28" s="3">
        <f t="shared" si="0"/>
        <v>8.6070065085984873E-2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4.1365759120236989E-2</v>
      </c>
      <c r="L30">
        <f>L27</f>
        <v>1.6810452161930497E-2</v>
      </c>
      <c r="M30" s="3">
        <f t="shared" ref="M30:M31" si="4">L30/K30</f>
        <v>0.40638568031757633</v>
      </c>
    </row>
    <row r="31" spans="3:21" x14ac:dyDescent="0.25">
      <c r="C31" t="s">
        <v>91</v>
      </c>
      <c r="E31" s="6">
        <f>E28+E22</f>
        <v>0.12563409541752671</v>
      </c>
      <c r="F31">
        <f>((F28^2)+F22^2)^0.5</f>
        <v>6.2399048156439466E-3</v>
      </c>
      <c r="G31" s="3">
        <f t="shared" si="0"/>
        <v>4.9667288126734446E-2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3.5106313286628506E-2</v>
      </c>
      <c r="L33">
        <f>((L30*K18)^2+(K30*L18)^2)^0.5</f>
        <v>1.427645577740423E-2</v>
      </c>
      <c r="M33" s="3">
        <f t="shared" ref="M33:M34" si="5">L33/K33</f>
        <v>0.40666348701565108</v>
      </c>
    </row>
    <row r="34" spans="3:13" x14ac:dyDescent="0.25">
      <c r="C34" t="s">
        <v>93</v>
      </c>
      <c r="E34">
        <f>1-E31</f>
        <v>0.87436590458247332</v>
      </c>
      <c r="F34">
        <f>F31</f>
        <v>6.2399048156439466E-3</v>
      </c>
      <c r="G34" s="3">
        <f t="shared" si="0"/>
        <v>7.1364914653478193E-3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0.99374055416639151</v>
      </c>
      <c r="L36">
        <f>((L33^2)+L27^2)^0.5</f>
        <v>2.2054670513356855E-2</v>
      </c>
      <c r="M36" s="3">
        <f t="shared" ref="M36:M37" si="6">L36/K36</f>
        <v>2.2193590088368308E-2</v>
      </c>
    </row>
    <row r="37" spans="3:13" x14ac:dyDescent="0.25">
      <c r="C37" t="s">
        <v>94</v>
      </c>
      <c r="E37">
        <f>E34*E13</f>
        <v>3.8267068365893442E-2</v>
      </c>
      <c r="F37">
        <f>((F34*E13)^2+(E34*F13)^2)^0.5</f>
        <v>3.2977701630563473E-3</v>
      </c>
      <c r="G37" s="3">
        <f t="shared" si="0"/>
        <v>8.6177758158123605E-2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0.16390116378342015</v>
      </c>
      <c r="F40">
        <f>(F37^2+F31^2)^0.5</f>
        <v>7.0577404427083603E-3</v>
      </c>
      <c r="G40" s="3">
        <f t="shared" si="0"/>
        <v>4.3060953807713624E-2</v>
      </c>
      <c r="J40" t="s">
        <v>79</v>
      </c>
      <c r="K40">
        <f>K36*E40</f>
        <v>0.16287523332665244</v>
      </c>
      <c r="L40">
        <f>((F40*K36)^2+(L36*E40)^2)^0.5</f>
        <v>7.8902942622854112E-3</v>
      </c>
      <c r="M40" s="3">
        <f>L40/K40</f>
        <v>4.8443794069422008E-2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1.5522926917105173</v>
      </c>
      <c r="I46" t="s">
        <v>132</v>
      </c>
      <c r="K46" s="3">
        <f>ABS(K40-K43)/K43</f>
        <v>0.98805368592304477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0.49402684296589844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4.6622125888586649E-2</v>
      </c>
      <c r="C2">
        <f>'Exp1'!AO7</f>
        <v>4.1551206532736817E-3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21.449043366012734</v>
      </c>
      <c r="C5">
        <f>C2/B2^2</f>
        <v>1.911610879693932</v>
      </c>
      <c r="E5">
        <f>B5*F1</f>
        <v>15.320745261437668</v>
      </c>
      <c r="F5">
        <f>((C5*F$1)^2+(G$1*B5)^2)^0.5</f>
        <v>1.3825199647279016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4.6622125888586649E-2</v>
      </c>
      <c r="Q7">
        <f>'Exp1'!AO12</f>
        <v>4.1551206532736817E-3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6.1271711798773068E-2</v>
      </c>
      <c r="F9">
        <f>F5/((1+E5)^2)</f>
        <v>5.190287788818534E-3</v>
      </c>
      <c r="G9" s="3">
        <f>F9/E9</f>
        <v>8.4709364834857873E-2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4.4402024655796804E-2</v>
      </c>
      <c r="Q10">
        <f>((L$9*P7)^2+(Q7*K$9)^2)^0.5</f>
        <v>4.0067688949499067E-3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4.3765508427695048E-2</v>
      </c>
      <c r="F13">
        <f>((F9*F$1)^2+(E9*G$1)^2)^0.5</f>
        <v>3.7586588375640791E-3</v>
      </c>
      <c r="G13" s="3">
        <f t="shared" si="0"/>
        <v>8.5881758777548667E-2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0.95748569649658588</v>
      </c>
      <c r="K14">
        <f>Q10/((1+P10)^2)</f>
        <v>3.6733210157710444E-3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0.956234491572305</v>
      </c>
      <c r="F16">
        <f>F13</f>
        <v>3.7586588375640791E-3</v>
      </c>
      <c r="G16" s="3">
        <f t="shared" si="0"/>
        <v>3.9306873687267223E-3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0.87044154226962345</v>
      </c>
      <c r="L18">
        <f>((J14*Q$16)^2+(K14*P$16)^2)^0.5</f>
        <v>1.2754809790691006E-2</v>
      </c>
      <c r="M18" s="3">
        <f t="shared" ref="M18:M19" si="1">L18/K18</f>
        <v>1.4653264086446995E-2</v>
      </c>
    </row>
    <row r="19" spans="3:13" x14ac:dyDescent="0.25">
      <c r="C19" t="s">
        <v>87</v>
      </c>
      <c r="E19">
        <f>E16*E13</f>
        <v>4.1850088699760403E-2</v>
      </c>
      <c r="F19">
        <f>((F16*E13)^2+(E16*F13)^2)^0.5</f>
        <v>3.5979217112461497E-3</v>
      </c>
      <c r="G19" s="3">
        <f t="shared" si="0"/>
        <v>8.5971662737879651E-2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0.12955845773037655</v>
      </c>
      <c r="L21">
        <f>L18</f>
        <v>1.2754809790691006E-2</v>
      </c>
      <c r="M21" s="3">
        <f>L21/K21</f>
        <v>9.8448299046867138E-2</v>
      </c>
    </row>
    <row r="22" spans="3:13" x14ac:dyDescent="0.25">
      <c r="C22" t="s">
        <v>89</v>
      </c>
      <c r="E22">
        <f>E19+E13</f>
        <v>8.5615597127455451E-2</v>
      </c>
      <c r="F22">
        <f>((F19^2+F13^2)^0.5)</f>
        <v>5.203129529182891E-3</v>
      </c>
      <c r="G22" s="3">
        <f t="shared" si="0"/>
        <v>6.0773150030560691E-2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0.11277306376090278</v>
      </c>
      <c r="L24">
        <f>((L21*K18)^2+(K21*L18)^2)^0.5</f>
        <v>1.1224623025616231E-2</v>
      </c>
      <c r="M24" s="3">
        <f t="shared" ref="M24:M25" si="3">L24/K24</f>
        <v>9.9532837463866861E-2</v>
      </c>
    </row>
    <row r="25" spans="3:13" x14ac:dyDescent="0.25">
      <c r="C25" t="s">
        <v>90</v>
      </c>
      <c r="E25">
        <f>1-E22</f>
        <v>0.91438440287254452</v>
      </c>
      <c r="F25">
        <f>F22</f>
        <v>5.203129529182891E-3</v>
      </c>
      <c r="G25" s="3">
        <f t="shared" si="0"/>
        <v>5.6903087069696571E-3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0.98321460603052624</v>
      </c>
      <c r="L27">
        <f>((L24^2+L18^2)^0.5)</f>
        <v>1.6990507198547701E-2</v>
      </c>
      <c r="M27" s="3">
        <f t="shared" ref="M27:M28" si="4">L27/K27</f>
        <v>1.7280568346256027E-2</v>
      </c>
    </row>
    <row r="28" spans="3:13" x14ac:dyDescent="0.25">
      <c r="C28" t="s">
        <v>92</v>
      </c>
      <c r="E28">
        <f>E13*E25</f>
        <v>4.0018498290071251E-2</v>
      </c>
      <c r="F28">
        <f>((F25*E13)^2+(E25*F13)^2)^0.5</f>
        <v>3.4443947524698069E-3</v>
      </c>
      <c r="G28" s="3">
        <f t="shared" si="0"/>
        <v>8.6070065085984873E-2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1.6785393969473761E-2</v>
      </c>
      <c r="L30">
        <f>L27</f>
        <v>1.6990507198547701E-2</v>
      </c>
      <c r="M30" s="3">
        <f t="shared" ref="M30:M31" si="5">L30/K30</f>
        <v>1.0122197447046499</v>
      </c>
    </row>
    <row r="31" spans="3:13" x14ac:dyDescent="0.25">
      <c r="C31" t="s">
        <v>91</v>
      </c>
      <c r="E31" s="6">
        <f>E28+E22</f>
        <v>0.12563409541752671</v>
      </c>
      <c r="F31">
        <f>((F28^2)+F22^2)^0.5</f>
        <v>6.2399048156439466E-3</v>
      </c>
      <c r="G31" s="3">
        <f t="shared" si="0"/>
        <v>4.9667288126734446E-2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1.4610704214391977E-2</v>
      </c>
      <c r="L33">
        <f>((L30*K18)^2+(K30*L18)^2)^0.5</f>
        <v>1.4790792863952854E-2</v>
      </c>
      <c r="M33" s="3">
        <f t="shared" ref="M33:M34" si="6">L33/K33</f>
        <v>1.0123258021597266</v>
      </c>
    </row>
    <row r="34" spans="3:14" x14ac:dyDescent="0.25">
      <c r="C34" t="s">
        <v>93</v>
      </c>
      <c r="E34">
        <f>1-E31</f>
        <v>0.87436590458247332</v>
      </c>
      <c r="F34">
        <f>F31</f>
        <v>6.2399048156439466E-3</v>
      </c>
      <c r="G34" s="3">
        <f t="shared" si="0"/>
        <v>7.1364914653478193E-3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0.99782531024491816</v>
      </c>
      <c r="L36">
        <f>((L33^2)+L27^2)^0.5</f>
        <v>2.2526537426072829E-2</v>
      </c>
      <c r="M36" s="3">
        <f t="shared" ref="M36:M37" si="7">L36/K36</f>
        <v>2.2575632422616787E-2</v>
      </c>
    </row>
    <row r="37" spans="3:14" x14ac:dyDescent="0.25">
      <c r="C37" t="s">
        <v>94</v>
      </c>
      <c r="E37">
        <f>E34*E13</f>
        <v>3.8267068365893442E-2</v>
      </c>
      <c r="F37">
        <f>((F34*E13)^2+(E34*F13)^2)^0.5</f>
        <v>3.2977701630563473E-3</v>
      </c>
      <c r="G37" s="3">
        <f t="shared" si="0"/>
        <v>8.6177758158123605E-2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0.16390116378342015</v>
      </c>
      <c r="F40">
        <f>(F37^2+F31^2)^0.5</f>
        <v>7.0577404427083603E-3</v>
      </c>
      <c r="G40" s="3">
        <f t="shared" si="0"/>
        <v>4.3060953807713624E-2</v>
      </c>
      <c r="J40" t="s">
        <v>79</v>
      </c>
      <c r="K40">
        <f>K36*E40</f>
        <v>0.16354472960169436</v>
      </c>
      <c r="L40">
        <f>((F40*K36)^2+(L36*E40)^2)^0.5</f>
        <v>7.951545631355755E-3</v>
      </c>
      <c r="M40" s="3">
        <f>L40/K40</f>
        <v>4.8620005369304026E-2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-1.0554938960931737</v>
      </c>
      <c r="I46" t="s">
        <v>132</v>
      </c>
      <c r="K46" s="3">
        <f>ABS(K40-K43)/K43</f>
        <v>0.98585961045256054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0.4929298052606208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4.6622125888586649E-2</v>
      </c>
      <c r="C2">
        <f>Exp2_Act_C1!C2</f>
        <v>4.1551206532736817E-3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-0.61460078569638776</v>
      </c>
      <c r="J3">
        <f>AVERAGE(I3:I4)</f>
        <v>-0.31036655930708429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21.449043366012734</v>
      </c>
      <c r="C5">
        <f>C2/B2^2</f>
        <v>1.911610879693932</v>
      </c>
      <c r="E5">
        <f>B5*F1</f>
        <v>21.449043366012734</v>
      </c>
      <c r="F5">
        <f>((C5*F$1)^2+(G$1*B5)^2)^0.5</f>
        <v>1.9238506185349686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4.6622125888586649E-2</v>
      </c>
      <c r="Q7">
        <f>C2</f>
        <v>4.1551206532736817E-3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4.4545327998874729E-2</v>
      </c>
      <c r="F9">
        <f>F5/((1+E5)^2)</f>
        <v>3.8174703227320402E-3</v>
      </c>
      <c r="G9" s="3">
        <f>F9/E9</f>
        <v>8.5698556823478197E-2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4.4402024655796804E-2</v>
      </c>
      <c r="Q10">
        <f>((L$9*P7)^2+(Q7*K$9)^2)^0.5</f>
        <v>4.0067688949499067E-3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4.4545327998874729E-2</v>
      </c>
      <c r="F13">
        <f>((F9*F$1)^2+(E9*G$1)^2)^0.5</f>
        <v>3.8438987829235338E-3</v>
      </c>
      <c r="G13" s="3">
        <f t="shared" si="0"/>
        <v>8.6291850472413972E-2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0.95748569649658588</v>
      </c>
      <c r="K14">
        <f>Q10/((1+P10)^2)</f>
        <v>3.6733210157710444E-3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0.95545467200112522</v>
      </c>
      <c r="F16">
        <f>F13</f>
        <v>3.8438987829235338E-3</v>
      </c>
      <c r="G16" s="3">
        <f t="shared" si="0"/>
        <v>4.02310951588398E-3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0.95748569649658588</v>
      </c>
      <c r="L18">
        <f>((J14*Q$16)^2+(K14*P$16)^2)^0.5</f>
        <v>1.3409040881141558E-2</v>
      </c>
      <c r="M18" s="3">
        <f t="shared" ref="M18:M19" si="1">L18/K18</f>
        <v>1.4004429444956591E-2</v>
      </c>
    </row>
    <row r="19" spans="3:13" x14ac:dyDescent="0.25">
      <c r="C19" t="s">
        <v>87</v>
      </c>
      <c r="E19">
        <f>E16*E13</f>
        <v>4.2561041752347394E-2</v>
      </c>
      <c r="F19">
        <f>((F16*E13)^2+(E16*F13)^2)^0.5</f>
        <v>3.6766603846342377E-3</v>
      </c>
      <c r="G19" s="3">
        <f t="shared" si="0"/>
        <v>8.6385582524691293E-2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4.2514303503414119E-2</v>
      </c>
      <c r="L21">
        <f>L18</f>
        <v>1.3409040881141558E-2</v>
      </c>
      <c r="M21" s="3">
        <f>L21/K21</f>
        <v>0.31540069520519703</v>
      </c>
    </row>
    <row r="22" spans="3:13" x14ac:dyDescent="0.25">
      <c r="C22" t="s">
        <v>89</v>
      </c>
      <c r="E22">
        <f>E19+E13</f>
        <v>8.7106369751222129E-2</v>
      </c>
      <c r="F22">
        <f>((F19^2+F13^2)^0.5)</f>
        <v>5.3191530751896775E-3</v>
      </c>
      <c r="G22" s="3">
        <f t="shared" si="0"/>
        <v>6.1065029921248071E-2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4.070683750103371E-2</v>
      </c>
      <c r="L24">
        <f>((L21*K18)^2+(K21*L18)^2)^0.5</f>
        <v>1.2851614880542464E-2</v>
      </c>
      <c r="M24" s="3">
        <f t="shared" ref="M24:M25" si="3">L24/K24</f>
        <v>0.31571145462273043</v>
      </c>
    </row>
    <row r="25" spans="3:13" x14ac:dyDescent="0.25">
      <c r="C25" t="s">
        <v>90</v>
      </c>
      <c r="E25">
        <f>1-E22</f>
        <v>0.9128936302487779</v>
      </c>
      <c r="F25">
        <f>F22</f>
        <v>5.3191530751896775E-3</v>
      </c>
      <c r="G25" s="3">
        <f t="shared" si="0"/>
        <v>5.8266953552300769E-3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0.99819253399761965</v>
      </c>
      <c r="L27">
        <f>((L24^2+L18^2)^0.5)</f>
        <v>1.8573270643317135E-2</v>
      </c>
      <c r="M27" s="3">
        <f t="shared" ref="M27:M28" si="4">L27/K27</f>
        <v>1.8606901986066574E-2</v>
      </c>
    </row>
    <row r="28" spans="3:13" x14ac:dyDescent="0.25">
      <c r="C28" t="s">
        <v>92</v>
      </c>
      <c r="E28">
        <f>E13*E25</f>
        <v>4.066514618751528E-2</v>
      </c>
      <c r="F28">
        <f>((F25*E13)^2+(E25*F13)^2)^0.5</f>
        <v>3.5170611966738063E-3</v>
      </c>
      <c r="G28" s="3">
        <f t="shared" si="0"/>
        <v>8.6488345091787447E-2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1.8074660023803535E-3</v>
      </c>
      <c r="L30">
        <f>L27</f>
        <v>1.8573270643317135E-2</v>
      </c>
      <c r="M30" s="3">
        <f t="shared" ref="M30:M31" si="5">L30/K30</f>
        <v>10.275861686392414</v>
      </c>
    </row>
    <row r="31" spans="3:13" x14ac:dyDescent="0.25">
      <c r="C31" t="s">
        <v>91</v>
      </c>
      <c r="E31" s="6">
        <f>E28+E22</f>
        <v>0.12777151593873742</v>
      </c>
      <c r="F31">
        <f>((F28^2)+F22^2)^0.5</f>
        <v>6.3767631991825122E-3</v>
      </c>
      <c r="G31" s="3">
        <f t="shared" si="0"/>
        <v>4.9907549052168855E-2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1.7306228441830525E-3</v>
      </c>
      <c r="L33">
        <f>((L30*K18)^2+(K30*L18)^2)^0.5</f>
        <v>1.7783657493373638E-2</v>
      </c>
      <c r="M33" s="3">
        <f t="shared" ref="M33:M34" si="6">L33/K33</f>
        <v>10.275871229336792</v>
      </c>
    </row>
    <row r="34" spans="3:13" x14ac:dyDescent="0.25">
      <c r="C34" t="s">
        <v>93</v>
      </c>
      <c r="E34">
        <f>1-E31</f>
        <v>0.87222848406126263</v>
      </c>
      <c r="F34">
        <f>F31</f>
        <v>6.3767631991825122E-3</v>
      </c>
      <c r="G34" s="3">
        <f t="shared" si="0"/>
        <v>7.3108862135424458E-3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0.99992315684180266</v>
      </c>
      <c r="L36">
        <f>((L33^2)+L27^2)^0.5</f>
        <v>2.5714292839421629E-2</v>
      </c>
      <c r="M36" s="3">
        <f t="shared" ref="M36:M37" si="7">L36/K36</f>
        <v>2.5716268958745472E-2</v>
      </c>
    </row>
    <row r="37" spans="3:13" x14ac:dyDescent="0.25">
      <c r="C37" t="s">
        <v>94</v>
      </c>
      <c r="E37">
        <f>E34*E13</f>
        <v>3.8853703912470221E-2</v>
      </c>
      <c r="F37">
        <f>((F34*E13)^2+(E34*F13)^2)^0.5</f>
        <v>3.3647694586767876E-3</v>
      </c>
      <c r="G37" s="3">
        <f t="shared" si="0"/>
        <v>8.6600996040350584E-2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0.16662521985120765</v>
      </c>
      <c r="F40">
        <f>(F37^2+F31^2)^0.5</f>
        <v>7.2100473235959051E-3</v>
      </c>
      <c r="G40" s="3">
        <f t="shared" si="0"/>
        <v>4.3271044623582826E-2</v>
      </c>
      <c r="J40" t="s">
        <v>79</v>
      </c>
      <c r="K40" s="59">
        <f>K36*E40</f>
        <v>0.16661241584307895</v>
      </c>
      <c r="L40" s="59">
        <f>((F40*K36)^2+(L36*E40)^2)^0.5</f>
        <v>8.3865974267057757E-3</v>
      </c>
      <c r="M40" s="3">
        <f>L40/K40</f>
        <v>5.0335969166935009E-2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1.594712087846172</v>
      </c>
      <c r="I46" t="s">
        <v>132</v>
      </c>
      <c r="K46" s="3">
        <f>ABS(K40-K43)/K43</f>
        <v>0.7910553266294974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0.40302072036646369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4.6622125888586649E-2</v>
      </c>
      <c r="C2">
        <f>'Exp1'!W17</f>
        <v>4.1078546895752528E-2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21.449043366012734</v>
      </c>
      <c r="C5">
        <f>C2/B2^2</f>
        <v>18.898656313642718</v>
      </c>
      <c r="E5">
        <f>B5*F1</f>
        <v>21.449043366012734</v>
      </c>
      <c r="F5">
        <f>((C5*F$1)^2+(G$1*B5)^2)^0.5</f>
        <v>18.89989829359568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4.6622125888586649E-2</v>
      </c>
      <c r="Q7">
        <f>Exp2_Act_C2!Q7</f>
        <v>4.1551206532736817E-3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4.4545327998874729E-2</v>
      </c>
      <c r="F9">
        <f>F5/((1+E5)^2)</f>
        <v>3.7502808244747311E-2</v>
      </c>
      <c r="G9" s="3">
        <f>F9/E9</f>
        <v>0.84190216863359224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4.4402024655796804E-2</v>
      </c>
      <c r="Q10">
        <f>((L$9*P7)^2+(Q7*K$9)^2)^0.5</f>
        <v>4.0067688949499067E-3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4.4545327998874729E-2</v>
      </c>
      <c r="F13">
        <f>((F9*F$1)^2+(E9*G$1)^2)^0.5</f>
        <v>3.7505507654619318E-2</v>
      </c>
      <c r="G13" s="3">
        <f t="shared" si="0"/>
        <v>0.8419627678028716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0.95748569649658588</v>
      </c>
      <c r="K14">
        <f>Q10/((1+P10)^2)</f>
        <v>3.6733210157710444E-3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0.95545467200112522</v>
      </c>
      <c r="F16">
        <f>F13</f>
        <v>3.7505507654619318E-2</v>
      </c>
      <c r="G16" s="3">
        <f t="shared" si="0"/>
        <v>3.925409415400833E-2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0.95748569649658588</v>
      </c>
      <c r="L18">
        <f>((J14*Q$16)^2+(K14*P$16)^2)^0.5</f>
        <v>1.2846282847059276E-2</v>
      </c>
      <c r="M18" s="3">
        <f t="shared" ref="M18:M19" si="1">L18/K18</f>
        <v>1.341668381476974E-2</v>
      </c>
    </row>
    <row r="19" spans="3:13" x14ac:dyDescent="0.25">
      <c r="C19" t="s">
        <v>87</v>
      </c>
      <c r="E19">
        <f>E16*E13</f>
        <v>4.2561041752347394E-2</v>
      </c>
      <c r="F19">
        <f>((F16*E13)^2+(E16*F13)^2)^0.5</f>
        <v>3.587373705362161E-2</v>
      </c>
      <c r="G19" s="3">
        <f t="shared" si="0"/>
        <v>0.84287732575631902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4.2514303503414119E-2</v>
      </c>
      <c r="L21">
        <f>L18</f>
        <v>1.2846282847059276E-2</v>
      </c>
      <c r="M21" s="3">
        <f>L21/K21</f>
        <v>0.30216378461963167</v>
      </c>
    </row>
    <row r="22" spans="3:13" x14ac:dyDescent="0.25">
      <c r="C22" t="s">
        <v>89</v>
      </c>
      <c r="E22">
        <f>E19+E13</f>
        <v>8.7106369751222129E-2</v>
      </c>
      <c r="F22">
        <f>((F19^2+F13^2)^0.5)</f>
        <v>5.1899789157790345E-2</v>
      </c>
      <c r="G22" s="3">
        <f t="shared" si="0"/>
        <v>0.59582082580203244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4.070683750103371E-2</v>
      </c>
      <c r="L24">
        <f>((L21*K18)^2+(K21*L18)^2)^0.5</f>
        <v>1.2312251208743371E-2</v>
      </c>
      <c r="M24" s="3">
        <f t="shared" ref="M24:M25" si="3">L24/K24</f>
        <v>0.30246150191428439</v>
      </c>
    </row>
    <row r="25" spans="3:13" x14ac:dyDescent="0.25">
      <c r="C25" t="s">
        <v>90</v>
      </c>
      <c r="E25">
        <f>1-E22</f>
        <v>0.9128936302487779</v>
      </c>
      <c r="F25">
        <f>F22</f>
        <v>5.1899789157790345E-2</v>
      </c>
      <c r="G25" s="3">
        <f t="shared" si="0"/>
        <v>5.6851956721011225E-2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0.99819253399761965</v>
      </c>
      <c r="L27">
        <f>((L24^2+L18^2)^0.5)</f>
        <v>1.7793777362152534E-2</v>
      </c>
      <c r="M27" s="3">
        <f t="shared" ref="M27:M28" si="4">L27/K27</f>
        <v>1.7825997246133447E-2</v>
      </c>
    </row>
    <row r="28" spans="3:13" x14ac:dyDescent="0.25">
      <c r="C28" t="s">
        <v>92</v>
      </c>
      <c r="E28">
        <f>E13*E25</f>
        <v>4.066514618751528E-2</v>
      </c>
      <c r="F28">
        <f>((F25*E13)^2+(E25*F13)^2)^0.5</f>
        <v>3.4316503394839271E-2</v>
      </c>
      <c r="G28" s="3">
        <f t="shared" si="0"/>
        <v>0.84387999582243911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1.8074660023803535E-3</v>
      </c>
      <c r="L30">
        <f>L27</f>
        <v>1.7793777362152534E-2</v>
      </c>
      <c r="M30" s="3">
        <f t="shared" ref="M30:M31" si="5">L30/K30</f>
        <v>9.844598647343247</v>
      </c>
    </row>
    <row r="31" spans="3:13" x14ac:dyDescent="0.25">
      <c r="C31" t="s">
        <v>91</v>
      </c>
      <c r="E31" s="6">
        <f>E28+E22</f>
        <v>0.12777151593873742</v>
      </c>
      <c r="F31">
        <f>((F28^2)+F22^2)^0.5</f>
        <v>6.2219052707921448E-2</v>
      </c>
      <c r="G31" s="3">
        <f t="shared" si="0"/>
        <v>0.48695558044215115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1.7306228441830525E-3</v>
      </c>
      <c r="L33">
        <f>((L30*K18)^2+(K30*L18)^2)^0.5</f>
        <v>1.7037303133022732E-2</v>
      </c>
      <c r="M33" s="3">
        <f t="shared" ref="M33:M34" si="6">L33/K33</f>
        <v>9.8446077897840638</v>
      </c>
    </row>
    <row r="34" spans="3:13" x14ac:dyDescent="0.25">
      <c r="C34" t="s">
        <v>93</v>
      </c>
      <c r="E34">
        <f>1-E31</f>
        <v>0.87222848406126263</v>
      </c>
      <c r="F34">
        <f>F31</f>
        <v>6.2219052707921448E-2</v>
      </c>
      <c r="G34" s="3">
        <f t="shared" si="0"/>
        <v>7.1333433664327997E-2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0.99992315684180266</v>
      </c>
      <c r="L36">
        <f>((L33^2)+L27^2)^0.5</f>
        <v>2.4635101194441199E-2</v>
      </c>
      <c r="M36" s="3">
        <f t="shared" ref="M36:M37" si="7">L36/K36</f>
        <v>2.4636994378897763E-2</v>
      </c>
    </row>
    <row r="37" spans="3:13" x14ac:dyDescent="0.25">
      <c r="C37" t="s">
        <v>94</v>
      </c>
      <c r="E37">
        <f>E34*E13</f>
        <v>3.8853703912470221E-2</v>
      </c>
      <c r="F37">
        <f>((F34*E13)^2+(E34*F13)^2)^0.5</f>
        <v>3.2830569641703798E-2</v>
      </c>
      <c r="G37" s="3">
        <f t="shared" si="0"/>
        <v>0.84497914833717358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0.16662521985120765</v>
      </c>
      <c r="F40">
        <f>(F37^2+F31^2)^0.5</f>
        <v>7.034953321003537E-2</v>
      </c>
      <c r="G40" s="3">
        <f t="shared" si="0"/>
        <v>0.42220219287845995</v>
      </c>
      <c r="J40" t="s">
        <v>79</v>
      </c>
      <c r="K40" s="60">
        <f>K36*E40</f>
        <v>0.16661241584307895</v>
      </c>
      <c r="L40" s="60">
        <f>((F40*K36)^2+(L36*E40)^2)^0.5</f>
        <v>7.0463791213307217E-2</v>
      </c>
      <c r="M40" s="3">
        <f>L40/K40</f>
        <v>0.42292040996315861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1.594712087846172</v>
      </c>
      <c r="I46" t="s">
        <v>132</v>
      </c>
      <c r="K46" s="3">
        <f>ABS(K40-K43)/K43</f>
        <v>0.9877795769919796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0.52424587349225127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4.6622125888586649E-2</v>
      </c>
      <c r="C2">
        <f>'Exp1'!W17</f>
        <v>4.1078546895752528E-2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21.449043366012734</v>
      </c>
      <c r="C5">
        <f>C2/B2^2</f>
        <v>18.898656313642718</v>
      </c>
      <c r="E5">
        <f>B5*F1</f>
        <v>21.449043366012734</v>
      </c>
      <c r="F5">
        <f>((C5*F$1)^2+(G$1*B5)^2)^0.5</f>
        <v>18.89989829359568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4.6622125888586649E-2</v>
      </c>
      <c r="Q7">
        <f>Exp2_Act_C3!Q7</f>
        <v>4.1551206532736817E-3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4.4545327998874729E-2</v>
      </c>
      <c r="F9">
        <f>F5/((1+E5)^2)</f>
        <v>3.7502808244747311E-2</v>
      </c>
      <c r="G9" s="3">
        <f>F9/E9</f>
        <v>0.84190216863359224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4.4402024655796804E-2</v>
      </c>
      <c r="Q10">
        <f>((L$9*P7)^2+(Q7*K$9)^2)^0.5</f>
        <v>4.0067688949499067E-3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4.4545327998874729E-2</v>
      </c>
      <c r="F13">
        <f>((F9*F$1)^2+(E9*G$1)^2)^0.5</f>
        <v>3.7505507654619318E-2</v>
      </c>
      <c r="G13" s="3">
        <f t="shared" si="0"/>
        <v>0.8419627678028716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0.95748569649658588</v>
      </c>
      <c r="K14">
        <f>Q10/((1+P10)^2)</f>
        <v>3.6733210157710444E-3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0.95545467200112522</v>
      </c>
      <c r="F16">
        <f>F13</f>
        <v>3.7505507654619318E-2</v>
      </c>
      <c r="G16" s="3">
        <f t="shared" si="0"/>
        <v>3.925409415400833E-2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0.95748569649658588</v>
      </c>
      <c r="L18">
        <f>((J14*Q$16)^2+(K14*P$16)^2)^0.5</f>
        <v>1.2846282847059276E-2</v>
      </c>
      <c r="M18" s="3">
        <f t="shared" ref="M18:M19" si="1">L18/K18</f>
        <v>1.341668381476974E-2</v>
      </c>
    </row>
    <row r="19" spans="3:13" x14ac:dyDescent="0.25">
      <c r="C19" t="s">
        <v>87</v>
      </c>
      <c r="E19">
        <f>E16*E13</f>
        <v>4.2561041752347394E-2</v>
      </c>
      <c r="F19">
        <f>((F16*E13)^2+(E16*F13)^2)^0.5</f>
        <v>3.587373705362161E-2</v>
      </c>
      <c r="G19" s="3">
        <f t="shared" si="0"/>
        <v>0.84287732575631902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4.2514303503414119E-2</v>
      </c>
      <c r="L21">
        <f>L18</f>
        <v>1.2846282847059276E-2</v>
      </c>
      <c r="M21" s="3">
        <f>L21/K21</f>
        <v>0.30216378461963167</v>
      </c>
    </row>
    <row r="22" spans="3:13" x14ac:dyDescent="0.25">
      <c r="C22" t="s">
        <v>89</v>
      </c>
      <c r="E22">
        <f>E19+E13</f>
        <v>8.7106369751222129E-2</v>
      </c>
      <c r="F22">
        <f>((F19^2+F13^2)^0.5)</f>
        <v>5.1899789157790345E-2</v>
      </c>
      <c r="G22" s="3">
        <f t="shared" si="0"/>
        <v>0.59582082580203244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4.070683750103371E-2</v>
      </c>
      <c r="L24">
        <f>((L21*K18)^2+(K21*L18)^2)^0.5</f>
        <v>1.2312251208743371E-2</v>
      </c>
      <c r="M24" s="3">
        <f t="shared" ref="M24:M25" si="3">L24/K24</f>
        <v>0.30246150191428439</v>
      </c>
    </row>
    <row r="25" spans="3:13" x14ac:dyDescent="0.25">
      <c r="C25" t="s">
        <v>90</v>
      </c>
      <c r="E25">
        <f>1-E22</f>
        <v>0.9128936302487779</v>
      </c>
      <c r="F25">
        <f>F22</f>
        <v>5.1899789157790345E-2</v>
      </c>
      <c r="G25" s="3">
        <f t="shared" si="0"/>
        <v>5.6851956721011225E-2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0.99819253399761965</v>
      </c>
      <c r="L27">
        <f>((L24^2+L18^2)^0.5)</f>
        <v>1.7793777362152534E-2</v>
      </c>
      <c r="M27" s="3">
        <f t="shared" ref="M27:M28" si="4">L27/K27</f>
        <v>1.7825997246133447E-2</v>
      </c>
    </row>
    <row r="28" spans="3:13" x14ac:dyDescent="0.25">
      <c r="C28" t="s">
        <v>92</v>
      </c>
      <c r="E28">
        <f>E13*E25</f>
        <v>4.066514618751528E-2</v>
      </c>
      <c r="F28">
        <f>((F25*E13)^2+(E25*F13)^2)^0.5</f>
        <v>3.4316503394839271E-2</v>
      </c>
      <c r="G28" s="3">
        <f t="shared" si="0"/>
        <v>0.84387999582243911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1.8074660023803535E-3</v>
      </c>
      <c r="L30">
        <f>L27</f>
        <v>1.7793777362152534E-2</v>
      </c>
      <c r="M30" s="3">
        <f t="shared" ref="M30:M31" si="5">L30/K30</f>
        <v>9.844598647343247</v>
      </c>
    </row>
    <row r="31" spans="3:13" x14ac:dyDescent="0.25">
      <c r="C31" t="s">
        <v>91</v>
      </c>
      <c r="E31" s="6">
        <f>E28+E22</f>
        <v>0.12777151593873742</v>
      </c>
      <c r="F31">
        <f>((F28^2)+F22^2)^0.5</f>
        <v>6.2219052707921448E-2</v>
      </c>
      <c r="G31" s="3">
        <f t="shared" si="0"/>
        <v>0.48695558044215115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1.7306228441830525E-3</v>
      </c>
      <c r="L33">
        <f>((L30*K18)^2+(K30*L18)^2)^0.5</f>
        <v>1.7037303133022732E-2</v>
      </c>
      <c r="M33" s="3">
        <f t="shared" ref="M33:M34" si="6">L33/K33</f>
        <v>9.8446077897840638</v>
      </c>
    </row>
    <row r="34" spans="3:14" x14ac:dyDescent="0.25">
      <c r="C34" t="s">
        <v>93</v>
      </c>
      <c r="E34">
        <f>1-E31</f>
        <v>0.87222848406126263</v>
      </c>
      <c r="F34">
        <f>F31</f>
        <v>6.2219052707921448E-2</v>
      </c>
      <c r="G34" s="3">
        <f t="shared" si="0"/>
        <v>7.1333433664327997E-2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0.99992315684180266</v>
      </c>
      <c r="L36">
        <f>((L33^2)+L27^2)^0.5</f>
        <v>2.4635101194441199E-2</v>
      </c>
      <c r="M36" s="3">
        <f t="shared" ref="M36:M37" si="7">L36/K36</f>
        <v>2.4636994378897763E-2</v>
      </c>
    </row>
    <row r="37" spans="3:14" x14ac:dyDescent="0.25">
      <c r="C37" t="s">
        <v>94</v>
      </c>
      <c r="E37">
        <f>E34*E13</f>
        <v>3.8853703912470221E-2</v>
      </c>
      <c r="F37">
        <f>((F34*E13)^2+(E34*F13)^2)^0.5</f>
        <v>3.2830569641703798E-2</v>
      </c>
      <c r="G37" s="3">
        <f t="shared" si="0"/>
        <v>0.84497914833717358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0.16662521985120765</v>
      </c>
      <c r="F40">
        <f>(F37^2+F31^2)^0.5</f>
        <v>7.034953321003537E-2</v>
      </c>
      <c r="G40" s="3">
        <f t="shared" si="0"/>
        <v>0.42220219287845995</v>
      </c>
      <c r="I40" s="61"/>
      <c r="J40" s="61" t="s">
        <v>79</v>
      </c>
      <c r="K40" s="61">
        <f>K36*E40</f>
        <v>0.16661241584307895</v>
      </c>
      <c r="L40" s="61">
        <f>((F40*K36)^2+(L36*E40)^2)^0.5</f>
        <v>7.0463791213307217E-2</v>
      </c>
      <c r="M40" s="62">
        <f>L40/K40</f>
        <v>0.42292040996315861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-1.0564162109864197</v>
      </c>
      <c r="I46" t="s">
        <v>132</v>
      </c>
      <c r="K46" s="3">
        <f>ABS(K40-K43)/K43</f>
        <v>0.98559437244355741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0.50332359390472636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2016-04-22T08:10:52Z</dcterms:modified>
</cp:coreProperties>
</file>