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 activeTab="1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<sst xmlns="http://schemas.openxmlformats.org/spreadsheetml/2006/main" count="686" uniqueCount="173">
  <si>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</si>
  <si>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</si>
  <si>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</si>
  <si>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</si>
  <si>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</si>
  <si>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</si>
  <si>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</si>
  <si>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</si>
  <si>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</si>
  <si>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</si>
  <si>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</si>
  <si>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</si>
  <si>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</si>
  <si>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</si>
  <si>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</si>
  <si>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</si>
  <si>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</si>
  <si>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</si>
  <si>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</si>
  <si>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</si>
  <si>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</si>
  <si>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</si>
  <si>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</si>
  <si>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</si>
  <si>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</si>
  <si>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</si>
  <si>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</si>
  <si>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</si>
  <si>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</si>
  <si>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</si>
  <si>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</si>
  <si>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</si>
  <si>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</si>
  <si>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</si>
  <si>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</si>
  <si>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</si>
  <si>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</si>
  <si>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</si>
  <si>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</si>
  <si>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</si>
  <si>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</si>
  <si>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</si>
  <si>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</si>
  <si>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</si>
  <si>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</si>
  <si>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</si>
  <si>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</si>
  <si>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</si>
  <si>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</si>
  <si>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</si>
  <si>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</si>
  <si>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</si>
  <si>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</si>
  <si>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</si>
  <si>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</si>
  <si>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</si>
  <si>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</si>
  <si>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</si>
  <si>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</si>
  <si>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</si>
  <si>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</si>
  <si>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</si>
  <si>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</si>
  <si>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</si>
  <si>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</si>
  <si>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</si>
  <si>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</si>
  <si>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</si>
  <si>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</si>
  <si>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</si>
  <si>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</si>
  <si>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</si>
  <si>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</si>
  <si>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</si>
  <si>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</si>
  <si>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</si>
  <si>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</si>
  <si>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</si>
  <si>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</si>
  <si>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</si>
  <si>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</si>
  <si>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</si>
  <si>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</si>
  <si>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</si>
  <si>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</si>
  <si>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</si>
  <si>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</si>
  <si>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</si>
  <si>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</si>
  <si>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</si>
  <si>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</si>
  <si>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</si>
  <si>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</si>
  <si>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</si>
  <si>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</si>
  <si>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</si>
  <si>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</si>
  <si>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</si>
  <si>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</si>
  <si>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</si>
  <si>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</si>
  <si>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</si>
  <si>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</si>
  <si>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</si>
  <si>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</si>
  <si>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</si>
  <si>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</si>
  <si>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</si>
  <si>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</si>
  <si>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</si>
  <si>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</si>
  <si>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</si>
  <si>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</si>
  <si>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</si>
  <si>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</si>
  <si>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</si>
  <si>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</si>
  <si>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</si>
  <si>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</si>
  <si>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</si>
  <si>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</si>
  <si>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</si>
  <si>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</si>
  <si>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</si>
  <si>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</si>
  <si>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</si>
  <si>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</si>
  <si>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</si>
  <si>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</si>
  <si>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</si>
  <si>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</si>
  <si>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</si>
  <si>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</si>
  <si>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</si>
  <si>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</si>
  <si>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</si>
  <si>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</si>
  <si>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</si>
  <si>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</si>
  <si>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</si>
  <si>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</si>
  <si>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</si>
  <si>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</si>
  <si>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</si>
  <si>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</si>
  <si>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</si>
  <si>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</si>
  <si>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</si>
  <si>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</si>
  <si>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</si>
  <si>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</si>
  <si>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</si>
  <si>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</si>
  <si>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</si>
  <si>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</si>
  <si>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</si>
  <si>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</si>
  <si>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</si>
  <si>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</si>
  <si>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</si>
  <si>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</si>
  <si>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</si>
  <si>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</si>
  <si>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</si>
  <si>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</si>
  <si>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</si>
  <si>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</si>
  <si>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</si>
  <si>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</si>
  <si>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</si>
  <si>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</si>
  <si>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</si>
  <si>
    <t>LLD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</si>
</sst>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workbookViewId="0">
      <selection activeCell="L26" sqref="L26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1.1364676715995772E-2</v>
      </c>
      <c r="S6" s="25">
        <f>Exp2_eq_V_p_sep_C1!C2</f>
        <v>7.587635029410407E-2</v>
      </c>
      <c r="T6" s="25"/>
      <c r="U6" s="25">
        <f>Exp2_eq_V_p_sep_C1!P7</f>
        <v>1.1364676715995772E-2</v>
      </c>
      <c r="V6" s="27">
        <f>Exp2_eq_V_p_sep_C1!Q7</f>
        <v>7.587635029410407E-2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4.419587672844192E-2</v>
      </c>
      <c r="S10" s="25">
        <f>Exp2_eq_V_p_sep_C1!L40</f>
        <v>0.14604092455656831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22.556424119738825</v>
      </c>
      <c r="S13" s="18">
        <f>((S11/R10)^2+((S10*R11)/(R10^2))^2)^0.5</f>
        <v>74.541460873380416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1.1364676715995772E-2</v>
      </c>
      <c r="E16" s="25">
        <f>'Exp1'!AO12</f>
        <v>7.587635029410407E-2</v>
      </c>
      <c r="F16" s="25"/>
      <c r="G16" s="25">
        <f>'Exp1'!AN12</f>
        <v>1.1364676715995772E-2</v>
      </c>
      <c r="H16" s="25">
        <f>'Exp1'!AO12</f>
        <v>7.587635029410407E-2</v>
      </c>
      <c r="J16" s="22" t="s">
        <v>152</v>
      </c>
      <c r="K16" s="25">
        <f>Exp2_Eq_V_P_Sep_C3!B2</f>
        <v>1.1364676715995772E-2</v>
      </c>
      <c r="L16" s="25">
        <f>Exp2_Eq_V_P_Sep_C3!C2</f>
        <v>0.31404337513979302</v>
      </c>
      <c r="M16" s="25"/>
      <c r="N16" s="25">
        <f>Exp2_Eq_V_P_Sep_C3!P7</f>
        <v>1.1364676715995772E-2</v>
      </c>
      <c r="O16" s="27">
        <f>Exp2_Eq_V_P_Sep_C3!Q7</f>
        <v>7.587635029410407E-2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1.1364676715995772E-2</v>
      </c>
      <c r="S18" s="25">
        <f>Exp2_Eq_V_P_Sep_C2!C2</f>
        <v>0.31404337513979302</v>
      </c>
      <c r="T18" s="25"/>
      <c r="U18" s="25">
        <f>Exp2_Eq_V_P_Sep_C2!P7</f>
        <v>1.1364676715995772E-2</v>
      </c>
      <c r="V18" s="27">
        <f>Exp2_Eq_V_P_Sep_C2!Q7</f>
        <v>7.587635029410407E-2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1.1110702616801738E-2</v>
      </c>
      <c r="E20" s="25">
        <f>'Exp1'!AD27</f>
        <v>7.335202495126604E-2</v>
      </c>
      <c r="F20" s="25"/>
      <c r="G20" s="25"/>
      <c r="H20" s="27"/>
      <c r="J20" s="22" t="s">
        <v>79</v>
      </c>
      <c r="K20" s="25">
        <f>Exp2_Eq_V_P_Sep_C3!K40</f>
        <v>4.419587672844192E-2</v>
      </c>
      <c r="L20" s="25">
        <f>Exp2_Eq_V_P_Sep_C3!L40</f>
        <v>0.60391617408808373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4.419587672844192E-2</v>
      </c>
      <c r="S22" s="25">
        <f>Exp2_Eq_V_P_Sep_C2!L40</f>
        <v>0.60391617408808373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75.055313316644018</v>
      </c>
      <c r="E23" s="18">
        <f>'Exp1'!AD33</f>
        <v>495.58396433173715</v>
      </c>
      <c r="F23" s="18"/>
      <c r="G23" s="18"/>
      <c r="H23" s="41"/>
      <c r="J23" s="24" t="s">
        <v>154</v>
      </c>
      <c r="K23" s="18">
        <f>K21/K20</f>
        <v>22.529578645986813</v>
      </c>
      <c r="L23" s="18">
        <f>((L21/K20)^2+((L20*K21)/(K20^2))^2)^0.5</f>
        <v>307.85771062005227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21.051237720496104</v>
      </c>
      <c r="S25" s="18">
        <f>((S23/R22)^2+((S22*R23)/(R22^2))^2)^0.5</f>
        <v>287.65728302293502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abSelected="1" topLeftCell="R1" workbookViewId="0">
      <selection activeCell="AH5" sqref="AH5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0.30635132845452312</v>
      </c>
      <c r="F4">
        <v>5.5443906497909104E-2</v>
      </c>
      <c r="G4" s="3">
        <v>0.18098144629439586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0.27623216680790863</v>
      </c>
      <c r="M4" s="8">
        <f>((F8/E5)^2+((F5*E8)/(E5^2))^2)^0.5</f>
        <v>0.22453583406518485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0.30635132845452312</v>
      </c>
      <c r="S4">
        <f>(($Q4*$Q$2*E4)^2+(F4*$Q4)^2)^0.5</f>
        <v>5.7520905841819944E-2</v>
      </c>
      <c r="T4" s="3">
        <f>S4/R4</f>
        <v>0.18776124174816086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0.27623216680790863</v>
      </c>
      <c r="Z4" s="8">
        <f>((S8/R5)^2+((S5*R8)/(R5^2))^2)^0.5</f>
        <v>0.23029446402631151</v>
      </c>
      <c r="AA4" s="42"/>
      <c r="AC4" s="43"/>
      <c r="AE4" s="64">
        <f>Y12/Y11</f>
        <v>55.878620282154685</v>
      </c>
      <c r="AF4" s="61">
        <f>((Z12/Y11)^2+((Y12*Z11)/(Y11^2))^2)^0.5</f>
        <v>367.26567813164206</v>
      </c>
      <c r="AH4">
        <v>0.990587</v>
      </c>
      <c r="AI4">
        <v>0</v>
      </c>
      <c r="AK4">
        <f>1/S16</f>
        <v>1.4</v>
      </c>
      <c r="AL4">
        <f>T16/S16^2</f>
        <v>1.979898987322333E-2</v>
      </c>
      <c r="AN4">
        <f>AK10*AK4</f>
        <v>87.991944248840881</v>
      </c>
      <c r="AO4">
        <f>((AL10*AK4)^2+(AL4*AK10)^2)^0.5</f>
        <v>587.47888318610489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0.17277142695185516</v>
      </c>
      <c r="F5" s="10">
        <f>((F4*$C5*$B5)^2+($C5*$B$2*E4)^2+($C$2*$B5*E4)^2)^0.5</f>
        <v>3.1496039825703176E-2</v>
      </c>
      <c r="G5" s="3">
        <f>F5/E5</f>
        <v>0.18229889271262387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0.17277142695185516</v>
      </c>
      <c r="S5">
        <f>((S4*$C5*$B5)^2+($C5*$B$2*R4)^2+($C$2*$B5*R4)^2)^0.5</f>
        <v>3.2659232073484694E-2</v>
      </c>
      <c r="T5" s="3">
        <f>S5/R5</f>
        <v>0.18903144258098639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0.22172723719104892</v>
      </c>
      <c r="F7">
        <v>5.5446136463922248E-2</v>
      </c>
      <c r="G7" s="3">
        <v>0.25006461617589937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0.19730869057707759</v>
      </c>
      <c r="M7" s="3">
        <f>((M4*F19)^2+(L4*G19)^2)^0.5</f>
        <v>0.16040701041563518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0.22172723719104892</v>
      </c>
      <c r="S7">
        <f>(($Q7*$Q$2*E7)^2+(F7*$Q7)^2)^0.5</f>
        <v>5.6543624468695208E-2</v>
      </c>
      <c r="T7" s="3">
        <f>S7/R7</f>
        <v>0.25501433736792106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0.19730869057707759</v>
      </c>
      <c r="Z7" s="3">
        <f>((Z4*S19)^2+(Y4*T19)^2)^0.5</f>
        <v>0.16451971069052754</v>
      </c>
      <c r="AA7" s="54" t="s">
        <v>15</v>
      </c>
      <c r="AB7" s="54">
        <f>1/(1+1/V17)</f>
        <v>0.2142153072902824</v>
      </c>
      <c r="AC7">
        <f>W14/((V14+1)^2)</f>
        <v>0.23029446402631154</v>
      </c>
      <c r="AH7">
        <f>S19</f>
        <v>0.7142857142857143</v>
      </c>
      <c r="AI7">
        <f>T19</f>
        <v>1.0101525445522107E-2</v>
      </c>
      <c r="AK7">
        <f>AH4*AH7</f>
        <v>0.70756214285714292</v>
      </c>
      <c r="AL7">
        <f>((AI7*AH4)^2+(AH7*AI4)^2)^0.5</f>
        <v>1.0006439786503408E-2</v>
      </c>
      <c r="AN7">
        <f>1/AN4</f>
        <v>1.1364676715995772E-2</v>
      </c>
      <c r="AO7">
        <f>AO4/AN4^2</f>
        <v>7.587635029410407E-2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0.1250464013224499</v>
      </c>
      <c r="F8">
        <f>((F7*$C8*$B8)^2+($C8*$B$2*E7)^2+($C$2*$B8*E7)^2)^0.5</f>
        <v>3.1389116337231328E-2</v>
      </c>
      <c r="G8" s="3">
        <f>F8/E8</f>
        <v>0.25101974951114375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0.1250464013224499</v>
      </c>
      <c r="S8">
        <f>((S7*$C8*$B8)^2+($C8*$B$2*R7)^2+($C$2*$B8*R7)^2)^0.5</f>
        <v>3.2005751524397621E-2</v>
      </c>
      <c r="T8" s="3">
        <f>S8/R8</f>
        <v>0.25595100047594532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8.4122672571069132E-3</v>
      </c>
      <c r="F10">
        <v>5.5259780065346834E-2</v>
      </c>
      <c r="G10" s="3">
        <v>6.5689520287960255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3.112538885129558E-3</v>
      </c>
      <c r="S10">
        <f>(($Q10*$Q$2*E10)^2+(F10*$Q10)^2)^0.5</f>
        <v>2.0446710897837592E-2</v>
      </c>
      <c r="T10" s="3">
        <f>S10/R10</f>
        <v>6.5691423151446049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1.1081390032668907E-2</v>
      </c>
      <c r="AI10" s="3">
        <f>Z14</f>
        <v>7.2825946651834741E-2</v>
      </c>
      <c r="AK10">
        <f>AK7/AH10-1</f>
        <v>62.85138874917206</v>
      </c>
      <c r="AL10">
        <f>((AL7/AH10)^2+((AK7*AI10)/(AH10^2))^2)^0.5</f>
        <v>419.62683232208178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4.3120440733204323E-3</v>
      </c>
      <c r="F11" s="18">
        <f>((F10*$C11*$B11)^2+($C11*$B$2*E10)^2+($C$2*$B11*E10)^2)^0.5</f>
        <v>2.8325773177742958E-2</v>
      </c>
      <c r="G11" s="20">
        <f>F11/E11</f>
        <v>6.5689897171971792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2.4958085659164207E-2</v>
      </c>
      <c r="M11" s="3">
        <f>((F11/E5)^2+((F5*E11)/(E5^2))^2)^0.5</f>
        <v>0.16401252808090727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1.5954563071285601E-3</v>
      </c>
      <c r="S11" s="18">
        <f>((S10*$C11*$B11)^2+($C11*$B$2*R10)^2+($C$2*$B11*R10)^2)^0.5</f>
        <v>1.0480839667578134E-2</v>
      </c>
      <c r="T11" s="20">
        <f>S11/R11</f>
        <v>6.5691800024540559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9.2344916938907565E-3</v>
      </c>
      <c r="Z11" s="3">
        <f>((S11/R5)^2+((S5*R11)/(R5^2))^2)^0.5</f>
        <v>6.0688148361880828E-2</v>
      </c>
      <c r="AA11" s="27"/>
      <c r="AB11" s="54" t="s">
        <v>19</v>
      </c>
      <c r="AC11" s="54">
        <f>(1/(1+Y25))*AB7</f>
        <v>1.0120491852774282E-2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1.1364676715995772E-2</v>
      </c>
      <c r="AO12">
        <f>AO7</f>
        <v>7.587635029410407E-2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0.38165852935135258</v>
      </c>
      <c r="J14" s="6">
        <f>((F5/E8)^2+((F8*E5)/(E8^2))^2)^0.5</f>
        <v>0.42863448201744769</v>
      </c>
      <c r="K14" s="22" t="s">
        <v>65</v>
      </c>
      <c r="L14" s="3">
        <f>L11/F23</f>
        <v>2.9949702790997047E-2</v>
      </c>
      <c r="M14" s="3">
        <f>((M11/F23)^2+((L11*G23)/(F23^2))^2)^0.5</f>
        <v>0.19681548944665311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0.38165852935135258</v>
      </c>
      <c r="W14" s="6">
        <f>((S5/R8)^2+((S8*R5)/(R8^2))^2)^0.5</f>
        <v>0.43962759312060073</v>
      </c>
      <c r="X14" s="22" t="s">
        <v>65</v>
      </c>
      <c r="Y14" s="3">
        <f>Y11/S23</f>
        <v>1.1081390032668907E-2</v>
      </c>
      <c r="Z14" s="3">
        <f>((Z11/S23)^2+((Y11*T23)/(S23^2))^2)^0.5</f>
        <v>7.2825946651834741E-2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20.166491748280059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0.27261323525096615</v>
      </c>
      <c r="J17">
        <f>((J14*F16)^2+(I14*G16)^2)^0.5</f>
        <v>0.30619175982741548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0.27261323525096615</v>
      </c>
      <c r="W17">
        <f>((W14*S16)^2+(V14*T16)^2)^0.5</f>
        <v>0.31404337513979302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9.4705639299964769E-3</v>
      </c>
      <c r="AO17">
        <f>((AO14*AN12)^2+(AO12*AN14)^2)^0.5</f>
        <v>6.3230433760664465E-2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0.15179109801703008</v>
      </c>
      <c r="M18">
        <f>((M14/L7)^2+((L14*M7)/(L7^2))^2)^0.5</f>
        <v>1.0051045239035243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5.6162706266301134E-2</v>
      </c>
      <c r="Z18">
        <f>((Z14/Y7)^2+((Y14*Z7)/(Y7^2))^2)^0.5</f>
        <v>0.37205541115530821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0.99061828619041004</v>
      </c>
      <c r="AO19">
        <f>AO17/((AN17+1)^2)</f>
        <v>6.2049579418354754E-2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1.1236972160129258E-2</v>
      </c>
      <c r="AD20">
        <f>U32/((1+T32)^2)</f>
        <v>7.4180856709172224E-2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6.5880016223863525</v>
      </c>
      <c r="M22">
        <f>M18/(L18^2)</f>
        <v>43.623310725385039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17.805409790233384</v>
      </c>
      <c r="Z22">
        <f>Z18/(Y18^2)</f>
        <v>117.95370096453023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0.98876302783987069</v>
      </c>
      <c r="AD24">
        <f>U41/((1+T41)^2)</f>
        <v>7.4180856709172224E-2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6.7056019468636228</v>
      </c>
      <c r="M25">
        <f>((L22*G25)^2+(M22*F25)^2)^0.5</f>
        <v>52.348092260893885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20.166491748280059</v>
      </c>
      <c r="Z25">
        <f>((Y22*T25)^2+(Z22*S25)^2)^0.5</f>
        <v>141.54476368967119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87.991944248840881</v>
      </c>
      <c r="W27" s="27">
        <f>AO7/(AN7^2)</f>
        <v>587.47888318610489</v>
      </c>
      <c r="Z27" s="4"/>
      <c r="AB27" s="61" t="s">
        <v>79</v>
      </c>
      <c r="AC27" s="61">
        <f>AC24*AC20</f>
        <v>1.1110702616801738E-2</v>
      </c>
      <c r="AD27" s="61">
        <f>((AD20*AC24)^2+(AD24*AC20)^2)^0.5</f>
        <v>7.335202495126604E-2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87.991944248840881</v>
      </c>
      <c r="U32" s="25">
        <f>((S$30*W27)^2+(T$30*V27)^2)^0.5</f>
        <v>587.48020111833864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75.055313316644018</v>
      </c>
      <c r="AD33">
        <f>((AD28/AC27)^2+((AD27*AC28)/(AC27^2))^2)^0.5</f>
        <v>495.58396433173715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1.1364676715995772E-2</v>
      </c>
      <c r="W36" s="27">
        <f>AO12</f>
        <v>7.587635029410407E-2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1.1364676715995772E-2</v>
      </c>
      <c r="U41" s="25">
        <f>((S$30*W36)^2+(T$30*V36)^2)^0.5</f>
        <v>7.5876520512797363E-2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E21" sqref="E21:G21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0.30635132845452312</v>
      </c>
      <c r="F4">
        <v>5.5443906497909104E-2</v>
      </c>
      <c r="G4" s="3">
        <v>0.18098144629439586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9.9326304914488683E-2</v>
      </c>
      <c r="M4" s="8">
        <f>((F8/E5)^2+((F5*E8)/(E5^2))^2)^0.5</f>
        <v>0.24628760706945632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0.25265004845124817</v>
      </c>
      <c r="S4">
        <f>(($Q4*$Q$2*E4)^2+(F4*$Q4)^2)^0.5</f>
        <v>4.7437886824939351E-2</v>
      </c>
      <c r="T4" s="3">
        <f>S4/R4</f>
        <v>0.18776124174816083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0.35918848087810529</v>
      </c>
      <c r="Z4" s="8">
        <f>((S8/R5)^2+((S5*R8)/(R5^2))^2)^0.5</f>
        <v>0.18099258461571491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0.15317566422726156</v>
      </c>
      <c r="F5" s="10">
        <f>((F4*$C5*$B5)^2+($C5*$B$2*E4)^2+($C$2*$B5*E4)^2)^0.5</f>
        <v>2.7932742149544741E-2</v>
      </c>
      <c r="G5" s="3">
        <f>F5/E5</f>
        <v>0.18235757155328458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0.12632502422562408</v>
      </c>
      <c r="S5">
        <f>((S4*$C5*$B5)^2+($C5*$B$2*R4)^2+($C$2*$B5*R4)^2)^0.5</f>
        <v>2.3886550242275272E-2</v>
      </c>
      <c r="T5" s="3">
        <f>S5/R5</f>
        <v>0.18908803215119482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0.27592258299349048</v>
      </c>
      <c r="F7">
        <v>5.5883443455936911E-2</v>
      </c>
      <c r="G7" s="3">
        <v>0.2025330541982325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 t="e">
        <f>E11/E5</f>
        <v>#VALUE!</v>
      </c>
      <c r="M7" s="3" t="e">
        <f>((F11/E5)^2+((F5*E11)/(E5^2))^2)^0.5</f>
        <v>#VALUE!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0.16190106135426463</v>
      </c>
      <c r="S7">
        <f>(($Q7*$Q$2*E7)^2+(F7*$Q7)^2)^0.5</f>
        <v>3.3774764781000388E-2</v>
      </c>
      <c r="T7" s="3">
        <f>S7/R7</f>
        <v>0.2086136094382727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 t="e">
        <f>R11/R5</f>
        <v>#VALUE!</v>
      </c>
      <c r="Z7" s="3" t="e">
        <f>((S11/R5)^2+((S5*R11)/(R5^2))^2)^0.5</f>
        <v>#VALUE!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0.13796129149674524</v>
      </c>
      <c r="F8">
        <f>((F7*$C8*$B8)^2+($C8*$B$2*E7)^2+($C$2*$B8*E7)^2)^0.5</f>
        <v>2.8111500708765967E-2</v>
      </c>
      <c r="G8" s="3">
        <f>F8/E8</f>
        <v>0.20376368185440746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8.0950530677132315E-2</v>
      </c>
      <c r="S8">
        <f>((S7*$C8*$B8)^2+($C8*$B$2*R7)^2+($C$2*$B8*R7)^2)^0.5</f>
        <v>1.6984115467442829E-2</v>
      </c>
      <c r="T8" s="3">
        <f>S8/R8</f>
        <v>0.20980857476009931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 t="s">
        <v>172</v>
      </c>
      <c r="F10" t="s">
        <v>172</v>
      </c>
      <c r="G10" s="3" t="s">
        <v>172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 t="e">
        <f>$Q10*E10</f>
        <v>#VALUE!</v>
      </c>
      <c r="S10" t="e">
        <f>(($Q10*$Q$2*E10)^2+(F10*$Q10)^2)^0.5</f>
        <v>#VALUE!</v>
      </c>
      <c r="T10" s="3" t="e">
        <f>S10/R10</f>
        <v>#VALUE!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 t="e">
        <f>E10*$C11*$B11</f>
        <v>#VALUE!</v>
      </c>
      <c r="F11" t="e">
        <f>((F10*$C11*$B11)^2+($C11*$B$2*E10)^2+($C$2*$B11*E10)^2)^0.5</f>
        <v>#VALUE!</v>
      </c>
      <c r="G11" s="3" t="e">
        <f>F11/E11</f>
        <v>#VALUE!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 t="e">
        <f>(E15/E12)</f>
        <v>#VALUE!</v>
      </c>
      <c r="M11" s="3" t="e">
        <f>((F15/E12)^2+((F12*E15)/(E12^2))^2)^0.5</f>
        <v>#VALUE!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 t="e">
        <f>R10*$C11*$B11</f>
        <v>#VALUE!</v>
      </c>
      <c r="S11" t="e">
        <f>((S10*$C11*$B11)^2+($C11*$B$2*R10)^2+($C$2*$B11*R10)^2)^0.5</f>
        <v>#VALUE!</v>
      </c>
      <c r="T11" s="3" t="e">
        <f>S11/R11</f>
        <v>#VALUE!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 t="e">
        <f>(R15/R12)</f>
        <v>#VALUE!</v>
      </c>
      <c r="Z11" s="3" t="e">
        <f>((S15/R12)^2+((S12*R15)/(R12^2))^2)^0.5</f>
        <v>#VALUE!</v>
      </c>
    </row>
    <row r="12" spans="1:27" x14ac:dyDescent="0.25">
      <c r="B12">
        <v>1</v>
      </c>
      <c r="C12">
        <v>0.5</v>
      </c>
      <c r="D12" t="s">
        <v>26</v>
      </c>
      <c r="E12" s="12" t="e">
        <f>E10*$C12*$B12</f>
        <v>#VALUE!</v>
      </c>
      <c r="F12" t="e">
        <f>((F10*$C12*$B12)^2+($C12*$B$2*E10)^2+($C$2*$B12*E10)^2)^0.5</f>
        <v>#VALUE!</v>
      </c>
      <c r="G12" s="3" t="e">
        <f>F12/E12</f>
        <v>#VALUE!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 t="e">
        <f>R10*$C12*$B12</f>
        <v>#VALUE!</v>
      </c>
      <c r="S12" t="e">
        <f>((S10*$C12*$B12)^2+($C12*$B$2*R10)^2+($C$2*$B12*R10)^2)^0.5</f>
        <v>#VALUE!</v>
      </c>
      <c r="T12" s="3" t="e">
        <f>S12/R12</f>
        <v>#VALUE!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 t="s">
        <v>172</v>
      </c>
      <c r="F14" t="s">
        <v>172</v>
      </c>
      <c r="G14" s="3" t="s">
        <v>172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 t="e">
        <f>1-E19/E16</f>
        <v>#VALUE!</v>
      </c>
      <c r="M14" t="e">
        <f>((F19/E16)^2+((F16*E19)/(E16^2))^2)^0.5</f>
        <v>#VALUE!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 t="e">
        <f>$Q14*E14</f>
        <v>#VALUE!</v>
      </c>
      <c r="S14" t="e">
        <f>(($Q14*$Q$2*E14)^2+(F14*$Q14)^2)^0.5</f>
        <v>#VALUE!</v>
      </c>
      <c r="T14" s="3" t="e">
        <f>S14/R14</f>
        <v>#VALUE!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 t="e">
        <f>1-R19/R16</f>
        <v>#VALUE!</v>
      </c>
      <c r="Z14" t="e">
        <f>((S19/R16)^2+((S16*R19)/(R16^2))^2)^0.5</f>
        <v>#VALUE!</v>
      </c>
    </row>
    <row r="15" spans="1:27" x14ac:dyDescent="0.25">
      <c r="B15">
        <v>1</v>
      </c>
      <c r="C15">
        <v>6</v>
      </c>
      <c r="D15" t="s">
        <v>27</v>
      </c>
      <c r="E15" s="12" t="e">
        <f>E14*$C15*$B15</f>
        <v>#VALUE!</v>
      </c>
      <c r="F15" t="e">
        <f>((F14*$C15*$B15)^2+($C15*$B$2*E14)^2+($C$2*$B15*E14)^2)^0.5</f>
        <v>#VALUE!</v>
      </c>
      <c r="G15" s="3" t="e">
        <f>F15/E15</f>
        <v>#VALUE!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 t="e">
        <f>R14*$C15*$B15</f>
        <v>#VALUE!</v>
      </c>
      <c r="S15" t="e">
        <f>((S14*$C15*$B15)^2+($C15*$B$2*R14)^2+($C$2*$B15*R14)^2)^0.5</f>
        <v>#VALUE!</v>
      </c>
      <c r="T15" s="3" t="e">
        <f>S15/R15</f>
        <v>#VALUE!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 t="e">
        <f>E14*0.5</f>
        <v>#VALUE!</v>
      </c>
      <c r="F16" s="15" t="e">
        <f>((0.005*E14)^2+(0.5*F14)^2)^0.5</f>
        <v>#VALUE!</v>
      </c>
      <c r="G16" s="3" t="e">
        <f>F16/E16</f>
        <v>#VALUE!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 t="e">
        <f>R14*$C16*$B16</f>
        <v>#VALUE!</v>
      </c>
      <c r="S16" t="e">
        <f>((S14*$C16*$B16)^2+($C16*$B$2*R14)^2+($C$2*$B16*R14)^2)^0.5</f>
        <v>#VALUE!</v>
      </c>
      <c r="T16" s="3" t="e">
        <f>S16/R16</f>
        <v>#VALUE!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 t="e">
        <f>E22/E16</f>
        <v>#VALUE!</v>
      </c>
      <c r="M17" s="3" t="e">
        <f>((F22/E16)^2+((F16*E22)/(E16^2))^2)^0.5</f>
        <v>#VALUE!</v>
      </c>
      <c r="N17" s="3"/>
      <c r="O17" s="43"/>
      <c r="T17" s="3"/>
      <c r="W17" s="3"/>
      <c r="X17" s="3" t="s">
        <v>39</v>
      </c>
      <c r="Y17" s="16" t="e">
        <f>R22/R16</f>
        <v>#VALUE!</v>
      </c>
      <c r="Z17" s="3" t="e">
        <f>((S22/R16)^2+((S16*R22)/(R16^2))^2)^0.5</f>
        <v>#VALUE!</v>
      </c>
    </row>
    <row r="18" spans="2:26" x14ac:dyDescent="0.25">
      <c r="B18">
        <v>1</v>
      </c>
      <c r="D18" t="s">
        <v>10</v>
      </c>
      <c r="E18">
        <v>0.20628198727950764</v>
      </c>
      <c r="F18">
        <v>5.6535322682747122E-2</v>
      </c>
      <c r="G18" s="3">
        <v>0.27406815024592029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0.12083838614255078</v>
      </c>
      <c r="S18">
        <f>(($Q18*$Q$2*E18)^2+(F18*$Q18)^2)^0.5</f>
        <v>3.3664574819190905E-2</v>
      </c>
      <c r="T18" s="3">
        <f>S18/R18</f>
        <v>0.27859172812418592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0.10314099363975382</v>
      </c>
      <c r="F19">
        <f>((F18*$C19*$B19)^2+($C19*$B$2*E18)^2+($C$2*$B19*E18)^2)^0.5</f>
        <v>2.8361588636659323E-2</v>
      </c>
      <c r="G19" s="3">
        <f>F19/E19</f>
        <v>0.27497881914653055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6.0419193071275391E-2</v>
      </c>
      <c r="S19">
        <f>((S18*$C19*$B19)^2+($C19*$B$2*R18)^2+($C$2*$B19*R18)^2)^0.5</f>
        <v>1.6886418770269723E-2</v>
      </c>
      <c r="T19" s="3">
        <f>S19/R19</f>
        <v>0.27948765800875774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4.2097386967058538E-3</v>
      </c>
      <c r="F21">
        <v>5.5235124749509402E-2</v>
      </c>
      <c r="G21" s="3">
        <v>13.120796498065598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3.0592948882851695E-3</v>
      </c>
      <c r="S21">
        <f>(($Q21*$Q$2*E21)^2+(F21*$Q21)^2)^0.5</f>
        <v>4.0140677110465157E-2</v>
      </c>
      <c r="T21" s="3">
        <f>S21/R21</f>
        <v>13.120891766326345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2.5258432180235123E-2</v>
      </c>
      <c r="F22">
        <f>((F21*$C22*$B22)^2+($C22*$B$2*E21)^2+($C$2*$B22*E21)^2)^0.5</f>
        <v>0.33141084742417348</v>
      </c>
      <c r="G22" s="3">
        <f>F22/E22</f>
        <v>13.120800414663286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1.8355769329711016E-2</v>
      </c>
      <c r="S22">
        <f>((S21*$C22*$B22)^2+($C22*$B$2*R21)^2+($C$2*$B22*R21)^2)^0.5</f>
        <v>0.24084413455443268</v>
      </c>
      <c r="T22" s="3">
        <f>S22/R22</f>
        <v>13.120895682895597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1.1364676715995772E-2</v>
      </c>
      <c r="P26" s="61">
        <f>_xlfn.STDEV.S(Exp2_Act_C1!P7,Exp2_Act_C2!P7)+AVERAGE(Exp2_Act_C2!Q7,Exp2_Act_C1!Q7)</f>
        <v>7.587635029410407E-2</v>
      </c>
      <c r="Q26" s="62">
        <f>P26/O26</f>
        <v>6.6765075848843267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1.1364676715995772E-2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1.1364676715995772E-2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1.1364676715995772E-2</v>
      </c>
      <c r="C2">
        <f>'Exp1'!AO7</f>
        <v>7.587635029410407E-2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 t="e">
        <f>IF(K43&gt;E40,1,0)</f>
        <v>#VALUE!</v>
      </c>
      <c r="P3" t="e">
        <f>IF(O3=1,"='Exp1'!AN12","use solve")</f>
        <v>#VALUE!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87.991944248840881</v>
      </c>
      <c r="C5">
        <f>C2/B2^2</f>
        <v>587.47888318610489</v>
      </c>
      <c r="E5">
        <f>B5*F1</f>
        <v>62.85138874917206</v>
      </c>
      <c r="F5">
        <f>((C5*F$1)^2+(G$1*B5)^2)^0.5</f>
        <v>419.62871508452758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1.1364676715995772E-2</v>
      </c>
      <c r="Q7">
        <f>C2</f>
        <v>7.587635029410407E-2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1.5661366488492652E-2</v>
      </c>
      <c r="F9">
        <f>F5/((1+E5)^2)</f>
        <v>0.10292585995037214</v>
      </c>
      <c r="G9" s="3">
        <f>F9/E9</f>
        <v>6.5719590960340506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1.0823501634281687E-2</v>
      </c>
      <c r="Q10">
        <f>((L$9*P7)^2+(Q7*K$9)^2)^0.5</f>
        <v>7.2263352869330819E-2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1.1186690348923323E-2</v>
      </c>
      <c r="F13">
        <f>((F9*F$1)^2+(E9*G$1)^2)^0.5</f>
        <v>7.3518641611428251E-2</v>
      </c>
      <c r="G13" s="3">
        <f t="shared" si="0"/>
        <v>6.5719743121793073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0.98929239217649523</v>
      </c>
      <c r="K14">
        <f>Q10/((1+P10)^2)</f>
        <v>7.0724102784720966E-2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0.98881330965107672</v>
      </c>
      <c r="F16">
        <f>F13</f>
        <v>7.3518641611428251E-2</v>
      </c>
      <c r="G16" s="3">
        <f t="shared" si="0"/>
        <v>7.4350376247838759E-2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0.94218323064428111</v>
      </c>
      <c r="L18">
        <f>((J14*Q$16)^2+(K14*P$16)^2)^0.5</f>
        <v>6.8661571716056816E-2</v>
      </c>
      <c r="M18" s="3">
        <f t="shared" ref="M18:M19" si="1">L18/K18</f>
        <v>7.2874966867224805E-2</v>
      </c>
    </row>
    <row r="19" spans="3:13" x14ac:dyDescent="0.25">
      <c r="C19" t="s">
        <v>87</v>
      </c>
      <c r="E19">
        <f>E16*E13</f>
        <v>1.106154830796063E-2</v>
      </c>
      <c r="F19">
        <f>((F16*E13)^2+(E16*F13)^2)^0.5</f>
        <v>7.2700863362914647E-2</v>
      </c>
      <c r="G19" s="3">
        <f t="shared" si="0"/>
        <v>6.5723948708513298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5.7816769355718889E-2</v>
      </c>
      <c r="L21">
        <f>L18</f>
        <v>6.8661571716056816E-2</v>
      </c>
      <c r="M21" s="3">
        <f>L21/K21</f>
        <v>1.1875719186870344</v>
      </c>
    </row>
    <row r="22" spans="3:13" x14ac:dyDescent="0.25">
      <c r="C22" t="s">
        <v>89</v>
      </c>
      <c r="E22">
        <f>E19+E13</f>
        <v>2.2248238656883954E-2</v>
      </c>
      <c r="F22">
        <f>((F19^2+F13^2)^0.5)</f>
        <v>0.10339442053661704</v>
      </c>
      <c r="G22" s="3">
        <f t="shared" si="0"/>
        <v>4.6473081366656945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5.4473990536986497E-2</v>
      </c>
      <c r="L24">
        <f>((L21*K18)^2+(K21*L18)^2)^0.5</f>
        <v>6.481346945822361E-2</v>
      </c>
      <c r="M24" s="3">
        <f t="shared" ref="M24:M25" si="3">L24/K24</f>
        <v>1.1898057920727665</v>
      </c>
    </row>
    <row r="25" spans="3:13" x14ac:dyDescent="0.25">
      <c r="C25" t="s">
        <v>90</v>
      </c>
      <c r="E25">
        <f>1-E22</f>
        <v>0.97775176134311603</v>
      </c>
      <c r="F25">
        <f>F22</f>
        <v>0.10339442053661704</v>
      </c>
      <c r="G25" s="3">
        <f t="shared" si="0"/>
        <v>0.10574710741976717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0.99665722118126765</v>
      </c>
      <c r="L27">
        <f>((L24^2+L18^2)^0.5)</f>
        <v>9.4420322249668787E-2</v>
      </c>
      <c r="M27" s="3">
        <f t="shared" ref="M27:M28" si="4">L27/K27</f>
        <v>9.4737007110387489E-2</v>
      </c>
    </row>
    <row r="28" spans="3:13" x14ac:dyDescent="0.25">
      <c r="C28" t="s">
        <v>92</v>
      </c>
      <c r="E28">
        <f>E13*E25</f>
        <v>1.0937806192259817E-2</v>
      </c>
      <c r="F28">
        <f>((F25*E13)^2+(E25*F13)^2)^0.5</f>
        <v>7.1892286260255192E-2</v>
      </c>
      <c r="G28" s="3">
        <f t="shared" si="0"/>
        <v>6.57282502510696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3.3427788187323504E-3</v>
      </c>
      <c r="L30">
        <f>L27</f>
        <v>9.4420322249668787E-2</v>
      </c>
      <c r="M30" s="3">
        <f t="shared" ref="M30:M31" si="5">L30/K30</f>
        <v>28.246057358193649</v>
      </c>
    </row>
    <row r="31" spans="3:13" x14ac:dyDescent="0.25">
      <c r="C31" t="s">
        <v>91</v>
      </c>
      <c r="E31" s="6">
        <f>E28+E22</f>
        <v>3.3186044849143767E-2</v>
      </c>
      <c r="F31">
        <f>((F28^2)+F22^2)^0.5</f>
        <v>0.12593215245452327</v>
      </c>
      <c r="G31" s="3">
        <f t="shared" si="0"/>
        <v>3.7947321841750736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3.1495101467625196E-3</v>
      </c>
      <c r="L33">
        <f>((L30*K18)^2+(K30*L18)^2)^0.5</f>
        <v>8.8961540337115994E-2</v>
      </c>
      <c r="M33" s="3">
        <f t="shared" ref="M33:M34" si="6">L33/K33</f>
        <v>28.246151366923634</v>
      </c>
    </row>
    <row r="34" spans="3:13" x14ac:dyDescent="0.25">
      <c r="C34" t="s">
        <v>93</v>
      </c>
      <c r="E34">
        <f>1-E31</f>
        <v>0.96681395515085622</v>
      </c>
      <c r="F34">
        <f>F31</f>
        <v>0.12593215245452327</v>
      </c>
      <c r="G34" s="3">
        <f t="shared" si="0"/>
        <v>0.13025479388624828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0.99980673132803022</v>
      </c>
      <c r="L36">
        <f>((L33^2)+L27^2)^0.5</f>
        <v>0.12972799587168382</v>
      </c>
      <c r="M36" s="3">
        <f t="shared" ref="M36:M37" si="7">L36/K36</f>
        <v>0.12975307307580117</v>
      </c>
    </row>
    <row r="37" spans="3:13" x14ac:dyDescent="0.25">
      <c r="C37" t="s">
        <v>94</v>
      </c>
      <c r="E37">
        <f>E34*E13</f>
        <v>1.081544834129047E-2</v>
      </c>
      <c r="F37">
        <f>((F34*E13)^2+(E34*F13)^2)^0.5</f>
        <v>7.1092807967934921E-2</v>
      </c>
      <c r="G37" s="3">
        <f t="shared" si="0"/>
        <v>6.5732649932339582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4.400149319043424E-2</v>
      </c>
      <c r="F40">
        <f>(F37^2+F31^2)^0.5</f>
        <v>0.14461360367059167</v>
      </c>
      <c r="G40" s="3">
        <f t="shared" si="0"/>
        <v>3.2865612774711503</v>
      </c>
      <c r="J40" t="s">
        <v>79</v>
      </c>
      <c r="K40">
        <f>K36*E40</f>
        <v>4.3992989080280639E-2</v>
      </c>
      <c r="L40">
        <f>((F40*K36)^2+(L36*E40)^2)^0.5</f>
        <v>0.14469829057205114</v>
      </c>
      <c r="M40" s="3">
        <f>L40/K40</f>
        <v>3.2891215986255982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0.35918848087810529</v>
      </c>
      <c r="F43" s="3">
        <f>'Exp2'!Z4</f>
        <v>0.18099258461571491</v>
      </c>
      <c r="H43" t="s">
        <v>128</v>
      </c>
      <c r="J43" t="s">
        <v>79</v>
      </c>
      <c r="K43" s="3" t="e">
        <f>'Exp2'!Y7</f>
        <v>#VALUE!</v>
      </c>
      <c r="L43" s="3" t="e">
        <f>'Exp2'!Z7</f>
        <v>#VALUE!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0.87749748242798842</v>
      </c>
      <c r="I46" t="s">
        <v>132</v>
      </c>
      <c r="K46" s="3" t="e">
        <f>ABS(K40-K43)/K43</f>
        <v>#VALUE!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 t="e">
        <f>AVERAGE(K46,K47)</f>
        <v>#VALUE!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1.1364676715995772E-2</v>
      </c>
      <c r="C2">
        <f>'Exp1'!AO7</f>
        <v>7.587635029410407E-2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 t="e">
        <f>IF(K43&gt;E40,1,0)</f>
        <v>#VALUE!</v>
      </c>
      <c r="P3" t="e">
        <f>IF(O3=1,"='Exp1'!AN12","use solve")</f>
        <v>#VALUE!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87.991944248840881</v>
      </c>
      <c r="C5">
        <f>C2/B2^2</f>
        <v>587.47888318610489</v>
      </c>
      <c r="E5">
        <f>B5*F1</f>
        <v>62.85138874917206</v>
      </c>
      <c r="F5">
        <f>((C5*F$1)^2+(G$1*B5)^2)^0.5</f>
        <v>419.62871508452758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1.1364676715995772E-2</v>
      </c>
      <c r="Q7">
        <f>'Exp1'!AO12</f>
        <v>7.587635029410407E-2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1.5661366488492652E-2</v>
      </c>
      <c r="F9">
        <f>F5/((1+E5)^2)</f>
        <v>0.10292585995037214</v>
      </c>
      <c r="G9" s="3">
        <f>F9/E9</f>
        <v>6.5719590960340506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1.0823501634281687E-2</v>
      </c>
      <c r="Q10">
        <f>((L$9*P7)^2+(Q7*K$9)^2)^0.5</f>
        <v>7.2263352869330819E-2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1.1186690348923323E-2</v>
      </c>
      <c r="F13">
        <f>((F9*F$1)^2+(E9*G$1)^2)^0.5</f>
        <v>7.3518641611428251E-2</v>
      </c>
      <c r="G13" s="3">
        <f t="shared" si="0"/>
        <v>6.5719743121793073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0.98929239217649523</v>
      </c>
      <c r="K14">
        <f>Q10/((1+P10)^2)</f>
        <v>7.0724102784720966E-2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0.98881330965107672</v>
      </c>
      <c r="F16">
        <f>F13</f>
        <v>7.3518641611428251E-2</v>
      </c>
      <c r="G16" s="3">
        <f t="shared" si="0"/>
        <v>7.4350376247838759E-2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0.87687280215643892</v>
      </c>
      <c r="L18">
        <f>((J14*Q$16)^2+(K14*P$16)^2)^0.5</f>
        <v>6.5540591183508787E-2</v>
      </c>
      <c r="M18" s="3">
        <f>L18/K18</f>
        <v>7.4743555761256214E-2</v>
      </c>
      <c r="P18" t="s">
        <v>136</v>
      </c>
      <c r="S18">
        <f>J14*P16*(1-P19)</f>
        <v>2.2483918004011276E-2</v>
      </c>
      <c r="T18">
        <f>((J14*Q$16)^2+(K14*P$16)^2)^0.5</f>
        <v>6.5540591183508787E-2</v>
      </c>
      <c r="U18">
        <f>L18/K18</f>
        <v>7.4743555761256214E-2</v>
      </c>
    </row>
    <row r="19" spans="3:21" x14ac:dyDescent="0.25">
      <c r="C19" t="s">
        <v>87</v>
      </c>
      <c r="E19">
        <f>E16*E13</f>
        <v>1.106154830796063E-2</v>
      </c>
      <c r="F19">
        <f>((F16*E13)^2+(E16*F13)^2)^0.5</f>
        <v>7.2700863362914647E-2</v>
      </c>
      <c r="G19" s="3">
        <f t="shared" si="0"/>
        <v>6.5723948708513298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0.10064327983954979</v>
      </c>
      <c r="L21">
        <f>L18</f>
        <v>6.5540591183508787E-2</v>
      </c>
      <c r="M21" s="3">
        <f>L21/K21</f>
        <v>0.65121676566976605</v>
      </c>
    </row>
    <row r="22" spans="3:21" x14ac:dyDescent="0.25">
      <c r="C22" t="s">
        <v>89</v>
      </c>
      <c r="E22">
        <f>E19+E13</f>
        <v>2.2248238656883954E-2</v>
      </c>
      <c r="F22">
        <f>((F19^2+F13^2)^0.5)</f>
        <v>0.10339442053661704</v>
      </c>
      <c r="G22" s="3">
        <f t="shared" si="0"/>
        <v>4.6473081366656945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8.8251354811120661E-2</v>
      </c>
      <c r="L24">
        <f>((L21*K18)^2+(K21*L18)^2)^0.5</f>
        <v>5.7848064671509616E-2</v>
      </c>
      <c r="M24" s="3">
        <f t="shared" ref="M24:M25" si="2">L24/K24</f>
        <v>0.6554920861591137</v>
      </c>
    </row>
    <row r="25" spans="3:21" x14ac:dyDescent="0.25">
      <c r="C25" t="s">
        <v>90</v>
      </c>
      <c r="E25">
        <f>1-E22</f>
        <v>0.97775176134311603</v>
      </c>
      <c r="F25">
        <f>F22</f>
        <v>0.10339442053661704</v>
      </c>
      <c r="G25" s="3">
        <f t="shared" si="0"/>
        <v>0.10574710741976717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0.9651241569675596</v>
      </c>
      <c r="L27">
        <f>((L24^2+L18^2)^0.5)</f>
        <v>8.741834863987645E-2</v>
      </c>
      <c r="M27" s="3">
        <f t="shared" ref="M27:M28" si="3">L27/K27</f>
        <v>9.0577308638244786E-2</v>
      </c>
    </row>
    <row r="28" spans="3:21" x14ac:dyDescent="0.25">
      <c r="C28" t="s">
        <v>92</v>
      </c>
      <c r="E28">
        <f>E13*E25</f>
        <v>1.0937806192259817E-2</v>
      </c>
      <c r="F28">
        <f>((F25*E13)^2+(E25*F13)^2)^0.5</f>
        <v>7.1892286260255192E-2</v>
      </c>
      <c r="G28" s="3">
        <f t="shared" si="0"/>
        <v>6.57282502510696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3.4875843032440401E-2</v>
      </c>
      <c r="L30">
        <f>L27</f>
        <v>8.741834863987645E-2</v>
      </c>
      <c r="M30" s="3">
        <f t="shared" ref="M30:M31" si="4">L30/K30</f>
        <v>2.5065587248618675</v>
      </c>
    </row>
    <row r="31" spans="3:21" x14ac:dyDescent="0.25">
      <c r="C31" t="s">
        <v>91</v>
      </c>
      <c r="E31" s="6">
        <f>E28+E22</f>
        <v>3.3186044849143767E-2</v>
      </c>
      <c r="F31">
        <f>((F28^2)+F22^2)^0.5</f>
        <v>0.12593215245452327</v>
      </c>
      <c r="G31" s="3">
        <f t="shared" si="0"/>
        <v>3.7947321841750736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3.0581678207424131E-2</v>
      </c>
      <c r="L33">
        <f>((L30*K18)^2+(K30*L18)^2)^0.5</f>
        <v>7.6688844865773584E-2</v>
      </c>
      <c r="M33" s="3">
        <f t="shared" ref="M33:M34" si="5">L33/K33</f>
        <v>2.5076728734643572</v>
      </c>
    </row>
    <row r="34" spans="3:13" x14ac:dyDescent="0.25">
      <c r="C34" t="s">
        <v>93</v>
      </c>
      <c r="E34">
        <f>1-E31</f>
        <v>0.96681395515085622</v>
      </c>
      <c r="F34">
        <f>F31</f>
        <v>0.12593215245452327</v>
      </c>
      <c r="G34" s="3">
        <f t="shared" si="0"/>
        <v>0.13025479388624828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0.99570583517498368</v>
      </c>
      <c r="L36">
        <f>((L33^2)+L27^2)^0.5</f>
        <v>0.11628906485895256</v>
      </c>
      <c r="M36" s="3">
        <f t="shared" ref="M36:M37" si="6">L36/K36</f>
        <v>0.11679058287181386</v>
      </c>
    </row>
    <row r="37" spans="3:13" x14ac:dyDescent="0.25">
      <c r="C37" t="s">
        <v>94</v>
      </c>
      <c r="E37">
        <f>E34*E13</f>
        <v>1.081544834129047E-2</v>
      </c>
      <c r="F37">
        <f>((F34*E13)^2+(E34*F13)^2)^0.5</f>
        <v>7.1092807967934921E-2</v>
      </c>
      <c r="G37" s="3">
        <f t="shared" si="0"/>
        <v>6.5732649932339582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4.400149319043424E-2</v>
      </c>
      <c r="F40">
        <f>(F37^2+F31^2)^0.5</f>
        <v>0.14461360367059167</v>
      </c>
      <c r="G40" s="3">
        <f t="shared" si="0"/>
        <v>3.2865612774711503</v>
      </c>
      <c r="J40" t="s">
        <v>79</v>
      </c>
      <c r="K40">
        <f>K36*E40</f>
        <v>4.3812543526127685E-2</v>
      </c>
      <c r="L40">
        <f>((F40*K36)^2+(L36*E40)^2)^0.5</f>
        <v>0.1440834967695416</v>
      </c>
      <c r="M40" s="3">
        <f>L40/K40</f>
        <v>3.2886357461446436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0.35918848087810529</v>
      </c>
      <c r="F43" s="3">
        <f>'Exp2'!Z4</f>
        <v>0.18099258461571491</v>
      </c>
      <c r="H43" t="s">
        <v>128</v>
      </c>
      <c r="J43" t="s">
        <v>79</v>
      </c>
      <c r="K43" s="3" t="e">
        <f>'Exp2'!Y11</f>
        <v>#VALUE!</v>
      </c>
      <c r="L43" s="3" t="e">
        <f>'Exp2'!Z11</f>
        <v>#VALUE!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0.87749748242798842</v>
      </c>
      <c r="I46" t="s">
        <v>132</v>
      </c>
      <c r="K46" s="3" t="e">
        <f>ABS(K40-K43)/K43</f>
        <v>#VALUE!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 t="e">
        <f>AVERAGE(K46,K47)</f>
        <v>#VALUE!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1.1364676715995772E-2</v>
      </c>
      <c r="C2">
        <f>'Exp1'!AO7</f>
        <v>7.587635029410407E-2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 t="e">
        <f>IF(K43&gt;E40,1,0)</f>
        <v>#VALUE!</v>
      </c>
      <c r="P3" t="e">
        <f>IF(O3=1,"='Exp1'!AN12","use solve")</f>
        <v>#VALUE!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87.991944248840881</v>
      </c>
      <c r="C5">
        <f>C2/B2^2</f>
        <v>587.47888318610489</v>
      </c>
      <c r="E5">
        <f>B5*F1</f>
        <v>62.85138874917206</v>
      </c>
      <c r="F5">
        <f>((C5*F$1)^2+(G$1*B5)^2)^0.5</f>
        <v>419.62871508452758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1.1364676715995772E-2</v>
      </c>
      <c r="Q7">
        <f>'Exp1'!AO12</f>
        <v>7.587635029410407E-2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1.5661366488492652E-2</v>
      </c>
      <c r="F9">
        <f>F5/((1+E5)^2)</f>
        <v>0.10292585995037214</v>
      </c>
      <c r="G9" s="3">
        <f>F9/E9</f>
        <v>6.5719590960340506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1.0823501634281687E-2</v>
      </c>
      <c r="Q10">
        <f>((L$9*P7)^2+(Q7*K$9)^2)^0.5</f>
        <v>7.2263352869330819E-2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1.1186690348923323E-2</v>
      </c>
      <c r="F13">
        <f>((F9*F$1)^2+(E9*G$1)^2)^0.5</f>
        <v>7.3518641611428251E-2</v>
      </c>
      <c r="G13" s="3">
        <f t="shared" si="0"/>
        <v>6.5719743121793073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0.98929239217649523</v>
      </c>
      <c r="K14">
        <f>Q10/((1+P10)^2)</f>
        <v>7.0724102784720966E-2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0.98881330965107672</v>
      </c>
      <c r="F16">
        <f>F13</f>
        <v>7.3518641611428251E-2</v>
      </c>
      <c r="G16" s="3">
        <f t="shared" si="0"/>
        <v>7.4350376247838759E-2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0.89935672016045021</v>
      </c>
      <c r="L18">
        <f>((J14*Q$16)^2+(K14*P$16)^2)^0.5</f>
        <v>6.5540591183508787E-2</v>
      </c>
      <c r="M18" s="3">
        <f t="shared" ref="M18:M19" si="1">L18/K18</f>
        <v>7.2874966867224819E-2</v>
      </c>
    </row>
    <row r="19" spans="3:13" x14ac:dyDescent="0.25">
      <c r="C19" t="s">
        <v>87</v>
      </c>
      <c r="E19">
        <f>E16*E13</f>
        <v>1.106154830796063E-2</v>
      </c>
      <c r="F19">
        <f>((F16*E13)^2+(E16*F13)^2)^0.5</f>
        <v>7.2700863362914647E-2</v>
      </c>
      <c r="G19" s="3">
        <f t="shared" si="0"/>
        <v>6.5723948708513298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0.10064327983954979</v>
      </c>
      <c r="L21">
        <f>L18</f>
        <v>6.5540591183508787E-2</v>
      </c>
      <c r="M21" s="3">
        <f>L21/K21</f>
        <v>0.65121676566976605</v>
      </c>
    </row>
    <row r="22" spans="3:13" x14ac:dyDescent="0.25">
      <c r="C22" t="s">
        <v>89</v>
      </c>
      <c r="E22">
        <f>E19+E13</f>
        <v>2.2248238656883954E-2</v>
      </c>
      <c r="F22">
        <f>((F19^2+F13^2)^0.5)</f>
        <v>0.10339442053661704</v>
      </c>
      <c r="G22" s="3">
        <f t="shared" si="0"/>
        <v>4.6473081366656945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9.0514210062687867E-2</v>
      </c>
      <c r="L24">
        <f>((L21*K18)^2+(K21*L18)^2)^0.5</f>
        <v>5.9312300632296179E-2</v>
      </c>
      <c r="M24" s="3">
        <f t="shared" ref="M24:M25" si="3">L24/K24</f>
        <v>0.65528164683995993</v>
      </c>
    </row>
    <row r="25" spans="3:13" x14ac:dyDescent="0.25">
      <c r="C25" t="s">
        <v>90</v>
      </c>
      <c r="E25">
        <f>1-E22</f>
        <v>0.97775176134311603</v>
      </c>
      <c r="F25">
        <f>F22</f>
        <v>0.10339442053661704</v>
      </c>
      <c r="G25" s="3">
        <f t="shared" si="0"/>
        <v>0.10574710741976717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0.9898709302231381</v>
      </c>
      <c r="L27">
        <f>((L24^2+L18^2)^0.5)</f>
        <v>8.8394106698239286E-2</v>
      </c>
      <c r="M27" s="3">
        <f t="shared" ref="M27:M28" si="4">L27/K27</f>
        <v>8.9298618637394842E-2</v>
      </c>
    </row>
    <row r="28" spans="3:13" x14ac:dyDescent="0.25">
      <c r="C28" t="s">
        <v>92</v>
      </c>
      <c r="E28">
        <f>E13*E25</f>
        <v>1.0937806192259817E-2</v>
      </c>
      <c r="F28">
        <f>((F25*E13)^2+(E25*F13)^2)^0.5</f>
        <v>7.1892286260255192E-2</v>
      </c>
      <c r="G28" s="3">
        <f t="shared" si="0"/>
        <v>6.57282502510696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1.0129069776861899E-2</v>
      </c>
      <c r="L30">
        <f>L27</f>
        <v>8.8394106698239286E-2</v>
      </c>
      <c r="M30" s="3">
        <f t="shared" ref="M30:M31" si="5">L30/K30</f>
        <v>8.7267743875316448</v>
      </c>
    </row>
    <row r="31" spans="3:13" x14ac:dyDescent="0.25">
      <c r="C31" t="s">
        <v>91</v>
      </c>
      <c r="E31" s="6">
        <f>E28+E22</f>
        <v>3.3186044849143767E-2</v>
      </c>
      <c r="F31">
        <f>((F28^2)+F22^2)^0.5</f>
        <v>0.12593215245452327</v>
      </c>
      <c r="G31" s="3">
        <f t="shared" si="0"/>
        <v>3.7947321841750736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9.109646972794861E-3</v>
      </c>
      <c r="L33">
        <f>((L30*K18)^2+(K30*L18)^2)^0.5</f>
        <v>7.9500605714076897E-2</v>
      </c>
      <c r="M33" s="3">
        <f t="shared" ref="M33:M34" si="6">L33/K33</f>
        <v>8.7270786619391814</v>
      </c>
    </row>
    <row r="34" spans="3:14" x14ac:dyDescent="0.25">
      <c r="C34" t="s">
        <v>93</v>
      </c>
      <c r="E34">
        <f>1-E31</f>
        <v>0.96681395515085622</v>
      </c>
      <c r="F34">
        <f>F31</f>
        <v>0.12593215245452327</v>
      </c>
      <c r="G34" s="3">
        <f t="shared" si="0"/>
        <v>0.13025479388624828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0.99898057719593292</v>
      </c>
      <c r="L36">
        <f>((L33^2)+L27^2)^0.5</f>
        <v>0.11888593023518312</v>
      </c>
      <c r="M36" s="3">
        <f t="shared" ref="M36:M37" si="7">L36/K36</f>
        <v>0.11900724893860042</v>
      </c>
    </row>
    <row r="37" spans="3:14" x14ac:dyDescent="0.25">
      <c r="C37" t="s">
        <v>94</v>
      </c>
      <c r="E37">
        <f>E34*E13</f>
        <v>1.081544834129047E-2</v>
      </c>
      <c r="F37">
        <f>((F34*E13)^2+(E34*F13)^2)^0.5</f>
        <v>7.1092807967934921E-2</v>
      </c>
      <c r="G37" s="3">
        <f t="shared" si="0"/>
        <v>6.5732649932339582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4.400149319043424E-2</v>
      </c>
      <c r="F40">
        <f>(F37^2+F31^2)^0.5</f>
        <v>0.14461360367059167</v>
      </c>
      <c r="G40" s="3">
        <f t="shared" si="0"/>
        <v>3.2865612774711503</v>
      </c>
      <c r="J40" t="s">
        <v>79</v>
      </c>
      <c r="K40">
        <f>K36*E40</f>
        <v>4.3956637064862907E-2</v>
      </c>
      <c r="L40">
        <f>((F40*K36)^2+(L36*E40)^2)^0.5</f>
        <v>0.14456086105196117</v>
      </c>
      <c r="M40" s="3">
        <f>L40/K40</f>
        <v>3.2887152135557036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 t="e">
        <f>'Exp2'!Y14</f>
        <v>#VALUE!</v>
      </c>
      <c r="F43" s="3" t="e">
        <f>'Exp2'!Z14</f>
        <v>#VALUE!</v>
      </c>
      <c r="H43" t="s">
        <v>128</v>
      </c>
      <c r="J43" t="s">
        <v>79</v>
      </c>
      <c r="K43" t="e">
        <f>'Exp2'!Y17</f>
        <v>#VALUE!</v>
      </c>
      <c r="L43" t="e">
        <f>'Exp2'!Z17</f>
        <v>#VALUE!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 t="e">
        <f>ABS(E40-E43)/E43</f>
        <v>#VALUE!</v>
      </c>
      <c r="I46" t="s">
        <v>132</v>
      </c>
      <c r="K46" s="3" t="e">
        <f>ABS(K40-K43)/K43</f>
        <v>#VALUE!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 t="e">
        <f>AVERAGE(K46,K47)</f>
        <v>#VALUE!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1.1364676715995772E-2</v>
      </c>
      <c r="C2">
        <f>Exp2_Act_C1!C2</f>
        <v>7.587635029410407E-2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7.127184400583916</v>
      </c>
      <c r="J3">
        <f>AVERAGE(I3:I4)</f>
        <v>3.5605260338330678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87.991944248840881</v>
      </c>
      <c r="C5">
        <f>C2/B2^2</f>
        <v>587.47888318610489</v>
      </c>
      <c r="E5">
        <f>B5*F1</f>
        <v>87.991944248840881</v>
      </c>
      <c r="F5">
        <f>((C5*F$1)^2+(G$1*B5)^2)^0.5</f>
        <v>587.47955560087928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1.1364676715995772E-2</v>
      </c>
      <c r="Q7">
        <f>C2</f>
        <v>7.587635029410407E-2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1.1236972160129258E-2</v>
      </c>
      <c r="F9">
        <f>F5/((1+E5)^2)</f>
        <v>7.4180775199977428E-2</v>
      </c>
      <c r="G9" s="3">
        <f>F9/E9</f>
        <v>6.6014914109321889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1.0823501634281687E-2</v>
      </c>
      <c r="Q10">
        <f>((L$9*P7)^2+(Q7*K$9)^2)^0.5</f>
        <v>7.2263352869330819E-2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1.1236972160129258E-2</v>
      </c>
      <c r="F13">
        <f>((F9*F$1)^2+(E9*G$1)^2)^0.5</f>
        <v>7.4180862046196686E-2</v>
      </c>
      <c r="G13" s="3">
        <f t="shared" si="0"/>
        <v>6.6014991395460916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0.98929239217649523</v>
      </c>
      <c r="K14">
        <f>Q10/((1+P10)^2)</f>
        <v>7.0724102784720966E-2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0.98876302783987069</v>
      </c>
      <c r="F16">
        <f>F13</f>
        <v>7.4180862046196686E-2</v>
      </c>
      <c r="G16" s="3">
        <f t="shared" si="0"/>
        <v>7.5023903561865599E-2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0.98929239217649523</v>
      </c>
      <c r="L18">
        <f>((J14*Q$16)^2+(K14*P$16)^2)^0.5</f>
        <v>7.1968330276068207E-2</v>
      </c>
      <c r="M18" s="3">
        <f t="shared" ref="M18:M19" si="1">L18/K18</f>
        <v>7.2747279616427754E-2</v>
      </c>
    </row>
    <row r="19" spans="3:13" x14ac:dyDescent="0.25">
      <c r="C19" t="s">
        <v>87</v>
      </c>
      <c r="E19">
        <f>E16*E13</f>
        <v>1.1110702616801738E-2</v>
      </c>
      <c r="F19">
        <f>((F16*E13)^2+(E16*F13)^2)^0.5</f>
        <v>7.3352030228659271E-2</v>
      </c>
      <c r="G19" s="3">
        <f t="shared" si="0"/>
        <v>6.6019254369868063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1.0707607823504772E-2</v>
      </c>
      <c r="L21">
        <f>L18</f>
        <v>7.1968330276068207E-2</v>
      </c>
      <c r="M21" s="3">
        <f>L21/K21</f>
        <v>6.7212333008767047</v>
      </c>
    </row>
    <row r="22" spans="3:13" x14ac:dyDescent="0.25">
      <c r="C22" t="s">
        <v>89</v>
      </c>
      <c r="E22">
        <f>E19+E13</f>
        <v>2.2347674776930997E-2</v>
      </c>
      <c r="F22">
        <f>((F19^2+F13^2)^0.5)</f>
        <v>0.10432315482472244</v>
      </c>
      <c r="G22" s="3">
        <f t="shared" si="0"/>
        <v>4.6681883402211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1.0592954958202791E-2</v>
      </c>
      <c r="L24">
        <f>((L21*K18)^2+(K21*L18)^2)^0.5</f>
        <v>7.1201891839655237E-2</v>
      </c>
      <c r="M24" s="3">
        <f t="shared" ref="M24:M25" si="3">L24/K24</f>
        <v>6.7216269794972678</v>
      </c>
    </row>
    <row r="25" spans="3:13" x14ac:dyDescent="0.25">
      <c r="C25" t="s">
        <v>90</v>
      </c>
      <c r="E25">
        <f>1-E22</f>
        <v>0.977652325223069</v>
      </c>
      <c r="F25">
        <f>F22</f>
        <v>0.10432315482472244</v>
      </c>
      <c r="G25" s="3">
        <f t="shared" si="0"/>
        <v>0.10670782663041203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0.99988534713469801</v>
      </c>
      <c r="L27">
        <f>((L24^2+L18^2)^0.5)</f>
        <v>0.10123808554230566</v>
      </c>
      <c r="M27" s="3">
        <f t="shared" ref="M27:M28" si="4">L27/K27</f>
        <v>0.10124969410984631</v>
      </c>
    </row>
    <row r="28" spans="3:13" x14ac:dyDescent="0.25">
      <c r="C28" t="s">
        <v>92</v>
      </c>
      <c r="E28">
        <f>E13*E25</f>
        <v>1.0985851960817262E-2</v>
      </c>
      <c r="F28">
        <f>((F25*E13)^2+(E25*F13)^2)^0.5</f>
        <v>7.2532566091540851E-2</v>
      </c>
      <c r="G28" s="3">
        <f t="shared" si="0"/>
        <v>6.6023615055290614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1.1465286530198959E-4</v>
      </c>
      <c r="L30">
        <f>L27</f>
        <v>0.10123808554230566</v>
      </c>
      <c r="M30" s="3">
        <f t="shared" ref="M30:M31" si="5">L30/K30</f>
        <v>882.99655901010317</v>
      </c>
    </row>
    <row r="31" spans="3:13" x14ac:dyDescent="0.25">
      <c r="C31" t="s">
        <v>91</v>
      </c>
      <c r="E31" s="6">
        <f>E28+E22</f>
        <v>3.3333526737748261E-2</v>
      </c>
      <c r="F31">
        <f>((F28^2)+F22^2)^0.5</f>
        <v>0.12706019745147082</v>
      </c>
      <c r="G31" s="3">
        <f t="shared" si="0"/>
        <v>3.8117838070696135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1.1342520738449477E-4</v>
      </c>
      <c r="L33">
        <f>((L30*K18)^2+(K30*L18)^2)^0.5</f>
        <v>0.10015406816541851</v>
      </c>
      <c r="M33" s="3">
        <f t="shared" ref="M33:M34" si="6">L33/K33</f>
        <v>882.9965620068117</v>
      </c>
    </row>
    <row r="34" spans="3:13" x14ac:dyDescent="0.25">
      <c r="C34" t="s">
        <v>93</v>
      </c>
      <c r="E34">
        <f>1-E31</f>
        <v>0.96666647326225175</v>
      </c>
      <c r="F34">
        <f>F31</f>
        <v>0.12706019745147082</v>
      </c>
      <c r="G34" s="3">
        <f t="shared" si="0"/>
        <v>0.13144160986847428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0.99999877234208245</v>
      </c>
      <c r="L36">
        <f>((L33^2)+L27^2)^0.5</f>
        <v>0.14240782048172249</v>
      </c>
      <c r="M36" s="3">
        <f t="shared" ref="M36:M37" si="7">L36/K36</f>
        <v>0.14240799531002546</v>
      </c>
    </row>
    <row r="37" spans="3:13" x14ac:dyDescent="0.25">
      <c r="C37" t="s">
        <v>94</v>
      </c>
      <c r="E37">
        <f>E34*E13</f>
        <v>1.0862404248178257E-2</v>
      </c>
      <c r="F37">
        <f>((F34*E13)^2+(E34*F13)^2)^0.5</f>
        <v>7.1722364981642112E-2</v>
      </c>
      <c r="G37" s="3">
        <f t="shared" si="0"/>
        <v>6.6028075684690828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4.4195930985926515E-2</v>
      </c>
      <c r="F40">
        <f>(F37^2+F31^2)^0.5</f>
        <v>0.14590541941602661</v>
      </c>
      <c r="G40" s="3">
        <f t="shared" si="0"/>
        <v>3.3013315063436011</v>
      </c>
      <c r="J40" t="s">
        <v>79</v>
      </c>
      <c r="K40" s="59">
        <f>K36*E40</f>
        <v>4.419587672844192E-2</v>
      </c>
      <c r="L40" s="59">
        <f>((F40*K36)^2+(L36*E40)^2)^0.5</f>
        <v>0.14604092455656831</v>
      </c>
      <c r="M40" s="3">
        <f>L40/K40</f>
        <v>3.3044015724341267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0.35918848087810529</v>
      </c>
      <c r="F43" s="3">
        <f>'Exp2'!Z4</f>
        <v>0.18099258461571491</v>
      </c>
      <c r="H43" t="s">
        <v>128</v>
      </c>
      <c r="J43" t="s">
        <v>79</v>
      </c>
      <c r="K43" s="3" t="e">
        <f>'Exp2'!Y7</f>
        <v>#VALUE!</v>
      </c>
      <c r="L43" s="3" t="e">
        <f>'Exp2'!Z7</f>
        <v>#VALUE!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0.87695615717441422</v>
      </c>
      <c r="I46" t="s">
        <v>132</v>
      </c>
      <c r="K46" s="3" t="e">
        <f>ABS(K40-K43)/K43</f>
        <v>#VALUE!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 t="e">
        <f>AVERAGE(K46,K47)</f>
        <v>#VALUE!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1.1364676715995772E-2</v>
      </c>
      <c r="C2">
        <f>'Exp1'!W17</f>
        <v>0.31404337513979302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87.991944248840881</v>
      </c>
      <c r="C5">
        <f>C2/B2^2</f>
        <v>2431.5066629325815</v>
      </c>
      <c r="E5">
        <f>B5*F1</f>
        <v>87.991944248840881</v>
      </c>
      <c r="F5">
        <f>((C5*F$1)^2+(G$1*B5)^2)^0.5</f>
        <v>2431.5068253955101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1.1364676715995772E-2</v>
      </c>
      <c r="Q7">
        <f>Exp2_Act_C2!Q7</f>
        <v>7.587635029410407E-2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1.1236972160129258E-2</v>
      </c>
      <c r="F9">
        <f>F5/((1+E5)^2)</f>
        <v>0.30702525644043899</v>
      </c>
      <c r="G9" s="3">
        <f>F9/E9</f>
        <v>27.322774504133619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1.0823501634281687E-2</v>
      </c>
      <c r="Q10">
        <f>((L$9*P7)^2+(Q7*K$9)^2)^0.5</f>
        <v>7.2263352869330819E-2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1.1236972160129258E-2</v>
      </c>
      <c r="F13">
        <f>((F9*F$1)^2+(E9*G$1)^2)^0.5</f>
        <v>0.30702527742347957</v>
      </c>
      <c r="G13" s="3">
        <f t="shared" si="0"/>
        <v>27.322776371455198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0.98929239217649523</v>
      </c>
      <c r="K14">
        <f>Q10/((1+P10)^2)</f>
        <v>7.0724102784720966E-2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0.98876302783987069</v>
      </c>
      <c r="F16">
        <f>F13</f>
        <v>0.30702527742347957</v>
      </c>
      <c r="G16" s="3">
        <f t="shared" si="0"/>
        <v>0.31051452044503636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0.98929239217649523</v>
      </c>
      <c r="L18">
        <f>((J14*Q$16)^2+(K14*P$16)^2)^0.5</f>
        <v>7.18586613897262E-2</v>
      </c>
      <c r="M18" s="3">
        <f t="shared" ref="M18:M19" si="1">L18/K18</f>
        <v>7.2636423728715205E-2</v>
      </c>
    </row>
    <row r="19" spans="3:13" x14ac:dyDescent="0.25">
      <c r="C19" t="s">
        <v>87</v>
      </c>
      <c r="E19">
        <f>E16*E13</f>
        <v>1.1110702616801738E-2</v>
      </c>
      <c r="F19">
        <f>((F16*E13)^2+(E16*F13)^2)^0.5</f>
        <v>0.30359484655900193</v>
      </c>
      <c r="G19" s="3">
        <f t="shared" si="0"/>
        <v>27.324540763056888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1.0707607823504772E-2</v>
      </c>
      <c r="L21">
        <f>L18</f>
        <v>7.18586613897262E-2</v>
      </c>
      <c r="M21" s="3">
        <f>L21/K21</f>
        <v>6.7109911545308822</v>
      </c>
    </row>
    <row r="22" spans="3:13" x14ac:dyDescent="0.25">
      <c r="C22" t="s">
        <v>89</v>
      </c>
      <c r="E22">
        <f>E19+E13</f>
        <v>2.2347674776930997E-2</v>
      </c>
      <c r="F22">
        <f>((F19^2+F13^2)^0.5)</f>
        <v>0.43178044401541454</v>
      </c>
      <c r="G22" s="3">
        <f t="shared" si="0"/>
        <v>19.321045626685592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1.0592954958202791E-2</v>
      </c>
      <c r="L24">
        <f>((L21*K18)^2+(K21*L18)^2)^0.5</f>
        <v>7.1093390889952146E-2</v>
      </c>
      <c r="M24" s="3">
        <f t="shared" ref="M24:M25" si="3">L24/K24</f>
        <v>6.7113842332445737</v>
      </c>
    </row>
    <row r="25" spans="3:13" x14ac:dyDescent="0.25">
      <c r="C25" t="s">
        <v>90</v>
      </c>
      <c r="E25">
        <f>1-E22</f>
        <v>0.977652325223069</v>
      </c>
      <c r="F25">
        <f>F22</f>
        <v>0.43178044401541454</v>
      </c>
      <c r="G25" s="3">
        <f t="shared" si="0"/>
        <v>0.44165030131432054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0.99988534713469801</v>
      </c>
      <c r="L27">
        <f>((L24^2+L18^2)^0.5)</f>
        <v>0.10108381396126116</v>
      </c>
      <c r="M27" s="3">
        <f t="shared" ref="M27:M28" si="4">L27/K27</f>
        <v>0.10109540483909484</v>
      </c>
    </row>
    <row r="28" spans="3:13" x14ac:dyDescent="0.25">
      <c r="C28" t="s">
        <v>92</v>
      </c>
      <c r="E28">
        <f>E13*E25</f>
        <v>1.0985851960817262E-2</v>
      </c>
      <c r="F28">
        <f>((F25*E13)^2+(E25*F13)^2)^0.5</f>
        <v>0.30020318734802248</v>
      </c>
      <c r="G28" s="3">
        <f t="shared" si="0"/>
        <v>27.326345596021458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1.1465286530198959E-4</v>
      </c>
      <c r="L30">
        <f>L27</f>
        <v>0.10108381396126116</v>
      </c>
      <c r="M30" s="3">
        <f t="shared" ref="M30:M31" si="5">L30/K30</f>
        <v>881.65100536311706</v>
      </c>
    </row>
    <row r="31" spans="3:13" x14ac:dyDescent="0.25">
      <c r="C31" t="s">
        <v>91</v>
      </c>
      <c r="E31" s="6">
        <f>E28+E22</f>
        <v>3.3333526737748261E-2</v>
      </c>
      <c r="F31">
        <f>((F28^2)+F22^2)^0.5</f>
        <v>0.52588620967663757</v>
      </c>
      <c r="G31" s="3">
        <f t="shared" si="0"/>
        <v>15.776494752987007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1.1342520738449477E-4</v>
      </c>
      <c r="L33">
        <f>((L30*K18)^2+(K30*L18)^2)^0.5</f>
        <v>0.10000144846344419</v>
      </c>
      <c r="M33" s="3">
        <f t="shared" ref="M33:M34" si="6">L33/K33</f>
        <v>881.65100835525914</v>
      </c>
    </row>
    <row r="34" spans="3:13" x14ac:dyDescent="0.25">
      <c r="C34" t="s">
        <v>93</v>
      </c>
      <c r="E34">
        <f>1-E31</f>
        <v>0.96666647326225175</v>
      </c>
      <c r="F34">
        <f>F31</f>
        <v>0.52588620967663757</v>
      </c>
      <c r="G34" s="3">
        <f t="shared" si="0"/>
        <v>0.54402032575093484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0.99999877234208245</v>
      </c>
      <c r="L36">
        <f>((L33^2)+L27^2)^0.5</f>
        <v>0.14219081243083798</v>
      </c>
      <c r="M36" s="3">
        <f t="shared" ref="M36:M37" si="7">L36/K36</f>
        <v>0.14219098699272897</v>
      </c>
    </row>
    <row r="37" spans="3:13" x14ac:dyDescent="0.25">
      <c r="C37" t="s">
        <v>94</v>
      </c>
      <c r="E37">
        <f>E34*E13</f>
        <v>1.0862404248178257E-2</v>
      </c>
      <c r="F37">
        <f>((F34*E13)^2+(E34*F13)^2)^0.5</f>
        <v>0.29684986664408469</v>
      </c>
      <c r="G37" s="3">
        <f t="shared" si="0"/>
        <v>27.328191794543979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4.4195930985926515E-2</v>
      </c>
      <c r="F40">
        <f>(F37^2+F31^2)^0.5</f>
        <v>0.60388421808710258</v>
      </c>
      <c r="G40" s="3">
        <f t="shared" si="0"/>
        <v>13.663796748153123</v>
      </c>
      <c r="J40" t="s">
        <v>79</v>
      </c>
      <c r="K40" s="60">
        <f>K36*E40</f>
        <v>4.419587672844192E-2</v>
      </c>
      <c r="L40" s="60">
        <f>((F40*K36)^2+(L36*E40)^2)^0.5</f>
        <v>0.60391617408808373</v>
      </c>
      <c r="M40" s="3">
        <f>L40/K40</f>
        <v>13.664536576540817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0.35918848087810529</v>
      </c>
      <c r="F43" s="3">
        <f>'Exp2'!Z4</f>
        <v>0.18099258461571491</v>
      </c>
      <c r="H43" t="s">
        <v>128</v>
      </c>
      <c r="J43" t="s">
        <v>79</v>
      </c>
      <c r="K43" s="3" t="e">
        <f>'Exp2'!Y11</f>
        <v>#VALUE!</v>
      </c>
      <c r="L43" s="3" t="e">
        <f>'Exp2'!Z11</f>
        <v>#VALUE!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0.87695615717441422</v>
      </c>
      <c r="I46" t="s">
        <v>132</v>
      </c>
      <c r="K46" s="3" t="e">
        <f>ABS(K40-K43)/K43</f>
        <v>#VALUE!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 t="e">
        <f>AVERAGE(K46,K47)</f>
        <v>#VALUE!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1.1364676715995772E-2</v>
      </c>
      <c r="C2">
        <f>'Exp1'!W17</f>
        <v>0.31404337513979302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87.991944248840881</v>
      </c>
      <c r="C5">
        <f>C2/B2^2</f>
        <v>2431.5066629325815</v>
      </c>
      <c r="E5">
        <f>B5*F1</f>
        <v>87.991944248840881</v>
      </c>
      <c r="F5">
        <f>((C5*F$1)^2+(G$1*B5)^2)^0.5</f>
        <v>2431.5068253955101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1.1364676715995772E-2</v>
      </c>
      <c r="Q7">
        <f>Exp2_Act_C3!Q7</f>
        <v>7.587635029410407E-2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1.1236972160129258E-2</v>
      </c>
      <c r="F9">
        <f>F5/((1+E5)^2)</f>
        <v>0.30702525644043899</v>
      </c>
      <c r="G9" s="3">
        <f>F9/E9</f>
        <v>27.322774504133619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1.0823501634281687E-2</v>
      </c>
      <c r="Q10">
        <f>((L$9*P7)^2+(Q7*K$9)^2)^0.5</f>
        <v>7.2263352869330819E-2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1.1236972160129258E-2</v>
      </c>
      <c r="F13">
        <f>((F9*F$1)^2+(E9*G$1)^2)^0.5</f>
        <v>0.30702527742347957</v>
      </c>
      <c r="G13" s="3">
        <f t="shared" si="0"/>
        <v>27.322776371455198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0.98929239217649523</v>
      </c>
      <c r="K14">
        <f>Q10/((1+P10)^2)</f>
        <v>7.0724102784720966E-2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0.98876302783987069</v>
      </c>
      <c r="F16">
        <f>F13</f>
        <v>0.30702527742347957</v>
      </c>
      <c r="G16" s="3">
        <f t="shared" si="0"/>
        <v>0.31051452044503636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0.98929239217649523</v>
      </c>
      <c r="L18">
        <f>((J14*Q$16)^2+(K14*P$16)^2)^0.5</f>
        <v>7.18586613897262E-2</v>
      </c>
      <c r="M18" s="3">
        <f t="shared" ref="M18:M19" si="1">L18/K18</f>
        <v>7.2636423728715205E-2</v>
      </c>
    </row>
    <row r="19" spans="3:13" x14ac:dyDescent="0.25">
      <c r="C19" t="s">
        <v>87</v>
      </c>
      <c r="E19">
        <f>E16*E13</f>
        <v>1.1110702616801738E-2</v>
      </c>
      <c r="F19">
        <f>((F16*E13)^2+(E16*F13)^2)^0.5</f>
        <v>0.30359484655900193</v>
      </c>
      <c r="G19" s="3">
        <f t="shared" si="0"/>
        <v>27.324540763056888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1.0707607823504772E-2</v>
      </c>
      <c r="L21">
        <f>L18</f>
        <v>7.18586613897262E-2</v>
      </c>
      <c r="M21" s="3">
        <f>L21/K21</f>
        <v>6.7109911545308822</v>
      </c>
    </row>
    <row r="22" spans="3:13" x14ac:dyDescent="0.25">
      <c r="C22" t="s">
        <v>89</v>
      </c>
      <c r="E22">
        <f>E19+E13</f>
        <v>2.2347674776930997E-2</v>
      </c>
      <c r="F22">
        <f>((F19^2+F13^2)^0.5)</f>
        <v>0.43178044401541454</v>
      </c>
      <c r="G22" s="3">
        <f t="shared" si="0"/>
        <v>19.321045626685592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1.0592954958202791E-2</v>
      </c>
      <c r="L24">
        <f>((L21*K18)^2+(K21*L18)^2)^0.5</f>
        <v>7.1093390889952146E-2</v>
      </c>
      <c r="M24" s="3">
        <f t="shared" ref="M24:M25" si="3">L24/K24</f>
        <v>6.7113842332445737</v>
      </c>
    </row>
    <row r="25" spans="3:13" x14ac:dyDescent="0.25">
      <c r="C25" t="s">
        <v>90</v>
      </c>
      <c r="E25">
        <f>1-E22</f>
        <v>0.977652325223069</v>
      </c>
      <c r="F25">
        <f>F22</f>
        <v>0.43178044401541454</v>
      </c>
      <c r="G25" s="3">
        <f t="shared" si="0"/>
        <v>0.44165030131432054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0.99988534713469801</v>
      </c>
      <c r="L27">
        <f>((L24^2+L18^2)^0.5)</f>
        <v>0.10108381396126116</v>
      </c>
      <c r="M27" s="3">
        <f t="shared" ref="M27:M28" si="4">L27/K27</f>
        <v>0.10109540483909484</v>
      </c>
    </row>
    <row r="28" spans="3:13" x14ac:dyDescent="0.25">
      <c r="C28" t="s">
        <v>92</v>
      </c>
      <c r="E28">
        <f>E13*E25</f>
        <v>1.0985851960817262E-2</v>
      </c>
      <c r="F28">
        <f>((F25*E13)^2+(E25*F13)^2)^0.5</f>
        <v>0.30020318734802248</v>
      </c>
      <c r="G28" s="3">
        <f t="shared" si="0"/>
        <v>27.326345596021458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1.1465286530198959E-4</v>
      </c>
      <c r="L30">
        <f>L27</f>
        <v>0.10108381396126116</v>
      </c>
      <c r="M30" s="3">
        <f t="shared" ref="M30:M31" si="5">L30/K30</f>
        <v>881.65100536311706</v>
      </c>
    </row>
    <row r="31" spans="3:13" x14ac:dyDescent="0.25">
      <c r="C31" t="s">
        <v>91</v>
      </c>
      <c r="E31" s="6">
        <f>E28+E22</f>
        <v>3.3333526737748261E-2</v>
      </c>
      <c r="F31">
        <f>((F28^2)+F22^2)^0.5</f>
        <v>0.52588620967663757</v>
      </c>
      <c r="G31" s="3">
        <f t="shared" si="0"/>
        <v>15.776494752987007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1.1342520738449477E-4</v>
      </c>
      <c r="L33">
        <f>((L30*K18)^2+(K30*L18)^2)^0.5</f>
        <v>0.10000144846344419</v>
      </c>
      <c r="M33" s="3">
        <f t="shared" ref="M33:M34" si="6">L33/K33</f>
        <v>881.65100835525914</v>
      </c>
    </row>
    <row r="34" spans="3:14" x14ac:dyDescent="0.25">
      <c r="C34" t="s">
        <v>93</v>
      </c>
      <c r="E34">
        <f>1-E31</f>
        <v>0.96666647326225175</v>
      </c>
      <c r="F34">
        <f>F31</f>
        <v>0.52588620967663757</v>
      </c>
      <c r="G34" s="3">
        <f t="shared" si="0"/>
        <v>0.54402032575093484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0.99999877234208245</v>
      </c>
      <c r="L36">
        <f>((L33^2)+L27^2)^0.5</f>
        <v>0.14219081243083798</v>
      </c>
      <c r="M36" s="3">
        <f t="shared" ref="M36:M37" si="7">L36/K36</f>
        <v>0.14219098699272897</v>
      </c>
    </row>
    <row r="37" spans="3:14" x14ac:dyDescent="0.25">
      <c r="C37" t="s">
        <v>94</v>
      </c>
      <c r="E37">
        <f>E34*E13</f>
        <v>1.0862404248178257E-2</v>
      </c>
      <c r="F37">
        <f>((F34*E13)^2+(E34*F13)^2)^0.5</f>
        <v>0.29684986664408469</v>
      </c>
      <c r="G37" s="3">
        <f t="shared" si="0"/>
        <v>27.328191794543979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4.4195930985926515E-2</v>
      </c>
      <c r="F40">
        <f>(F37^2+F31^2)^0.5</f>
        <v>0.60388421808710258</v>
      </c>
      <c r="G40" s="3">
        <f t="shared" si="0"/>
        <v>13.663796748153123</v>
      </c>
      <c r="I40" s="61"/>
      <c r="J40" s="61" t="s">
        <v>79</v>
      </c>
      <c r="K40" s="61">
        <f>K36*E40</f>
        <v>4.419587672844192E-2</v>
      </c>
      <c r="L40" s="61">
        <f>((F40*K36)^2+(L36*E40)^2)^0.5</f>
        <v>0.60391617408808373</v>
      </c>
      <c r="M40" s="62">
        <f>L40/K40</f>
        <v>13.664536576540817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 t="e">
        <f>'Exp2'!Y14</f>
        <v>#VALUE!</v>
      </c>
      <c r="F43" s="3" t="e">
        <f>'Exp2'!Z14</f>
        <v>#VALUE!</v>
      </c>
      <c r="H43" t="s">
        <v>128</v>
      </c>
      <c r="J43" t="s">
        <v>79</v>
      </c>
      <c r="K43" t="e">
        <f>'Exp2'!Y17</f>
        <v>#VALUE!</v>
      </c>
      <c r="L43" t="e">
        <f>'Exp2'!Z17</f>
        <v>#VALUE!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 t="e">
        <f>ABS(E40-E43)/E43</f>
        <v>#VALUE!</v>
      </c>
      <c r="I46" t="s">
        <v>132</v>
      </c>
      <c r="K46" s="3" t="e">
        <f>ABS(K40-K43)/K43</f>
        <v>#VALUE!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 t="e">
        <f>AVERAGE(K46,K47)</f>
        <v>#VALUE!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2016-04-22T07:43:07Z</dcterms:modified>
</cp:coreProperties>
</file>