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<sst xmlns="http://schemas.openxmlformats.org/spreadsheetml/2006/main" count="680" uniqueCount="172">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</sst>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1.5855863116406289E-2</v>
      </c>
      <c r="S6" s="25">
        <f>Exp2_eq_V_p_sep_C1!C2</f>
        <v>1.5901073380509769E-3</v>
      </c>
      <c r="T6" s="25"/>
      <c r="U6" s="25">
        <f>Exp2_eq_V_p_sep_C1!P7</f>
        <v>1.5855863116406289E-2</v>
      </c>
      <c r="V6" s="27">
        <f>Exp2_eq_V_p_sep_C1!Q7</f>
        <v>1.5901073380509769E-3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6.098673628131053E-2</v>
      </c>
      <c r="S10" s="25">
        <f>Exp2_eq_V_p_sep_C1!L40</f>
        <v>3.4394155776299416E-3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16.346192641496259</v>
      </c>
      <c r="S13" s="18">
        <f>((S11/R10)^2+((S10*R11)/(R10^2))^2)^0.5</f>
        <v>1.1479581678488593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1.5855863116406289E-2</v>
      </c>
      <c r="E16" s="25">
        <f>'Exp1'!AO12</f>
        <v>1.5901073380509769E-3</v>
      </c>
      <c r="F16" s="25"/>
      <c r="G16" s="25">
        <f>'Exp1'!AN12</f>
        <v>1.5855863116406289E-2</v>
      </c>
      <c r="H16" s="25">
        <f>'Exp1'!AO12</f>
        <v>1.5901073380509769E-3</v>
      </c>
      <c r="J16" s="22" t="s">
        <v>152</v>
      </c>
      <c r="K16" s="25">
        <f>Exp2_Eq_V_P_Sep_C3!B2</f>
        <v>1.5855863116406289E-2</v>
      </c>
      <c r="L16" s="25">
        <f>Exp2_Eq_V_P_Sep_C3!C2</f>
        <v>4.6753051185923905E-2</v>
      </c>
      <c r="M16" s="25"/>
      <c r="N16" s="25">
        <f>Exp2_Eq_V_P_Sep_C3!P7</f>
        <v>1.5855863116406289E-2</v>
      </c>
      <c r="O16" s="27">
        <f>Exp2_Eq_V_P_Sep_C3!Q7</f>
        <v>1.5901073380509769E-3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1.5855863116406289E-2</v>
      </c>
      <c r="S18" s="25">
        <f>Exp2_Eq_V_P_Sep_C2!C2</f>
        <v>4.6753051185923905E-2</v>
      </c>
      <c r="T18" s="25"/>
      <c r="U18" s="25">
        <f>Exp2_Eq_V_P_Sep_C2!P7</f>
        <v>1.5855863116406289E-2</v>
      </c>
      <c r="V18" s="27">
        <f>Exp2_Eq_V_P_Sep_C2!Q7</f>
        <v>1.5901073380509769E-3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1.5364757309981139E-2</v>
      </c>
      <c r="E20" s="25">
        <f>'Exp1'!AD27</f>
        <v>1.5320066847019176E-3</v>
      </c>
      <c r="F20" s="25"/>
      <c r="G20" s="25"/>
      <c r="H20" s="27"/>
      <c r="J20" s="22" t="s">
        <v>79</v>
      </c>
      <c r="K20" s="25">
        <f>Exp2_Eq_V_P_Sep_C3!K40</f>
        <v>6.098673628131053E-2</v>
      </c>
      <c r="L20" s="25">
        <f>Exp2_Eq_V_P_Sep_C3!L40</f>
        <v>8.8554816468704875E-2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6.098673628131053E-2</v>
      </c>
      <c r="S22" s="25">
        <f>Exp2_Eq_V_P_Sep_C2!L40</f>
        <v>8.8554816468704875E-2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54.274678684992175</v>
      </c>
      <c r="E23" s="18">
        <f>'Exp1'!AD33</f>
        <v>8.2373506637631397</v>
      </c>
      <c r="F23" s="18"/>
      <c r="G23" s="18"/>
      <c r="H23" s="41"/>
      <c r="J23" s="24" t="s">
        <v>154</v>
      </c>
      <c r="K23" s="18">
        <f>K21/K20</f>
        <v>16.326738259756798</v>
      </c>
      <c r="L23" s="18">
        <f>((L21/K20)^2+((L20*K21)/(K20^2))^2)^0.5</f>
        <v>23.716928491587346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15.25541394746333</v>
      </c>
      <c r="S25" s="18">
        <f>((S23/R22)^2+((S22*R23)/(R22^2))^2)^0.5</f>
        <v>22.164164892731133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W1" workbookViewId="0">
      <selection activeCell="AH4" sqref="AH4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24.341570000000001</v>
      </c>
      <c r="F4">
        <v>0.230716</v>
      </c>
      <c r="G4" s="3">
        <v>9.4782711221995958E-3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-0.200273852508281</v>
      </c>
      <c r="M4" s="8">
        <f>((F8/E5)^2+((F5*E8)/(E5^2))^2)^0.5</f>
        <v>4.0952580990990313E-2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24.341570000000001</v>
      </c>
      <c r="S4">
        <f>(($Q4*$Q$2*E4)^2+(F4*$Q4)^2)^0.5</f>
        <v>1.2387533845839738</v>
      </c>
      <c r="T4" s="3">
        <f>S4/R4</f>
        <v>5.0890447271230807E-2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-0.200273852508281</v>
      </c>
      <c r="Z4" s="8">
        <f>((S8/R5)^2+((S5*R8)/(R5^2))^2)^0.5</f>
        <v>9.4235876898869975E-2</v>
      </c>
      <c r="AA4" s="42"/>
      <c r="AC4" s="43"/>
      <c r="AE4" s="64">
        <f>Y12/Y11</f>
        <v>40.447752222747681</v>
      </c>
      <c r="AF4" s="61">
        <f>((Z12/Y11)^2+((Y12*Z11)/(Y11^2))^2)^0.5</f>
        <v>5.3875773453657736</v>
      </c>
      <c r="AH4">
        <v>0.98694000000000004</v>
      </c>
      <c r="AI4">
        <v>0</v>
      </c>
      <c r="AK4">
        <f>1/S16</f>
        <v>1.4</v>
      </c>
      <c r="AL4">
        <f>T16/S16^2</f>
        <v>1.979898987322333E-2</v>
      </c>
      <c r="AN4">
        <f>AK10*AK4</f>
        <v>63.068152938661896</v>
      </c>
      <c r="AO4">
        <f>((AL10*AK4)^2+(AL4*AK10)^2)^0.5</f>
        <v>6.3247980919639186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13.727793525050002</v>
      </c>
      <c r="F5" s="10">
        <f>((F4*$C5*$B5)^2+($C5*$B$2*E4)^2+($C$2*$B5*E4)^2)^0.5</f>
        <v>0.32729777710886082</v>
      </c>
      <c r="G5" s="3">
        <f>F5/E5</f>
        <v>2.3841979886397562E-2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13.727793525050002</v>
      </c>
      <c r="S5">
        <f>((S4*$C5*$B5)^2+($C5*$B$2*R4)^2+($C$2*$B5*R4)^2)^0.5</f>
        <v>0.76043055078449695</v>
      </c>
      <c r="T5" s="3">
        <f>S5/R5</f>
        <v>5.5393501468163082E-2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29.216550000000002</v>
      </c>
      <c r="F7">
        <v>0.31614500000000001</v>
      </c>
      <c r="G7" s="3">
        <v>1.0820750567743282E-2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-0.1430527517916293</v>
      </c>
      <c r="M7" s="3">
        <f>((M4*F19)^2+(L4*G19)^2)^0.5</f>
        <v>2.9321718399675328E-2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29.216550000000002</v>
      </c>
      <c r="S7">
        <f>(($Q7*$Q$2*E7)^2+(F7*$Q7)^2)^0.5</f>
        <v>1.4946453244101927</v>
      </c>
      <c r="T7" s="3">
        <f>S7/R7</f>
        <v>5.1157488629225305E-2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-0.1430527517916293</v>
      </c>
      <c r="Z7" s="3">
        <f>((Z4*S19)^2+(Y4*T19)^2)^0.5</f>
        <v>6.7341735922005472E-2</v>
      </c>
      <c r="AA7" s="54" t="s">
        <v>15</v>
      </c>
      <c r="AB7" s="54">
        <f>1/(1+1/V17)</f>
        <v>-0.13531015574193428</v>
      </c>
      <c r="AC7">
        <f>W14/((V14+1)^2)</f>
        <v>9.4235876898869961E-2</v>
      </c>
      <c r="AH7">
        <f>S19</f>
        <v>0.7142857142857143</v>
      </c>
      <c r="AI7">
        <f>T19</f>
        <v>1.0101525445522107E-2</v>
      </c>
      <c r="AK7">
        <f>AH4*AH7</f>
        <v>0.70495714285714295</v>
      </c>
      <c r="AL7">
        <f>((AI7*AH4)^2+(AH7*AI4)^2)^0.5</f>
        <v>9.969599523203589E-3</v>
      </c>
      <c r="AN7">
        <f>1/AN4</f>
        <v>1.5855863116406289E-2</v>
      </c>
      <c r="AO7">
        <f>AO4/AN4^2</f>
        <v>1.5901073380509769E-3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16.477111620750001</v>
      </c>
      <c r="F8">
        <f>((F7*$C8*$B8)^2+($C8*$B$2*E7)^2+($C$2*$B8*E7)^2)^0.5</f>
        <v>0.40215327695147707</v>
      </c>
      <c r="G8" s="3">
        <f>F8/E8</f>
        <v>2.4406782341938882E-2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16.477111620750001</v>
      </c>
      <c r="S8">
        <f>((S7*$C8*$B8)^2+($C8*$B$2*R7)^2+($C$2*$B8*R7)^2)^0.5</f>
        <v>0.91676893303026374</v>
      </c>
      <c r="T8" s="3">
        <f>S8/R8</f>
        <v>5.5638934428031417E-2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0.92340699999999998</v>
      </c>
      <c r="F10">
        <v>5.0324000000000001E-2</v>
      </c>
      <c r="G10" s="3">
        <v>5.4498179026149902E-2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0.34166058999999999</v>
      </c>
      <c r="S10">
        <f>(($Q10*$Q$2*E10)^2+(F10*$Q10)^2)^0.5</f>
        <v>2.52691477519973E-2</v>
      </c>
      <c r="T10" s="3">
        <f>S10/R10</f>
        <v>7.3959796627399432E-2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1.5308954189195126E-2</v>
      </c>
      <c r="AI10" s="3">
        <f>Z14</f>
        <v>1.4710654033652714E-3</v>
      </c>
      <c r="AK10">
        <f>AK7/AH10-1</f>
        <v>45.048680670472784</v>
      </c>
      <c r="AL10">
        <f>((AL7/AH10)^2+((AK7*AI10)/(AH10^2))^2)^0.5</f>
        <v>4.4725667493160479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0.47332919412999996</v>
      </c>
      <c r="F11" s="18">
        <f>((F10*$C11*$B11)^2+($C11*$B$2*E10)^2+($C$2*$B11*E10)^2)^0.5</f>
        <v>2.786297053074839E-2</v>
      </c>
      <c r="G11" s="20">
        <f>F11/E11</f>
        <v>5.8865945469435424E-2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3.447962655224128E-2</v>
      </c>
      <c r="M11" s="3">
        <f>((F11/E5)^2+((F5*E11)/(E5^2))^2)^0.5</f>
        <v>2.1898335043736257E-3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0.17513180182809998</v>
      </c>
      <c r="S11" s="18">
        <f>((S10*$C11*$B11)^2+($C11*$B$2*R10)^2+($C$2*$B11*R10)^2)^0.5</f>
        <v>1.3526252913776597E-2</v>
      </c>
      <c r="T11" s="20">
        <f>S11/R11</f>
        <v>7.7234704220386224E-2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1.2757461824329273E-2</v>
      </c>
      <c r="Z11" s="3">
        <f>((S11/R5)^2+((S5*R11)/(R5^2))^2)^0.5</f>
        <v>1.2125388325124242E-3</v>
      </c>
      <c r="AA11" s="27"/>
      <c r="AB11" s="54" t="s">
        <v>19</v>
      </c>
      <c r="AC11" s="54">
        <f>(1/(1+Y25))*AB7</f>
        <v>1.1855520807940485E-2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1.5855863116406289E-2</v>
      </c>
      <c r="AO12">
        <f>AO7</f>
        <v>1.5901073380509769E-3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-0.16685679862954383</v>
      </c>
      <c r="J14" s="6">
        <f>((F5/E8)^2+((F8*E5)/(E8^2))^2)^0.5</f>
        <v>2.8426316510949033E-2</v>
      </c>
      <c r="K14" s="22" t="s">
        <v>65</v>
      </c>
      <c r="L14" s="3">
        <f>L11/F23</f>
        <v>4.1375551862689534E-2</v>
      </c>
      <c r="M14" s="3">
        <f>((M11/F23)^2+((L11*G23)/(F23^2))^2)^0.5</f>
        <v>2.692159203518933E-3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-0.16685679862954383</v>
      </c>
      <c r="W14" s="6">
        <f>((S5/R8)^2+((S8*R5)/(R8^2))^2)^0.5</f>
        <v>6.5411722499332761E-2</v>
      </c>
      <c r="X14" s="22" t="s">
        <v>65</v>
      </c>
      <c r="Y14" s="3">
        <f>Y11/S23</f>
        <v>1.5308954189195126E-2</v>
      </c>
      <c r="Z14" s="3">
        <f>((Z11/S23)^2+((Y11*T23)/(S23^2))^2)^0.5</f>
        <v>1.4710654033652714E-3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-12.413261208339954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-0.11918342759253131</v>
      </c>
      <c r="J17">
        <f>((J14*F16)^2+(I14*G16)^2)^0.5</f>
        <v>2.037434997874395E-2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-0.11918342759253131</v>
      </c>
      <c r="W17">
        <f>((W14*S16)^2+(V14*T16)^2)^0.5</f>
        <v>4.6753051185923905E-2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1.3213219263671907E-2</v>
      </c>
      <c r="AO17">
        <f>((AO14*AN12)^2+(AO12*AN14)^2)^0.5</f>
        <v>1.3382002387008058E-3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-0.2892328273625745</v>
      </c>
      <c r="M18">
        <f>((M14/L7)^2+((L14*M7)/(L7^2))^2)^0.5</f>
        <v>6.219978799338876E-2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-0.10701614612415256</v>
      </c>
      <c r="Z18">
        <f>((Z14/Y7)^2+((Y14*Z7)/(Y7^2))^2)^0.5</f>
        <v>5.1416432613312489E-2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0.98695909309861329</v>
      </c>
      <c r="AO19">
        <f>AO17/((AN17+1)^2)</f>
        <v>1.3035251306060904E-3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1.5608378798705004E-2</v>
      </c>
      <c r="AD20">
        <f>U32/((1+T32)^2)</f>
        <v>1.5561023766802187E-3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-3.4574222059048192</v>
      </c>
      <c r="M22">
        <f>M18/(L18^2)</f>
        <v>0.74352185459685793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-9.3443843402832947</v>
      </c>
      <c r="Z22">
        <f>Z18/(Y18^2)</f>
        <v>4.4895553161452737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0.98439162120129498</v>
      </c>
      <c r="AD24">
        <f>U41/((1+T41)^2)</f>
        <v>1.5561023766802193E-3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-5.3489066470857836</v>
      </c>
      <c r="M25">
        <f>((L22*G25)^2+(M22*F25)^2)^0.5</f>
        <v>0.89415341120647984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-12.413261208339954</v>
      </c>
      <c r="Z25">
        <f>((Y22*T25)^2+(Z22*S25)^2)^0.5</f>
        <v>5.389799758272475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63.068152938661896</v>
      </c>
      <c r="W27" s="27">
        <f>AO7/(AN7^2)</f>
        <v>6.3247980919639177</v>
      </c>
      <c r="Z27" s="4"/>
      <c r="AB27" s="61" t="s">
        <v>79</v>
      </c>
      <c r="AC27" s="61">
        <f>AC24*AC20</f>
        <v>1.5364757309981139E-2</v>
      </c>
      <c r="AD27" s="61">
        <f>((AD20*AC24)^2+(AD24*AC20)^2)^0.5</f>
        <v>1.5320066847019176E-3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63.068152938661896</v>
      </c>
      <c r="U32" s="25">
        <f>((S$30*W27)^2+(T$30*V27)^2)^0.5</f>
        <v>6.3873773402805396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54.274678684992175</v>
      </c>
      <c r="AD33">
        <f>((AD28/AC27)^2+((AD27*AC28)/(AC27^2))^2)^0.5</f>
        <v>8.2373506637631397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1.5855863116406289E-2</v>
      </c>
      <c r="W36" s="27">
        <f>AO12</f>
        <v>1.5901073380509769E-3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1.5855863116406289E-2</v>
      </c>
      <c r="U41" s="25">
        <f>((S$30*W36)^2+(T$30*V36)^2)^0.5</f>
        <v>1.6058402864409667E-3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1.5855863116406289E-2</v>
      </c>
      <c r="P26" s="61">
        <f>_xlfn.STDEV.S(Exp2_Act_C1!P7,Exp2_Act_C2!P7)+AVERAGE(Exp2_Act_C2!Q7,Exp2_Act_C1!Q7)</f>
        <v>1.5901073380509769E-3</v>
      </c>
      <c r="Q26" s="62">
        <f>P26/O26</f>
        <v>0.10028513278508756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1.5855863116406289E-2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1.5855863116406289E-2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1.5855863116406289E-2</v>
      </c>
      <c r="C2">
        <f>'Exp1'!AO7</f>
        <v>1.5901073380509769E-3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63.068152938661896</v>
      </c>
      <c r="C5">
        <f>C2/B2^2</f>
        <v>6.3247980919639177</v>
      </c>
      <c r="E5">
        <f>B5*F1</f>
        <v>45.048680670472784</v>
      </c>
      <c r="F5">
        <f>((C5*F$1)^2+(G$1*B5)^2)^0.5</f>
        <v>4.562412385914671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1.5855863116406289E-2</v>
      </c>
      <c r="Q7">
        <f>C2</f>
        <v>1.5901073380509769E-3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2.1716148767780385E-2</v>
      </c>
      <c r="F9">
        <f>F5/((1+E5)^2)</f>
        <v>2.1515931546767942E-3</v>
      </c>
      <c r="G9" s="3">
        <f>F9/E9</f>
        <v>9.9078026112486853E-2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1.5100822015625036E-2</v>
      </c>
      <c r="Q10">
        <f>((L$9*P7)^2+(Q7*K$9)^2)^0.5</f>
        <v>1.5293717013723494E-3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1.5511534834128846E-2</v>
      </c>
      <c r="F13">
        <f>((F9*F$1)^2+(E9*G$1)^2)^0.5</f>
        <v>1.5524291903916449E-3</v>
      </c>
      <c r="G13" s="3">
        <f t="shared" si="0"/>
        <v>0.10008224247261163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0.98512382052293068</v>
      </c>
      <c r="K14">
        <f>Q10/((1+P10)^2)</f>
        <v>1.4842077365911073E-3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0.98448846516587118</v>
      </c>
      <c r="F16">
        <f>F13</f>
        <v>1.5524291903916449E-3</v>
      </c>
      <c r="G16" s="3">
        <f t="shared" si="0"/>
        <v>1.5768891615505971E-3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0.93821316240279107</v>
      </c>
      <c r="L18">
        <f>((J14*Q$16)^2+(K14*P$16)^2)^0.5</f>
        <v>1.3343420026796565E-2</v>
      </c>
      <c r="M18" s="3">
        <f t="shared" ref="M18:M19" si="1">L18/K18</f>
        <v>1.4222162469585995E-2</v>
      </c>
    </row>
    <row r="19" spans="3:13" x14ac:dyDescent="0.25">
      <c r="C19" t="s">
        <v>87</v>
      </c>
      <c r="E19">
        <f>E16*E13</f>
        <v>1.5270927121218454E-2</v>
      </c>
      <c r="F19">
        <f>((F16*E13)^2+(E16*F13)^2)^0.5</f>
        <v>1.5285383250025718E-3</v>
      </c>
      <c r="G19" s="3">
        <f t="shared" si="0"/>
        <v>0.10009466438214598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6.1786837597208932E-2</v>
      </c>
      <c r="L21">
        <f>L18</f>
        <v>1.3343420026796565E-2</v>
      </c>
      <c r="M21" s="3">
        <f>L21/K21</f>
        <v>0.2159589411871651</v>
      </c>
    </row>
    <row r="22" spans="3:13" x14ac:dyDescent="0.25">
      <c r="C22" t="s">
        <v>89</v>
      </c>
      <c r="E22">
        <f>E19+E13</f>
        <v>3.0782461955347298E-2</v>
      </c>
      <c r="F22">
        <f>((F19^2+F13^2)^0.5)</f>
        <v>2.1786385203107295E-3</v>
      </c>
      <c r="G22" s="3">
        <f t="shared" si="0"/>
        <v>7.0775317564626197E-2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5.7969224296945059E-2</v>
      </c>
      <c r="L24">
        <f>((L21*K18)^2+(K21*L18)^2)^0.5</f>
        <v>1.2546090288079546E-2</v>
      </c>
      <c r="M24" s="3">
        <f t="shared" ref="M24:M25" si="3">L24/K24</f>
        <v>0.21642674091708894</v>
      </c>
    </row>
    <row r="25" spans="3:13" x14ac:dyDescent="0.25">
      <c r="C25" t="s">
        <v>90</v>
      </c>
      <c r="E25">
        <f>1-E22</f>
        <v>0.96921753804465272</v>
      </c>
      <c r="F25">
        <f>F22</f>
        <v>2.1786385203107295E-3</v>
      </c>
      <c r="G25" s="3">
        <f t="shared" si="0"/>
        <v>2.2478323336018271E-3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0.99618238669973613</v>
      </c>
      <c r="L27">
        <f>((L24^2+L18^2)^0.5)</f>
        <v>1.8315327994009815E-2</v>
      </c>
      <c r="M27" s="3">
        <f t="shared" ref="M27:M28" si="4">L27/K27</f>
        <v>1.838551678742973E-2</v>
      </c>
    </row>
    <row r="28" spans="3:13" x14ac:dyDescent="0.25">
      <c r="C28" t="s">
        <v>92</v>
      </c>
      <c r="E28">
        <f>E13*E25</f>
        <v>1.5034051603228231E-2</v>
      </c>
      <c r="F28">
        <f>((F25*E13)^2+(E25*F13)^2)^0.5</f>
        <v>1.5050210544747427E-3</v>
      </c>
      <c r="G28" s="3">
        <f t="shared" si="0"/>
        <v>0.10010748228052993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3.8176133002638668E-3</v>
      </c>
      <c r="L30">
        <f>L27</f>
        <v>1.8315327994009815E-2</v>
      </c>
      <c r="M30" s="3">
        <f t="shared" ref="M30:M31" si="5">L30/K30</f>
        <v>4.797585966274764</v>
      </c>
    </row>
    <row r="31" spans="3:13" x14ac:dyDescent="0.25">
      <c r="C31" t="s">
        <v>91</v>
      </c>
      <c r="E31" s="6">
        <f>E28+E22</f>
        <v>4.5816513558575529E-2</v>
      </c>
      <c r="F31">
        <f>((F28^2)+F22^2)^0.5</f>
        <v>2.6479339449076125E-3</v>
      </c>
      <c r="G31" s="3">
        <f t="shared" si="0"/>
        <v>5.7794313430730167E-2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3.5817350472715183E-3</v>
      </c>
      <c r="L33">
        <f>((L30*K18)^2+(K30*L18)^2)^0.5</f>
        <v>1.7183757301887283E-2</v>
      </c>
      <c r="M33" s="3">
        <f t="shared" ref="M33:M34" si="6">L33/K33</f>
        <v>4.7976070466120788</v>
      </c>
    </row>
    <row r="34" spans="3:13" x14ac:dyDescent="0.25">
      <c r="C34" t="s">
        <v>93</v>
      </c>
      <c r="E34">
        <f>1-E31</f>
        <v>0.95418348644142448</v>
      </c>
      <c r="F34">
        <f>F31</f>
        <v>2.6479339449076125E-3</v>
      </c>
      <c r="G34" s="3">
        <f t="shared" si="0"/>
        <v>2.7750783602249695E-3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0.99976412174700768</v>
      </c>
      <c r="L36">
        <f>((L33^2)+L27^2)^0.5</f>
        <v>2.5114393373886698E-2</v>
      </c>
      <c r="M36" s="3">
        <f t="shared" ref="M36:M37" si="7">L36/K36</f>
        <v>2.5120318710778806E-2</v>
      </c>
    </row>
    <row r="37" spans="3:13" x14ac:dyDescent="0.25">
      <c r="C37" t="s">
        <v>94</v>
      </c>
      <c r="E37">
        <f>E34*E13</f>
        <v>1.4800850388086666E-2</v>
      </c>
      <c r="F37">
        <f>((F34*E13)^2+(E34*F13)^2)^0.5</f>
        <v>1.4818716307842263E-3</v>
      </c>
      <c r="G37" s="3">
        <f t="shared" si="0"/>
        <v>0.10012070873826262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6.0617363946662194E-2</v>
      </c>
      <c r="F40">
        <f>(F37^2+F31^2)^0.5</f>
        <v>3.0343858862572327E-3</v>
      </c>
      <c r="G40" s="3">
        <f t="shared" si="0"/>
        <v>5.0058031044161178E-2</v>
      </c>
      <c r="J40" t="s">
        <v>79</v>
      </c>
      <c r="K40">
        <f>K36*E40</f>
        <v>6.0603065628753457E-2</v>
      </c>
      <c r="L40">
        <f>((F40*K36)^2+(L36*E40)^2)^0.5</f>
        <v>3.3942244820119433E-3</v>
      </c>
      <c r="M40" s="3">
        <f>L40/K40</f>
        <v>5.6007471681457893E-2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5.6057617771028044E-2</v>
      </c>
      <c r="I46" t="s">
        <v>132</v>
      </c>
      <c r="K46" s="3">
        <f>ABS(K40-K43)/K43</f>
        <v>0.9239991348245189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0.46199956741300729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1.5855863116406289E-2</v>
      </c>
      <c r="C2">
        <f>'Exp1'!AO7</f>
        <v>1.5901073380509769E-3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63.068152938661896</v>
      </c>
      <c r="C5">
        <f>C2/B2^2</f>
        <v>6.3247980919639177</v>
      </c>
      <c r="E5">
        <f>B5*F1</f>
        <v>45.048680670472784</v>
      </c>
      <c r="F5">
        <f>((C5*F$1)^2+(G$1*B5)^2)^0.5</f>
        <v>4.562412385914671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1.5855863116406289E-2</v>
      </c>
      <c r="Q7">
        <f>'Exp1'!AO12</f>
        <v>1.5901073380509769E-3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2.1716148767780385E-2</v>
      </c>
      <c r="F9">
        <f>F5/((1+E5)^2)</f>
        <v>2.1515931546767942E-3</v>
      </c>
      <c r="G9" s="3">
        <f>F9/E9</f>
        <v>9.9078026112486853E-2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1.5100822015625036E-2</v>
      </c>
      <c r="Q10">
        <f>((L$9*P7)^2+(Q7*K$9)^2)^0.5</f>
        <v>1.5293717013723494E-3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1.5511534834128846E-2</v>
      </c>
      <c r="F13">
        <f>((F9*F$1)^2+(E9*G$1)^2)^0.5</f>
        <v>1.5524291903916449E-3</v>
      </c>
      <c r="G13" s="3">
        <f t="shared" si="0"/>
        <v>0.10008224247261163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0.98512382052293068</v>
      </c>
      <c r="K14">
        <f>Q10/((1+P10)^2)</f>
        <v>1.4842077365911073E-3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0.98448846516587118</v>
      </c>
      <c r="F16">
        <f>F13</f>
        <v>1.5524291903916449E-3</v>
      </c>
      <c r="G16" s="3">
        <f t="shared" si="0"/>
        <v>1.5768891615505971E-3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0.87317793182714309</v>
      </c>
      <c r="L18">
        <f>((J14*Q$16)^2+(K14*P$16)^2)^0.5</f>
        <v>1.2736900934669447E-2</v>
      </c>
      <c r="M18" s="3">
        <f>L18/K18</f>
        <v>1.4586833302139479E-2</v>
      </c>
      <c r="P18" t="s">
        <v>136</v>
      </c>
      <c r="S18">
        <f>J14*P16*(1-P19)</f>
        <v>2.2389177739157533E-2</v>
      </c>
      <c r="T18">
        <f>((J14*Q$16)^2+(K14*P$16)^2)^0.5</f>
        <v>1.2736900934669447E-2</v>
      </c>
      <c r="U18">
        <f>L18/K18</f>
        <v>1.4586833302139479E-2</v>
      </c>
    </row>
    <row r="19" spans="3:21" x14ac:dyDescent="0.25">
      <c r="C19" t="s">
        <v>87</v>
      </c>
      <c r="E19">
        <f>E16*E13</f>
        <v>1.5270927121218454E-2</v>
      </c>
      <c r="F19">
        <f>((F16*E13)^2+(E16*F13)^2)^0.5</f>
        <v>1.5285383250025718E-3</v>
      </c>
      <c r="G19" s="3">
        <f t="shared" si="0"/>
        <v>0.10009466438214598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0.10443289043369937</v>
      </c>
      <c r="L21">
        <f>L18</f>
        <v>1.2736900934669447E-2</v>
      </c>
      <c r="M21" s="3">
        <f>L21/K21</f>
        <v>0.12196254342644705</v>
      </c>
    </row>
    <row r="22" spans="3:21" x14ac:dyDescent="0.25">
      <c r="C22" t="s">
        <v>89</v>
      </c>
      <c r="E22">
        <f>E19+E13</f>
        <v>3.0782461955347298E-2</v>
      </c>
      <c r="F22">
        <f>((F19^2+F13^2)^0.5)</f>
        <v>2.1786385203107295E-3</v>
      </c>
      <c r="G22" s="3">
        <f t="shared" si="0"/>
        <v>7.0775317564626197E-2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9.1188495283628254E-2</v>
      </c>
      <c r="L24">
        <f>((L21*K18)^2+(K21*L18)^2)^0.5</f>
        <v>1.1200842046043845E-2</v>
      </c>
      <c r="M24" s="3">
        <f t="shared" ref="M24:M25" si="2">L24/K24</f>
        <v>0.12283174550918174</v>
      </c>
    </row>
    <row r="25" spans="3:21" x14ac:dyDescent="0.25">
      <c r="C25" t="s">
        <v>90</v>
      </c>
      <c r="E25">
        <f>1-E22</f>
        <v>0.96921753804465272</v>
      </c>
      <c r="F25">
        <f>F22</f>
        <v>2.1786385203107295E-3</v>
      </c>
      <c r="G25" s="3">
        <f t="shared" si="0"/>
        <v>2.2478323336018271E-3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0.96436642711077136</v>
      </c>
      <c r="L27">
        <f>((L24^2+L18^2)^0.5)</f>
        <v>1.6961353364634765E-2</v>
      </c>
      <c r="M27" s="3">
        <f t="shared" ref="M27:M28" si="3">L27/K27</f>
        <v>1.7588079476647429E-2</v>
      </c>
    </row>
    <row r="28" spans="3:21" x14ac:dyDescent="0.25">
      <c r="C28" t="s">
        <v>92</v>
      </c>
      <c r="E28">
        <f>E13*E25</f>
        <v>1.5034051603228231E-2</v>
      </c>
      <c r="F28">
        <f>((F25*E13)^2+(E25*F13)^2)^0.5</f>
        <v>1.5050210544747427E-3</v>
      </c>
      <c r="G28" s="3">
        <f t="shared" si="0"/>
        <v>0.10010748228052993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3.5633572889228637E-2</v>
      </c>
      <c r="L30">
        <f>L27</f>
        <v>1.6961353364634765E-2</v>
      </c>
      <c r="M30" s="3">
        <f t="shared" ref="M30:M31" si="4">L30/K30</f>
        <v>0.47599362032432807</v>
      </c>
    </row>
    <row r="31" spans="3:21" x14ac:dyDescent="0.25">
      <c r="C31" t="s">
        <v>91</v>
      </c>
      <c r="E31" s="6">
        <f>E28+E22</f>
        <v>4.5816513558575529E-2</v>
      </c>
      <c r="F31">
        <f>((F28^2)+F22^2)^0.5</f>
        <v>2.6479339449076125E-3</v>
      </c>
      <c r="G31" s="3">
        <f t="shared" si="0"/>
        <v>5.7794313430730167E-2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3.1114449479028417E-2</v>
      </c>
      <c r="L33">
        <f>((L30*K18)^2+(K30*L18)^2)^0.5</f>
        <v>1.4817232113744992E-2</v>
      </c>
      <c r="M33" s="3">
        <f t="shared" ref="M33:M34" si="5">L33/K33</f>
        <v>0.47621707476238712</v>
      </c>
    </row>
    <row r="34" spans="3:13" x14ac:dyDescent="0.25">
      <c r="C34" t="s">
        <v>93</v>
      </c>
      <c r="E34">
        <f>1-E31</f>
        <v>0.95418348644142448</v>
      </c>
      <c r="F34">
        <f>F31</f>
        <v>2.6479339449076125E-3</v>
      </c>
      <c r="G34" s="3">
        <f t="shared" si="0"/>
        <v>2.7750783602249695E-3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0.99548087658979978</v>
      </c>
      <c r="L36">
        <f>((L33^2)+L27^2)^0.5</f>
        <v>2.2521942089273807E-2</v>
      </c>
      <c r="M36" s="3">
        <f t="shared" ref="M36:M37" si="6">L36/K36</f>
        <v>2.2624183566867503E-2</v>
      </c>
    </row>
    <row r="37" spans="3:13" x14ac:dyDescent="0.25">
      <c r="C37" t="s">
        <v>94</v>
      </c>
      <c r="E37">
        <f>E34*E13</f>
        <v>1.4800850388086666E-2</v>
      </c>
      <c r="F37">
        <f>((F34*E13)^2+(E34*F13)^2)^0.5</f>
        <v>1.4818716307842263E-3</v>
      </c>
      <c r="G37" s="3">
        <f t="shared" si="0"/>
        <v>0.10012070873826262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6.0617363946662194E-2</v>
      </c>
      <c r="F40">
        <f>(F37^2+F31^2)^0.5</f>
        <v>3.0343858862572327E-3</v>
      </c>
      <c r="G40" s="3">
        <f t="shared" si="0"/>
        <v>5.0058031044161178E-2</v>
      </c>
      <c r="J40" t="s">
        <v>79</v>
      </c>
      <c r="K40">
        <f>K36*E40</f>
        <v>6.0343426598186208E-2</v>
      </c>
      <c r="L40">
        <f>((F40*K36)^2+(L36*E40)^2)^0.5</f>
        <v>3.3148595497257084E-3</v>
      </c>
      <c r="M40" s="3">
        <f>L40/K40</f>
        <v>5.4933233603034169E-2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5.6057617771028044E-2</v>
      </c>
      <c r="I46" t="s">
        <v>132</v>
      </c>
      <c r="K46" s="3">
        <f>ABS(K40-K43)/K43</f>
        <v>0.99557402613093504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0.49778701306984358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1.5855863116406289E-2</v>
      </c>
      <c r="C2">
        <f>'Exp1'!AO7</f>
        <v>1.5901073380509769E-3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63.068152938661896</v>
      </c>
      <c r="C5">
        <f>C2/B2^2</f>
        <v>6.3247980919639177</v>
      </c>
      <c r="E5">
        <f>B5*F1</f>
        <v>45.048680670472784</v>
      </c>
      <c r="F5">
        <f>((C5*F$1)^2+(G$1*B5)^2)^0.5</f>
        <v>4.562412385914671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1.5855863116406289E-2</v>
      </c>
      <c r="Q7">
        <f>'Exp1'!AO12</f>
        <v>1.5901073380509769E-3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2.1716148767780385E-2</v>
      </c>
      <c r="F9">
        <f>F5/((1+E5)^2)</f>
        <v>2.1515931546767942E-3</v>
      </c>
      <c r="G9" s="3">
        <f>F9/E9</f>
        <v>9.9078026112486853E-2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1.5100822015625036E-2</v>
      </c>
      <c r="Q10">
        <f>((L$9*P7)^2+(Q7*K$9)^2)^0.5</f>
        <v>1.5293717013723494E-3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1.5511534834128846E-2</v>
      </c>
      <c r="F13">
        <f>((F9*F$1)^2+(E9*G$1)^2)^0.5</f>
        <v>1.5524291903916449E-3</v>
      </c>
      <c r="G13" s="3">
        <f t="shared" si="0"/>
        <v>0.10008224247261163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0.98512382052293068</v>
      </c>
      <c r="K14">
        <f>Q10/((1+P10)^2)</f>
        <v>1.4842077365911073E-3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0.98448846516587118</v>
      </c>
      <c r="F16">
        <f>F13</f>
        <v>1.5524291903916449E-3</v>
      </c>
      <c r="G16" s="3">
        <f t="shared" si="0"/>
        <v>1.5768891615505971E-3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0.89556710956630059</v>
      </c>
      <c r="L18">
        <f>((J14*Q$16)^2+(K14*P$16)^2)^0.5</f>
        <v>1.2736900934669447E-2</v>
      </c>
      <c r="M18" s="3">
        <f t="shared" ref="M18:M19" si="1">L18/K18</f>
        <v>1.4222162469585992E-2</v>
      </c>
    </row>
    <row r="19" spans="3:13" x14ac:dyDescent="0.25">
      <c r="C19" t="s">
        <v>87</v>
      </c>
      <c r="E19">
        <f>E16*E13</f>
        <v>1.5270927121218454E-2</v>
      </c>
      <c r="F19">
        <f>((F16*E13)^2+(E16*F13)^2)^0.5</f>
        <v>1.5285383250025718E-3</v>
      </c>
      <c r="G19" s="3">
        <f t="shared" si="0"/>
        <v>0.10009466438214598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0.10443289043369941</v>
      </c>
      <c r="L21">
        <f>L18</f>
        <v>1.2736900934669447E-2</v>
      </c>
      <c r="M21" s="3">
        <f>L21/K21</f>
        <v>0.12196254342644701</v>
      </c>
    </row>
    <row r="22" spans="3:13" x14ac:dyDescent="0.25">
      <c r="C22" t="s">
        <v>89</v>
      </c>
      <c r="E22">
        <f>E19+E13</f>
        <v>3.0782461955347298E-2</v>
      </c>
      <c r="F22">
        <f>((F19^2+F13^2)^0.5)</f>
        <v>2.1786385203107295E-3</v>
      </c>
      <c r="G22" s="3">
        <f t="shared" si="0"/>
        <v>7.0775317564626197E-2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9.352666182936234E-2</v>
      </c>
      <c r="L24">
        <f>((L21*K18)^2+(K21*L18)^2)^0.5</f>
        <v>1.1484042759464004E-2</v>
      </c>
      <c r="M24" s="3">
        <f t="shared" ref="M24:M25" si="3">L24/K24</f>
        <v>0.12278897305686401</v>
      </c>
    </row>
    <row r="25" spans="3:13" x14ac:dyDescent="0.25">
      <c r="C25" t="s">
        <v>90</v>
      </c>
      <c r="E25">
        <f>1-E22</f>
        <v>0.96921753804465272</v>
      </c>
      <c r="F25">
        <f>F22</f>
        <v>2.1786385203107295E-3</v>
      </c>
      <c r="G25" s="3">
        <f t="shared" si="0"/>
        <v>2.2478323336018271E-3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0.9890937713956629</v>
      </c>
      <c r="L27">
        <f>((L24^2+L18^2)^0.5)</f>
        <v>1.7149690478862323E-2</v>
      </c>
      <c r="M27" s="3">
        <f t="shared" ref="M27:M28" si="4">L27/K27</f>
        <v>1.7338791300508562E-2</v>
      </c>
    </row>
    <row r="28" spans="3:13" x14ac:dyDescent="0.25">
      <c r="C28" t="s">
        <v>92</v>
      </c>
      <c r="E28">
        <f>E13*E25</f>
        <v>1.5034051603228231E-2</v>
      </c>
      <c r="F28">
        <f>((F25*E13)^2+(E25*F13)^2)^0.5</f>
        <v>1.5050210544747427E-3</v>
      </c>
      <c r="G28" s="3">
        <f t="shared" si="0"/>
        <v>0.10010748228052993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1.0906228604337098E-2</v>
      </c>
      <c r="L30">
        <f>L27</f>
        <v>1.7149690478862323E-2</v>
      </c>
      <c r="M30" s="3">
        <f t="shared" ref="M30:M31" si="5">L30/K30</f>
        <v>1.572467541349938</v>
      </c>
    </row>
    <row r="31" spans="3:13" x14ac:dyDescent="0.25">
      <c r="C31" t="s">
        <v>91</v>
      </c>
      <c r="E31" s="6">
        <f>E28+E22</f>
        <v>4.5816513558575529E-2</v>
      </c>
      <c r="F31">
        <f>((F28^2)+F22^2)^0.5</f>
        <v>2.6479339449076125E-3</v>
      </c>
      <c r="G31" s="3">
        <f t="shared" si="0"/>
        <v>5.7794313430730167E-2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9.7672596274554838E-3</v>
      </c>
      <c r="L33">
        <f>((L30*K18)^2+(K30*L18)^2)^0.5</f>
        <v>1.5359326911144344E-2</v>
      </c>
      <c r="M33" s="3">
        <f t="shared" ref="M33:M34" si="6">L33/K33</f>
        <v>1.5725318561175257</v>
      </c>
    </row>
    <row r="34" spans="3:14" x14ac:dyDescent="0.25">
      <c r="C34" t="s">
        <v>93</v>
      </c>
      <c r="E34">
        <f>1-E31</f>
        <v>0.95418348644142448</v>
      </c>
      <c r="F34">
        <f>F31</f>
        <v>2.6479339449076125E-3</v>
      </c>
      <c r="G34" s="3">
        <f t="shared" si="0"/>
        <v>2.7750783602249695E-3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0.99886103102311841</v>
      </c>
      <c r="L36">
        <f>((L33^2)+L27^2)^0.5</f>
        <v>2.3022180754311349E-2</v>
      </c>
      <c r="M36" s="3">
        <f t="shared" ref="M36:M37" si="7">L36/K36</f>
        <v>2.304843220355696E-2</v>
      </c>
    </row>
    <row r="37" spans="3:14" x14ac:dyDescent="0.25">
      <c r="C37" t="s">
        <v>94</v>
      </c>
      <c r="E37">
        <f>E34*E13</f>
        <v>1.4800850388086666E-2</v>
      </c>
      <c r="F37">
        <f>((F34*E13)^2+(E34*F13)^2)^0.5</f>
        <v>1.4818716307842263E-3</v>
      </c>
      <c r="G37" s="3">
        <f t="shared" si="0"/>
        <v>0.10012070873826262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6.0617363946662194E-2</v>
      </c>
      <c r="F40">
        <f>(F37^2+F31^2)^0.5</f>
        <v>3.0343858862572327E-3</v>
      </c>
      <c r="G40" s="3">
        <f t="shared" si="0"/>
        <v>5.0058031044161178E-2</v>
      </c>
      <c r="J40" t="s">
        <v>79</v>
      </c>
      <c r="K40">
        <f>K36*E40</f>
        <v>6.0548322649666607E-2</v>
      </c>
      <c r="L40">
        <f>((F40*K36)^2+(L36*E40)^2)^0.5</f>
        <v>3.3367766401673359E-3</v>
      </c>
      <c r="M40" s="3">
        <f>L40/K40</f>
        <v>5.5109315900854425E-2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-1.0205239158688539</v>
      </c>
      <c r="I46" t="s">
        <v>132</v>
      </c>
      <c r="K46" s="3">
        <f>ABS(K40-K43)/K43</f>
        <v>0.994764876429858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0.49738243824926953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1.5855863116406289E-2</v>
      </c>
      <c r="C2">
        <f>Exp2_Act_C1!C2</f>
        <v>1.5901073380509769E-3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5.2966945263044171E-2</v>
      </c>
      <c r="J3">
        <f>AVERAGE(I3:I4)</f>
        <v>2.3417306172631658E-2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63.068152938661896</v>
      </c>
      <c r="C5">
        <f>C2/B2^2</f>
        <v>6.3247980919639177</v>
      </c>
      <c r="E5">
        <f>B5*F1</f>
        <v>63.068152938661896</v>
      </c>
      <c r="F5">
        <f>((C5*F$1)^2+(G$1*B5)^2)^0.5</f>
        <v>6.3568032555790541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1.5855863116406289E-2</v>
      </c>
      <c r="Q7">
        <f>C2</f>
        <v>1.5901073380509769E-3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1.5608378798705004E-2</v>
      </c>
      <c r="F9">
        <f>F5/((1+E5)^2)</f>
        <v>1.5486538726488734E-3</v>
      </c>
      <c r="G9" s="3">
        <f>F9/E9</f>
        <v>9.9219393161919037E-2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1.5100822015625036E-2</v>
      </c>
      <c r="Q10">
        <f>((L$9*P7)^2+(Q7*K$9)^2)^0.5</f>
        <v>1.5293717013723494E-3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1.5608378798705004E-2</v>
      </c>
      <c r="F13">
        <f>((F9*F$1)^2+(E9*G$1)^2)^0.5</f>
        <v>1.5566592924768157E-3</v>
      </c>
      <c r="G13" s="3">
        <f t="shared" si="0"/>
        <v>9.973228562379384E-2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0.98512382052293068</v>
      </c>
      <c r="K14">
        <f>Q10/((1+P10)^2)</f>
        <v>1.4842077365911073E-3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0.98439162120129498</v>
      </c>
      <c r="F16">
        <f>F13</f>
        <v>1.5566592924768157E-3</v>
      </c>
      <c r="G16" s="3">
        <f t="shared" si="0"/>
        <v>1.58134146913721E-3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0.98512382052293068</v>
      </c>
      <c r="L18">
        <f>((J14*Q$16)^2+(K14*P$16)^2)^0.5</f>
        <v>1.3351092098645942E-2</v>
      </c>
      <c r="M18" s="3">
        <f t="shared" ref="M18:M19" si="1">L18/K18</f>
        <v>1.3552704564141812E-2</v>
      </c>
    </row>
    <row r="19" spans="3:13" x14ac:dyDescent="0.25">
      <c r="C19" t="s">
        <v>87</v>
      </c>
      <c r="E19">
        <f>E16*E13</f>
        <v>1.5364757309981139E-2</v>
      </c>
      <c r="F19">
        <f>((F16*E13)^2+(E16*F13)^2)^0.5</f>
        <v>1.5325549768554342E-3</v>
      </c>
      <c r="G19" s="3">
        <f t="shared" si="0"/>
        <v>9.9744821602868225E-2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1.4876179477069318E-2</v>
      </c>
      <c r="L21">
        <f>L18</f>
        <v>1.3351092098645942E-2</v>
      </c>
      <c r="M21" s="3">
        <f>L21/K21</f>
        <v>0.89748124639298676</v>
      </c>
    </row>
    <row r="22" spans="3:13" x14ac:dyDescent="0.25">
      <c r="C22" t="s">
        <v>89</v>
      </c>
      <c r="E22">
        <f>E19+E13</f>
        <v>3.0973136108686142E-2</v>
      </c>
      <c r="F22">
        <f>((F19^2+F13^2)^0.5)</f>
        <v>2.1844708535338213E-3</v>
      </c>
      <c r="G22" s="3">
        <f t="shared" si="0"/>
        <v>7.0527919609703518E-2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1.465487876123534E-2</v>
      </c>
      <c r="L24">
        <f>((L21*K18)^2+(K21*L18)^2)^0.5</f>
        <v>1.3153978382501196E-2</v>
      </c>
      <c r="M24" s="3">
        <f t="shared" ref="M24:M25" si="3">L24/K24</f>
        <v>0.89758356904976366</v>
      </c>
    </row>
    <row r="25" spans="3:13" x14ac:dyDescent="0.25">
      <c r="C25" t="s">
        <v>90</v>
      </c>
      <c r="E25">
        <f>1-E22</f>
        <v>0.96902686389131387</v>
      </c>
      <c r="F25">
        <f>F22</f>
        <v>2.1844708535338213E-3</v>
      </c>
      <c r="G25" s="3">
        <f t="shared" si="0"/>
        <v>2.2542933895162184E-3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0.99977869928416607</v>
      </c>
      <c r="L27">
        <f>((L24^2+L18^2)^0.5)</f>
        <v>1.8742433340253203E-2</v>
      </c>
      <c r="M27" s="3">
        <f t="shared" ref="M27:M28" si="4">L27/K27</f>
        <v>1.8746581972263105E-2</v>
      </c>
    </row>
    <row r="28" spans="3:13" x14ac:dyDescent="0.25">
      <c r="C28" t="s">
        <v>92</v>
      </c>
      <c r="E28">
        <f>E13*E25</f>
        <v>1.5124938357736784E-2</v>
      </c>
      <c r="F28">
        <f>((F25*E13)^2+(E25*F13)^2)^0.5</f>
        <v>1.5088299672349713E-3</v>
      </c>
      <c r="G28" s="3">
        <f t="shared" si="0"/>
        <v>9.9757759770516166E-2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2.2130071583392752E-4</v>
      </c>
      <c r="L30">
        <f>L27</f>
        <v>1.8742433340253203E-2</v>
      </c>
      <c r="M30" s="3">
        <f t="shared" ref="M30:M31" si="5">L30/K30</f>
        <v>84.692149637320824</v>
      </c>
    </row>
    <row r="31" spans="3:13" x14ac:dyDescent="0.25">
      <c r="C31" t="s">
        <v>91</v>
      </c>
      <c r="E31" s="6">
        <f>E28+E22</f>
        <v>4.6098074466422924E-2</v>
      </c>
      <c r="F31">
        <f>((F28^2)+F22^2)^0.5</f>
        <v>2.654897508372982E-3</v>
      </c>
      <c r="G31" s="3">
        <f t="shared" si="0"/>
        <v>5.7592373197860258E-2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2.180086066667781E-4</v>
      </c>
      <c r="L33">
        <f>((L30*K18)^2+(K30*L18)^2)^0.5</f>
        <v>1.8463617774449284E-2</v>
      </c>
      <c r="M33" s="3">
        <f t="shared" ref="M33:M34" si="6">L33/K33</f>
        <v>84.692150721694048</v>
      </c>
    </row>
    <row r="34" spans="3:13" x14ac:dyDescent="0.25">
      <c r="C34" t="s">
        <v>93</v>
      </c>
      <c r="E34">
        <f>1-E31</f>
        <v>0.95390192553357711</v>
      </c>
      <c r="F34">
        <f>F31</f>
        <v>2.654897508372982E-3</v>
      </c>
      <c r="G34" s="3">
        <f t="shared" si="0"/>
        <v>2.7831975565915032E-3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0.99999670789083284</v>
      </c>
      <c r="L36">
        <f>((L33^2)+L27^2)^0.5</f>
        <v>2.6309389746529552E-2</v>
      </c>
      <c r="M36" s="3">
        <f t="shared" ref="M36:M37" si="7">L36/K36</f>
        <v>2.6309476360197859E-2</v>
      </c>
    </row>
    <row r="37" spans="3:13" x14ac:dyDescent="0.25">
      <c r="C37" t="s">
        <v>94</v>
      </c>
      <c r="E37">
        <f>E34*E13</f>
        <v>1.4888862590542165E-2</v>
      </c>
      <c r="F37">
        <f>((F34*E13)^2+(E34*F13)^2)^0.5</f>
        <v>1.4854783915987993E-3</v>
      </c>
      <c r="G37" s="3">
        <f t="shared" si="0"/>
        <v>9.9771112975575324E-2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6.098693705696509E-2</v>
      </c>
      <c r="F40">
        <f>(F37^2+F31^2)^0.5</f>
        <v>3.042223994362023E-3</v>
      </c>
      <c r="G40" s="3">
        <f t="shared" si="0"/>
        <v>4.9883206817230741E-2</v>
      </c>
      <c r="J40" t="s">
        <v>79</v>
      </c>
      <c r="K40" s="59">
        <f>K36*E40</f>
        <v>6.098673628131053E-2</v>
      </c>
      <c r="L40" s="59">
        <f>((F40*K36)^2+(L36*E40)^2)^0.5</f>
        <v>3.4394155776299416E-3</v>
      </c>
      <c r="M40" s="3">
        <f>L40/K40</f>
        <v>5.6396124589535634E-2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5.0302571701158552E-2</v>
      </c>
      <c r="I46" t="s">
        <v>132</v>
      </c>
      <c r="K46" s="3">
        <f>ABS(K40-K43)/K43</f>
        <v>0.9235179825720008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0.46925204833771539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1.5855863116406289E-2</v>
      </c>
      <c r="C2">
        <f>'Exp1'!W17</f>
        <v>4.6753051185923905E-2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63.068152938661896</v>
      </c>
      <c r="C5">
        <f>C2/B2^2</f>
        <v>185.96455840312777</v>
      </c>
      <c r="E5">
        <f>B5*F1</f>
        <v>63.068152938661896</v>
      </c>
      <c r="F5">
        <f>((C5*F$1)^2+(G$1*B5)^2)^0.5</f>
        <v>185.96564967433193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1.5855863116406289E-2</v>
      </c>
      <c r="Q7">
        <f>Exp2_Act_C2!Q7</f>
        <v>1.5901073380509769E-3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1.5608378798705004E-2</v>
      </c>
      <c r="F9">
        <f>F5/((1+E5)^2)</f>
        <v>4.5305228425161263E-2</v>
      </c>
      <c r="G9" s="3">
        <f>F9/E9</f>
        <v>2.902622303664244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1.5100822015625036E-2</v>
      </c>
      <c r="Q10">
        <f>((L$9*P7)^2+(Q7*K$9)^2)^0.5</f>
        <v>1.5293717013723494E-3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1.5608378798705004E-2</v>
      </c>
      <c r="F13">
        <f>((F9*F$1)^2+(E9*G$1)^2)^0.5</f>
        <v>4.5305502778267719E-2</v>
      </c>
      <c r="G13" s="3">
        <f t="shared" si="0"/>
        <v>2.9026398809610274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0.98512382052293068</v>
      </c>
      <c r="K14">
        <f>Q10/((1+P10)^2)</f>
        <v>1.4842077365911073E-3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0.98439162120129498</v>
      </c>
      <c r="F16">
        <f>F13</f>
        <v>4.5305502778267719E-2</v>
      </c>
      <c r="G16" s="3">
        <f t="shared" si="0"/>
        <v>4.60238606287399E-2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0.98512382052293068</v>
      </c>
      <c r="L18">
        <f>((J14*Q$16)^2+(K14*P$16)^2)^0.5</f>
        <v>1.2751900334959671E-2</v>
      </c>
      <c r="M18" s="3">
        <f t="shared" ref="M18:M19" si="1">L18/K18</f>
        <v>1.2944464512278887E-2</v>
      </c>
    </row>
    <row r="19" spans="3:13" x14ac:dyDescent="0.25">
      <c r="C19" t="s">
        <v>87</v>
      </c>
      <c r="E19">
        <f>E16*E13</f>
        <v>1.5364757309981139E-2</v>
      </c>
      <c r="F19">
        <f>((F16*E13)^2+(E16*F13)^2)^0.5</f>
        <v>4.4603963177643133E-2</v>
      </c>
      <c r="G19" s="3">
        <f t="shared" si="0"/>
        <v>2.9030047320479211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1.4876179477069318E-2</v>
      </c>
      <c r="L21">
        <f>L18</f>
        <v>1.2751900334959671E-2</v>
      </c>
      <c r="M21" s="3">
        <f>L21/K21</f>
        <v>0.85720264094796061</v>
      </c>
    </row>
    <row r="22" spans="3:13" x14ac:dyDescent="0.25">
      <c r="C22" t="s">
        <v>89</v>
      </c>
      <c r="E22">
        <f>E19+E13</f>
        <v>3.0973136108686142E-2</v>
      </c>
      <c r="F22">
        <f>((F19^2+F13^2)^0.5)</f>
        <v>6.3577528366115091E-2</v>
      </c>
      <c r="G22" s="3">
        <f t="shared" si="0"/>
        <v>2.0526668059384963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1.465487876123534E-2</v>
      </c>
      <c r="L24">
        <f>((L21*K18)^2+(K21*L18)^2)^0.5</f>
        <v>1.2563633004889628E-2</v>
      </c>
      <c r="M24" s="3">
        <f t="shared" ref="M24:M25" si="3">L24/K24</f>
        <v>0.85730037140413506</v>
      </c>
    </row>
    <row r="25" spans="3:13" x14ac:dyDescent="0.25">
      <c r="C25" t="s">
        <v>90</v>
      </c>
      <c r="E25">
        <f>1-E22</f>
        <v>0.96902686389131387</v>
      </c>
      <c r="F25">
        <f>F22</f>
        <v>6.3577528366115091E-2</v>
      </c>
      <c r="G25" s="3">
        <f t="shared" si="0"/>
        <v>6.5609665464595374E-2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0.99977869928416607</v>
      </c>
      <c r="L27">
        <f>((L24^2+L18^2)^0.5)</f>
        <v>1.7901280301539792E-2</v>
      </c>
      <c r="M27" s="3">
        <f t="shared" ref="M27:M28" si="4">L27/K27</f>
        <v>1.7905242744576347E-2</v>
      </c>
    </row>
    <row r="28" spans="3:13" x14ac:dyDescent="0.25">
      <c r="C28" t="s">
        <v>92</v>
      </c>
      <c r="E28">
        <f>E13*E25</f>
        <v>1.5124938357736784E-2</v>
      </c>
      <c r="F28">
        <f>((F25*E13)^2+(E25*F13)^2)^0.5</f>
        <v>4.3913463018443823E-2</v>
      </c>
      <c r="G28" s="3">
        <f t="shared" si="0"/>
        <v>2.9033812885578465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2.2130071583392752E-4</v>
      </c>
      <c r="L30">
        <f>L27</f>
        <v>1.7901280301539792E-2</v>
      </c>
      <c r="M30" s="3">
        <f t="shared" ref="M30:M31" si="5">L30/K30</f>
        <v>80.891199262878089</v>
      </c>
    </row>
    <row r="31" spans="3:13" x14ac:dyDescent="0.25">
      <c r="C31" t="s">
        <v>91</v>
      </c>
      <c r="E31" s="6">
        <f>E28+E22</f>
        <v>4.6098074466422924E-2</v>
      </c>
      <c r="F31">
        <f>((F28^2)+F22^2)^0.5</f>
        <v>7.7268974028496085E-2</v>
      </c>
      <c r="G31" s="3">
        <f t="shared" si="0"/>
        <v>1.6761865852938722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2.180086066667781E-4</v>
      </c>
      <c r="L33">
        <f>((L30*K18)^2+(K30*L18)^2)^0.5</f>
        <v>1.7634977868697797E-2</v>
      </c>
      <c r="M33" s="3">
        <f t="shared" ref="M33:M34" si="6">L33/K33</f>
        <v>80.891200298585076</v>
      </c>
    </row>
    <row r="34" spans="3:13" x14ac:dyDescent="0.25">
      <c r="C34" t="s">
        <v>93</v>
      </c>
      <c r="E34">
        <f>1-E31</f>
        <v>0.95390192553357711</v>
      </c>
      <c r="F34">
        <f>F31</f>
        <v>7.7268974028496085E-2</v>
      </c>
      <c r="G34" s="3">
        <f t="shared" si="0"/>
        <v>8.1003059077876069E-2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0.99999670789083284</v>
      </c>
      <c r="L36">
        <f>((L33^2)+L27^2)^0.5</f>
        <v>2.5128634679658937E-2</v>
      </c>
      <c r="M36" s="3">
        <f t="shared" ref="M36:M37" si="7">L36/K36</f>
        <v>2.512871740613987E-2</v>
      </c>
    </row>
    <row r="37" spans="3:13" x14ac:dyDescent="0.25">
      <c r="C37" t="s">
        <v>94</v>
      </c>
      <c r="E37">
        <f>E34*E13</f>
        <v>1.4888862590542165E-2</v>
      </c>
      <c r="F37">
        <f>((F34*E13)^2+(E34*F13)^2)^0.5</f>
        <v>4.323383139964676E-2</v>
      </c>
      <c r="G37" s="3">
        <f t="shared" si="0"/>
        <v>2.903769924447428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6.098693705696509E-2</v>
      </c>
      <c r="F40">
        <f>(F37^2+F31^2)^0.5</f>
        <v>8.8541846179699041E-2</v>
      </c>
      <c r="G40" s="3">
        <f t="shared" si="0"/>
        <v>1.4518165766711022</v>
      </c>
      <c r="J40" t="s">
        <v>79</v>
      </c>
      <c r="K40" s="60">
        <f>K36*E40</f>
        <v>6.098673628131053E-2</v>
      </c>
      <c r="L40" s="60">
        <f>((F40*K36)^2+(L36*E40)^2)^0.5</f>
        <v>8.8554816468704875E-2</v>
      </c>
      <c r="M40" s="3">
        <f>L40/K40</f>
        <v>1.4520340301575152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5.0302571701158552E-2</v>
      </c>
      <c r="I46" t="s">
        <v>132</v>
      </c>
      <c r="K46" s="3">
        <f>ABS(K40-K43)/K43</f>
        <v>0.9955268416734433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0.52811950583298317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1.5855863116406289E-2</v>
      </c>
      <c r="C2">
        <f>'Exp1'!W17</f>
        <v>4.6753051185923905E-2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63.068152938661896</v>
      </c>
      <c r="C5">
        <f>C2/B2^2</f>
        <v>185.96455840312777</v>
      </c>
      <c r="E5">
        <f>B5*F1</f>
        <v>63.068152938661896</v>
      </c>
      <c r="F5">
        <f>((C5*F$1)^2+(G$1*B5)^2)^0.5</f>
        <v>185.96564967433193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1.5855863116406289E-2</v>
      </c>
      <c r="Q7">
        <f>Exp2_Act_C3!Q7</f>
        <v>1.5901073380509769E-3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1.5608378798705004E-2</v>
      </c>
      <c r="F9">
        <f>F5/((1+E5)^2)</f>
        <v>4.5305228425161263E-2</v>
      </c>
      <c r="G9" s="3">
        <f>F9/E9</f>
        <v>2.902622303664244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1.5100822015625036E-2</v>
      </c>
      <c r="Q10">
        <f>((L$9*P7)^2+(Q7*K$9)^2)^0.5</f>
        <v>1.5293717013723494E-3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1.5608378798705004E-2</v>
      </c>
      <c r="F13">
        <f>((F9*F$1)^2+(E9*G$1)^2)^0.5</f>
        <v>4.5305502778267719E-2</v>
      </c>
      <c r="G13" s="3">
        <f t="shared" si="0"/>
        <v>2.9026398809610274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0.98512382052293068</v>
      </c>
      <c r="K14">
        <f>Q10/((1+P10)^2)</f>
        <v>1.4842077365911073E-3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0.98439162120129498</v>
      </c>
      <c r="F16">
        <f>F13</f>
        <v>4.5305502778267719E-2</v>
      </c>
      <c r="G16" s="3">
        <f t="shared" si="0"/>
        <v>4.60238606287399E-2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0.98512382052293068</v>
      </c>
      <c r="L18">
        <f>((J14*Q$16)^2+(K14*P$16)^2)^0.5</f>
        <v>1.2751900334959671E-2</v>
      </c>
      <c r="M18" s="3">
        <f t="shared" ref="M18:M19" si="1">L18/K18</f>
        <v>1.2944464512278887E-2</v>
      </c>
    </row>
    <row r="19" spans="3:13" x14ac:dyDescent="0.25">
      <c r="C19" t="s">
        <v>87</v>
      </c>
      <c r="E19">
        <f>E16*E13</f>
        <v>1.5364757309981139E-2</v>
      </c>
      <c r="F19">
        <f>((F16*E13)^2+(E16*F13)^2)^0.5</f>
        <v>4.4603963177643133E-2</v>
      </c>
      <c r="G19" s="3">
        <f t="shared" si="0"/>
        <v>2.9030047320479211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1.4876179477069318E-2</v>
      </c>
      <c r="L21">
        <f>L18</f>
        <v>1.2751900334959671E-2</v>
      </c>
      <c r="M21" s="3">
        <f>L21/K21</f>
        <v>0.85720264094796061</v>
      </c>
    </row>
    <row r="22" spans="3:13" x14ac:dyDescent="0.25">
      <c r="C22" t="s">
        <v>89</v>
      </c>
      <c r="E22">
        <f>E19+E13</f>
        <v>3.0973136108686142E-2</v>
      </c>
      <c r="F22">
        <f>((F19^2+F13^2)^0.5)</f>
        <v>6.3577528366115091E-2</v>
      </c>
      <c r="G22" s="3">
        <f t="shared" si="0"/>
        <v>2.0526668059384963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1.465487876123534E-2</v>
      </c>
      <c r="L24">
        <f>((L21*K18)^2+(K21*L18)^2)^0.5</f>
        <v>1.2563633004889628E-2</v>
      </c>
      <c r="M24" s="3">
        <f t="shared" ref="M24:M25" si="3">L24/K24</f>
        <v>0.85730037140413506</v>
      </c>
    </row>
    <row r="25" spans="3:13" x14ac:dyDescent="0.25">
      <c r="C25" t="s">
        <v>90</v>
      </c>
      <c r="E25">
        <f>1-E22</f>
        <v>0.96902686389131387</v>
      </c>
      <c r="F25">
        <f>F22</f>
        <v>6.3577528366115091E-2</v>
      </c>
      <c r="G25" s="3">
        <f t="shared" si="0"/>
        <v>6.5609665464595374E-2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0.99977869928416607</v>
      </c>
      <c r="L27">
        <f>((L24^2+L18^2)^0.5)</f>
        <v>1.7901280301539792E-2</v>
      </c>
      <c r="M27" s="3">
        <f t="shared" ref="M27:M28" si="4">L27/K27</f>
        <v>1.7905242744576347E-2</v>
      </c>
    </row>
    <row r="28" spans="3:13" x14ac:dyDescent="0.25">
      <c r="C28" t="s">
        <v>92</v>
      </c>
      <c r="E28">
        <f>E13*E25</f>
        <v>1.5124938357736784E-2</v>
      </c>
      <c r="F28">
        <f>((F25*E13)^2+(E25*F13)^2)^0.5</f>
        <v>4.3913463018443823E-2</v>
      </c>
      <c r="G28" s="3">
        <f t="shared" si="0"/>
        <v>2.9033812885578465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2.2130071583392752E-4</v>
      </c>
      <c r="L30">
        <f>L27</f>
        <v>1.7901280301539792E-2</v>
      </c>
      <c r="M30" s="3">
        <f t="shared" ref="M30:M31" si="5">L30/K30</f>
        <v>80.891199262878089</v>
      </c>
    </row>
    <row r="31" spans="3:13" x14ac:dyDescent="0.25">
      <c r="C31" t="s">
        <v>91</v>
      </c>
      <c r="E31" s="6">
        <f>E28+E22</f>
        <v>4.6098074466422924E-2</v>
      </c>
      <c r="F31">
        <f>((F28^2)+F22^2)^0.5</f>
        <v>7.7268974028496085E-2</v>
      </c>
      <c r="G31" s="3">
        <f t="shared" si="0"/>
        <v>1.6761865852938722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2.180086066667781E-4</v>
      </c>
      <c r="L33">
        <f>((L30*K18)^2+(K30*L18)^2)^0.5</f>
        <v>1.7634977868697797E-2</v>
      </c>
      <c r="M33" s="3">
        <f t="shared" ref="M33:M34" si="6">L33/K33</f>
        <v>80.891200298585076</v>
      </c>
    </row>
    <row r="34" spans="3:14" x14ac:dyDescent="0.25">
      <c r="C34" t="s">
        <v>93</v>
      </c>
      <c r="E34">
        <f>1-E31</f>
        <v>0.95390192553357711</v>
      </c>
      <c r="F34">
        <f>F31</f>
        <v>7.7268974028496085E-2</v>
      </c>
      <c r="G34" s="3">
        <f t="shared" si="0"/>
        <v>8.1003059077876069E-2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0.99999670789083284</v>
      </c>
      <c r="L36">
        <f>((L33^2)+L27^2)^0.5</f>
        <v>2.5128634679658937E-2</v>
      </c>
      <c r="M36" s="3">
        <f t="shared" ref="M36:M37" si="7">L36/K36</f>
        <v>2.512871740613987E-2</v>
      </c>
    </row>
    <row r="37" spans="3:14" x14ac:dyDescent="0.25">
      <c r="C37" t="s">
        <v>94</v>
      </c>
      <c r="E37">
        <f>E34*E13</f>
        <v>1.4888862590542165E-2</v>
      </c>
      <c r="F37">
        <f>((F34*E13)^2+(E34*F13)^2)^0.5</f>
        <v>4.323383139964676E-2</v>
      </c>
      <c r="G37" s="3">
        <f t="shared" si="0"/>
        <v>2.903769924447428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6.098693705696509E-2</v>
      </c>
      <c r="F40">
        <f>(F37^2+F31^2)^0.5</f>
        <v>8.8541846179699041E-2</v>
      </c>
      <c r="G40" s="3">
        <f t="shared" si="0"/>
        <v>1.4518165766711022</v>
      </c>
      <c r="I40" s="61"/>
      <c r="J40" s="61" t="s">
        <v>79</v>
      </c>
      <c r="K40" s="61">
        <f>K36*E40</f>
        <v>6.098673628131053E-2</v>
      </c>
      <c r="L40" s="61">
        <f>((F40*K36)^2+(L36*E40)^2)^0.5</f>
        <v>8.8554816468704875E-2</v>
      </c>
      <c r="M40" s="62">
        <f>L40/K40</f>
        <v>1.4520340301575152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-1.0206490464738391</v>
      </c>
      <c r="I46" t="s">
        <v>132</v>
      </c>
      <c r="K46" s="3">
        <f>ABS(K40-K43)/K43</f>
        <v>0.9947269703502829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0.50788989285808916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2016-04-22T07:31:50Z</dcterms:modified>
</cp:coreProperties>
</file>