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q_vol_Per_Sep\"/>
    </mc:Choice>
  </mc:AlternateContent>
  <bookViews>
    <workbookView xWindow="0" yWindow="0" windowWidth="19200" windowHeight="10995"/>
  </bookViews>
  <sheets>
    <sheet name="Summary" sheetId="12" r:id="rId1"/>
    <sheet name="Exp1" sheetId="3" r:id="rId2"/>
    <sheet name="Exp2" sheetId="2" r:id="rId3"/>
    <sheet name="Exp2_Act_C1" sheetId="4" r:id="rId4"/>
    <sheet name="Exp2_Act_C2" sheetId="7" r:id="rId5"/>
    <sheet name="Exp2_Act_C3" sheetId="10" r:id="rId6"/>
    <sheet name="Exp2_eq_V_p_sep_C1" sheetId="6" r:id="rId7"/>
    <sheet name="Exp2_Eq_V_P_Sep_C2" sheetId="9" r:id="rId8"/>
    <sheet name="Exp2_Eq_V_P_Sep_C3" sheetId="11" r:id="rId9"/>
  </sheets>
  <externalReferences>
    <externalReference r:id="rId10"/>
  </externalReferences>
  <definedNames>
    <definedName name="solver_adj" localSheetId="1" hidden="1">'Exp1'!$Q$10</definedName>
    <definedName name="solver_adj" localSheetId="3" hidden="1">Exp2_Act_C1!$P$8</definedName>
    <definedName name="solver_adj" localSheetId="4" hidden="1">Exp2_Act_C2!$P$7</definedName>
    <definedName name="solver_adj" localSheetId="5" hidden="1">Exp2_Act_C3!$P$7</definedName>
    <definedName name="solver_adj" localSheetId="6" hidden="1">Exp2_eq_V_p_sep_C1!$P$7</definedName>
    <definedName name="solver_adj" localSheetId="7" hidden="1">Exp2_Eq_V_P_Sep_C2!$P$8</definedName>
    <definedName name="solver_adj" localSheetId="8" hidden="1">Exp2_Eq_V_P_Sep_C3!$P$7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'Exp1'!$Q$10</definedName>
    <definedName name="solver_lhs1" localSheetId="3" hidden="1">Exp2_Act_C1!$P$8</definedName>
    <definedName name="solver_lhs1" localSheetId="4" hidden="1">Exp2_Act_C2!$P$8</definedName>
    <definedName name="solver_lhs1" localSheetId="5" hidden="1">Exp2_Act_C3!$P$7</definedName>
    <definedName name="solver_lhs1" localSheetId="6" hidden="1">Exp2_eq_V_p_sep_C1!$B$2:$B$3</definedName>
    <definedName name="solver_lhs1" localSheetId="7" hidden="1">Exp2_Eq_V_P_Sep_C2!$P$8</definedName>
    <definedName name="solver_lhs1" localSheetId="8" hidden="1">Exp2_Eq_V_P_Sep_C3!$P$7</definedName>
    <definedName name="solver_lhs2" localSheetId="1" hidden="1">'Exp1'!$Q$10</definedName>
    <definedName name="solver_lhs2" localSheetId="3" hidden="1">Exp2_Act_C1!$B$2:$B$3</definedName>
    <definedName name="solver_lhs2" localSheetId="4" hidden="1">Exp2_Act_C2!$B$2:$B$3</definedName>
    <definedName name="solver_lhs2" localSheetId="5" hidden="1">Exp2_Act_C3!$B$2:$B$3</definedName>
    <definedName name="solver_lhs2" localSheetId="6" hidden="1">Exp2_eq_V_p_sep_C1!$B$2:$B$3</definedName>
    <definedName name="solver_lhs2" localSheetId="7" hidden="1">Exp2_Eq_V_P_Sep_C2!$B$2:$B$3</definedName>
    <definedName name="solver_lhs2" localSheetId="8" hidden="1">Exp2_Eq_V_P_Sep_C3!$B$2:$B$3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2</definedName>
    <definedName name="solver_num" localSheetId="3" hidden="1">1</definedName>
    <definedName name="solver_num" localSheetId="4" hidden="1">0</definedName>
    <definedName name="solver_num" localSheetId="5" hidden="1">1</definedName>
    <definedName name="solver_num" localSheetId="6" hidden="1">0</definedName>
    <definedName name="solver_num" localSheetId="7" hidden="1">1</definedName>
    <definedName name="solver_num" localSheetId="8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'Exp1'!$Y$25</definedName>
    <definedName name="solver_opt" localSheetId="3" hidden="1">Exp2_Act_C1!$K$47</definedName>
    <definedName name="solver_opt" localSheetId="4" hidden="1">Exp2_Act_C2!$K$46</definedName>
    <definedName name="solver_opt" localSheetId="5" hidden="1">Exp2_Act_C3!$K$46</definedName>
    <definedName name="solver_opt" localSheetId="6" hidden="1">Exp2_eq_V_p_sep_C1!$K$46</definedName>
    <definedName name="solver_opt" localSheetId="7" hidden="1">Exp2_Eq_V_P_Sep_C2!$K$47</definedName>
    <definedName name="solver_opt" localSheetId="8" hidden="1">Exp2_Eq_V_P_Sep_C3!$K$46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3</definedName>
    <definedName name="solver_rel1" localSheetId="7" hidden="1">1</definedName>
    <definedName name="solver_rel1" localSheetId="8" hidden="1">1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100</definedName>
    <definedName name="solver_rhs1" localSheetId="6" hidden="1">1</definedName>
    <definedName name="solver_rhs1" localSheetId="7" hidden="1">1</definedName>
    <definedName name="solver_rhs1" localSheetId="8" hidden="1">100</definedName>
    <definedName name="solver_rhs2" localSheetId="1" hidden="1">0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3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1" hidden="1">40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4" i="3" l="1"/>
  <c r="AN14" i="3"/>
  <c r="AL7" i="3"/>
  <c r="AK7" i="3"/>
  <c r="AL4" i="3"/>
  <c r="AK4" i="3"/>
  <c r="AI7" i="3"/>
  <c r="AH7" i="3"/>
  <c r="S19" i="3"/>
  <c r="AE17" i="3"/>
  <c r="U10" i="3" l="1"/>
  <c r="R10" i="3"/>
  <c r="O17" i="12"/>
  <c r="N17" i="12"/>
  <c r="V19" i="12"/>
  <c r="U19" i="12"/>
  <c r="V7" i="12"/>
  <c r="U7" i="12"/>
  <c r="Q8" i="11"/>
  <c r="Q11" i="11" s="1"/>
  <c r="P8" i="11"/>
  <c r="L44" i="11"/>
  <c r="K44" i="11"/>
  <c r="F44" i="11"/>
  <c r="E44" i="11"/>
  <c r="Q15" i="11"/>
  <c r="Q16" i="11" s="1"/>
  <c r="Q14" i="11"/>
  <c r="K9" i="11"/>
  <c r="L8" i="11"/>
  <c r="L7" i="11"/>
  <c r="L9" i="11" s="1"/>
  <c r="G1" i="11"/>
  <c r="E1" i="11"/>
  <c r="Q8" i="9"/>
  <c r="P8" i="9"/>
  <c r="Q30" i="2"/>
  <c r="P30" i="2"/>
  <c r="Q27" i="2"/>
  <c r="P27" i="2"/>
  <c r="O33" i="2"/>
  <c r="O30" i="2"/>
  <c r="O27" i="2"/>
  <c r="P19" i="7"/>
  <c r="P11" i="11" l="1"/>
  <c r="J15" i="11" s="1"/>
  <c r="K19" i="11" l="1"/>
  <c r="K15" i="11"/>
  <c r="L19" i="11" s="1"/>
  <c r="L44" i="10"/>
  <c r="K44" i="10"/>
  <c r="F44" i="10"/>
  <c r="E44" i="10"/>
  <c r="P16" i="10"/>
  <c r="Q15" i="10"/>
  <c r="Q16" i="10" s="1"/>
  <c r="Q14" i="10"/>
  <c r="K9" i="10"/>
  <c r="Q8" i="10"/>
  <c r="L8" i="10"/>
  <c r="L7" i="10"/>
  <c r="G1" i="10"/>
  <c r="F1" i="10"/>
  <c r="E1" i="10"/>
  <c r="L44" i="9"/>
  <c r="K44" i="9"/>
  <c r="F44" i="9"/>
  <c r="E44" i="9"/>
  <c r="Q15" i="9"/>
  <c r="Q16" i="9" s="1"/>
  <c r="Q14" i="9"/>
  <c r="K9" i="9"/>
  <c r="P11" i="9" s="1"/>
  <c r="J15" i="9" s="1"/>
  <c r="L8" i="9"/>
  <c r="L7" i="9"/>
  <c r="G1" i="9"/>
  <c r="E1" i="9"/>
  <c r="L44" i="7"/>
  <c r="K44" i="7"/>
  <c r="E44" i="7"/>
  <c r="F44" i="7"/>
  <c r="L44" i="6"/>
  <c r="K44" i="6"/>
  <c r="L44" i="4"/>
  <c r="F44" i="6"/>
  <c r="E44" i="6"/>
  <c r="P8" i="6"/>
  <c r="K44" i="4"/>
  <c r="F44" i="4"/>
  <c r="E44" i="4"/>
  <c r="P16" i="7"/>
  <c r="Q15" i="7"/>
  <c r="Q14" i="7"/>
  <c r="K9" i="7"/>
  <c r="Q8" i="7"/>
  <c r="L8" i="7"/>
  <c r="L7" i="7"/>
  <c r="L9" i="7" s="1"/>
  <c r="G1" i="7"/>
  <c r="F1" i="7"/>
  <c r="E1" i="7"/>
  <c r="Q15" i="6"/>
  <c r="Q14" i="6"/>
  <c r="K9" i="6"/>
  <c r="P11" i="6" s="1"/>
  <c r="J15" i="6" s="1"/>
  <c r="Q8" i="6"/>
  <c r="L8" i="6"/>
  <c r="L7" i="6"/>
  <c r="L9" i="6" s="1"/>
  <c r="G1" i="6"/>
  <c r="E1" i="6"/>
  <c r="S10" i="3"/>
  <c r="R11" i="3" l="1"/>
  <c r="M19" i="11"/>
  <c r="L22" i="11"/>
  <c r="K22" i="11"/>
  <c r="K25" i="11" s="1"/>
  <c r="K28" i="11" s="1"/>
  <c r="K31" i="11" s="1"/>
  <c r="K34" i="11" s="1"/>
  <c r="K37" i="11" s="1"/>
  <c r="Q16" i="6"/>
  <c r="L9" i="9"/>
  <c r="L9" i="10"/>
  <c r="Q11" i="10" s="1"/>
  <c r="P11" i="10"/>
  <c r="J15" i="10" s="1"/>
  <c r="K19" i="9"/>
  <c r="Q11" i="9"/>
  <c r="K15" i="9" s="1"/>
  <c r="L19" i="9" s="1"/>
  <c r="Q16" i="7"/>
  <c r="Q11" i="7"/>
  <c r="P11" i="7"/>
  <c r="J15" i="7" s="1"/>
  <c r="K19" i="6"/>
  <c r="Q11" i="6"/>
  <c r="K15" i="6" s="1"/>
  <c r="L19" i="6" s="1"/>
  <c r="P16" i="4"/>
  <c r="Q15" i="4"/>
  <c r="Q16" i="4" s="1"/>
  <c r="Q14" i="4"/>
  <c r="P11" i="4"/>
  <c r="J15" i="4" s="1"/>
  <c r="Q8" i="4"/>
  <c r="K9" i="4"/>
  <c r="L8" i="4"/>
  <c r="L9" i="4" s="1"/>
  <c r="L7" i="4"/>
  <c r="T10" i="3" l="1"/>
  <c r="M22" i="11"/>
  <c r="L25" i="11"/>
  <c r="Q11" i="4"/>
  <c r="S19" i="7"/>
  <c r="K19" i="7"/>
  <c r="K19" i="10"/>
  <c r="K15" i="10"/>
  <c r="L19" i="10" s="1"/>
  <c r="M19" i="9"/>
  <c r="L22" i="9"/>
  <c r="K22" i="9"/>
  <c r="K25" i="9" s="1"/>
  <c r="K28" i="9" s="1"/>
  <c r="K31" i="9" s="1"/>
  <c r="K34" i="9" s="1"/>
  <c r="K37" i="9" s="1"/>
  <c r="K15" i="7"/>
  <c r="T19" i="7" s="1"/>
  <c r="L22" i="6"/>
  <c r="M19" i="6"/>
  <c r="K22" i="6"/>
  <c r="K25" i="6" s="1"/>
  <c r="K28" i="6" s="1"/>
  <c r="K31" i="6" s="1"/>
  <c r="K34" i="6" s="1"/>
  <c r="K37" i="6" s="1"/>
  <c r="K15" i="4"/>
  <c r="L19" i="4" s="1"/>
  <c r="K19" i="4"/>
  <c r="M25" i="11" l="1"/>
  <c r="L28" i="11"/>
  <c r="K22" i="7"/>
  <c r="K25" i="7" s="1"/>
  <c r="K28" i="7" s="1"/>
  <c r="K31" i="7" s="1"/>
  <c r="K34" i="7" s="1"/>
  <c r="K37" i="7" s="1"/>
  <c r="L19" i="7"/>
  <c r="M19" i="10"/>
  <c r="L22" i="10"/>
  <c r="K22" i="10"/>
  <c r="K25" i="10" s="1"/>
  <c r="K28" i="10" s="1"/>
  <c r="K31" i="10" s="1"/>
  <c r="K34" i="10" s="1"/>
  <c r="K37" i="10" s="1"/>
  <c r="M22" i="9"/>
  <c r="L25" i="9"/>
  <c r="L22" i="7"/>
  <c r="L25" i="6"/>
  <c r="M22" i="6"/>
  <c r="L22" i="4"/>
  <c r="M19" i="4"/>
  <c r="K22" i="4"/>
  <c r="K25" i="4" s="1"/>
  <c r="K28" i="4" s="1"/>
  <c r="K31" i="4" s="1"/>
  <c r="K34" i="4" s="1"/>
  <c r="K37" i="4" s="1"/>
  <c r="M28" i="11" l="1"/>
  <c r="L31" i="11"/>
  <c r="U19" i="7"/>
  <c r="M19" i="7"/>
  <c r="M22" i="10"/>
  <c r="L25" i="10"/>
  <c r="M25" i="9"/>
  <c r="L28" i="9"/>
  <c r="M22" i="7"/>
  <c r="L25" i="7"/>
  <c r="L28" i="6"/>
  <c r="M25" i="6"/>
  <c r="L25" i="4"/>
  <c r="M22" i="4"/>
  <c r="M31" i="11" l="1"/>
  <c r="L34" i="11"/>
  <c r="M25" i="10"/>
  <c r="L28" i="10"/>
  <c r="M28" i="9"/>
  <c r="L31" i="9"/>
  <c r="M25" i="7"/>
  <c r="L28" i="7"/>
  <c r="L31" i="6"/>
  <c r="M28" i="6"/>
  <c r="M25" i="4"/>
  <c r="L28" i="4"/>
  <c r="M34" i="11" l="1"/>
  <c r="L37" i="11"/>
  <c r="M37" i="11" s="1"/>
  <c r="M28" i="10"/>
  <c r="L31" i="10"/>
  <c r="M31" i="9"/>
  <c r="L34" i="9"/>
  <c r="M28" i="7"/>
  <c r="L31" i="7"/>
  <c r="L34" i="6"/>
  <c r="M31" i="6"/>
  <c r="M28" i="4"/>
  <c r="L31" i="4"/>
  <c r="M31" i="10" l="1"/>
  <c r="L34" i="10"/>
  <c r="M34" i="9"/>
  <c r="L37" i="9"/>
  <c r="M37" i="9" s="1"/>
  <c r="M31" i="7"/>
  <c r="L34" i="7"/>
  <c r="L37" i="6"/>
  <c r="M37" i="6" s="1"/>
  <c r="M34" i="6"/>
  <c r="M31" i="4"/>
  <c r="L34" i="4"/>
  <c r="M34" i="10" l="1"/>
  <c r="L37" i="10"/>
  <c r="M37" i="10" s="1"/>
  <c r="M34" i="7"/>
  <c r="L37" i="7"/>
  <c r="M37" i="7" s="1"/>
  <c r="M34" i="4"/>
  <c r="L37" i="4"/>
  <c r="M37" i="4" l="1"/>
  <c r="S39" i="3" l="1"/>
  <c r="T38" i="3"/>
  <c r="T39" i="3" s="1"/>
  <c r="T37" i="3"/>
  <c r="S30" i="3"/>
  <c r="T29" i="3"/>
  <c r="T30" i="3" s="1"/>
  <c r="T28" i="3"/>
  <c r="F1" i="4" l="1"/>
  <c r="G1" i="4"/>
  <c r="E1" i="4"/>
  <c r="E5" i="3" l="1"/>
  <c r="F5" i="3"/>
  <c r="H5" i="3"/>
  <c r="I5" i="3"/>
  <c r="J5" i="3" l="1"/>
  <c r="G5" i="3"/>
  <c r="O17" i="3" l="1"/>
  <c r="O16" i="3"/>
  <c r="Q16" i="2" l="1"/>
  <c r="Q22" i="2"/>
  <c r="O5" i="2"/>
  <c r="Q5" i="2" s="1"/>
  <c r="O7" i="2"/>
  <c r="Q7" i="2" s="1"/>
  <c r="O8" i="2"/>
  <c r="Q8" i="2" s="1"/>
  <c r="O10" i="2"/>
  <c r="Q10" i="2" s="1"/>
  <c r="O11" i="2"/>
  <c r="Q11" i="2" s="1"/>
  <c r="O12" i="2"/>
  <c r="Q12" i="2" s="1"/>
  <c r="O14" i="2"/>
  <c r="Q14" i="2" s="1"/>
  <c r="O15" i="2"/>
  <c r="Q15" i="2" s="1"/>
  <c r="O16" i="2"/>
  <c r="O18" i="2"/>
  <c r="Q18" i="2" s="1"/>
  <c r="O19" i="2"/>
  <c r="Q19" i="2" s="1"/>
  <c r="O21" i="2"/>
  <c r="Q21" i="2" s="1"/>
  <c r="O22" i="2"/>
  <c r="O4" i="2"/>
  <c r="Q4" i="2" s="1"/>
  <c r="R4" i="2" s="1"/>
  <c r="S25" i="3"/>
  <c r="S23" i="3"/>
  <c r="T22" i="3"/>
  <c r="T21" i="3"/>
  <c r="T23" i="3" s="1"/>
  <c r="T18" i="3"/>
  <c r="T19" i="3" s="1"/>
  <c r="F25" i="3"/>
  <c r="F23" i="3"/>
  <c r="G21" i="3"/>
  <c r="G23" i="3" s="1"/>
  <c r="G22" i="3"/>
  <c r="G25" i="3" s="1"/>
  <c r="F19" i="3"/>
  <c r="G18" i="3"/>
  <c r="G19" i="3" s="1"/>
  <c r="S16" i="3"/>
  <c r="T15" i="3"/>
  <c r="T14" i="3"/>
  <c r="T16" i="3" s="1"/>
  <c r="F16" i="3"/>
  <c r="G15" i="3"/>
  <c r="G14" i="3"/>
  <c r="T25" i="3" l="1"/>
  <c r="G16" i="3"/>
  <c r="O2" i="3" l="1"/>
  <c r="E8" i="3"/>
  <c r="I8" i="3"/>
  <c r="H8" i="3"/>
  <c r="F11" i="3"/>
  <c r="H11" i="3"/>
  <c r="L12" i="3" s="1"/>
  <c r="L15" i="3" s="1"/>
  <c r="D3" i="3"/>
  <c r="U21" i="2"/>
  <c r="U22" i="2" s="1"/>
  <c r="U18" i="2"/>
  <c r="U19" i="2" s="1"/>
  <c r="V14" i="2"/>
  <c r="V7" i="2"/>
  <c r="V4" i="2"/>
  <c r="I12" i="2"/>
  <c r="H12" i="2"/>
  <c r="F12" i="2"/>
  <c r="E12" i="2"/>
  <c r="I22" i="2"/>
  <c r="H22" i="2"/>
  <c r="F22" i="2"/>
  <c r="E22" i="2"/>
  <c r="I19" i="2"/>
  <c r="H19" i="2"/>
  <c r="F19" i="2"/>
  <c r="E19" i="2"/>
  <c r="E15" i="2"/>
  <c r="I15" i="2"/>
  <c r="H15" i="2"/>
  <c r="F15" i="2"/>
  <c r="I11" i="2"/>
  <c r="H11" i="2"/>
  <c r="F11" i="2"/>
  <c r="E11" i="2"/>
  <c r="I8" i="2"/>
  <c r="H8" i="2"/>
  <c r="F8" i="2"/>
  <c r="E8" i="2"/>
  <c r="I5" i="2"/>
  <c r="H5" i="2"/>
  <c r="L5" i="2" s="1"/>
  <c r="F5" i="2"/>
  <c r="E5" i="2"/>
  <c r="I16" i="2"/>
  <c r="H16" i="2"/>
  <c r="F16" i="2"/>
  <c r="E16" i="2"/>
  <c r="L17" i="2" s="1"/>
  <c r="D3" i="2"/>
  <c r="O7" i="3" l="1"/>
  <c r="O10" i="3"/>
  <c r="O4" i="3"/>
  <c r="O5" i="3"/>
  <c r="O8" i="3"/>
  <c r="O11" i="3"/>
  <c r="J5" i="2"/>
  <c r="J22" i="2"/>
  <c r="G19" i="2"/>
  <c r="M14" i="2"/>
  <c r="M18" i="2"/>
  <c r="J12" i="2"/>
  <c r="M7" i="2"/>
  <c r="J11" i="2"/>
  <c r="J8" i="2"/>
  <c r="G5" i="2"/>
  <c r="G22" i="2"/>
  <c r="J19" i="2"/>
  <c r="G15" i="2"/>
  <c r="M15" i="2"/>
  <c r="L12" i="2"/>
  <c r="L15" i="2"/>
  <c r="M17" i="2"/>
  <c r="J15" i="2"/>
  <c r="M11" i="2"/>
  <c r="M12" i="2"/>
  <c r="L14" i="2"/>
  <c r="L18" i="2"/>
  <c r="L11" i="2"/>
  <c r="G11" i="2"/>
  <c r="G12" i="2"/>
  <c r="G8" i="2"/>
  <c r="L8" i="2"/>
  <c r="L4" i="2"/>
  <c r="L7" i="2"/>
  <c r="M8" i="2"/>
  <c r="J15" i="3"/>
  <c r="I15" i="3"/>
  <c r="I18" i="3" s="1"/>
  <c r="L4" i="3"/>
  <c r="L7" i="3" s="1"/>
  <c r="I14" i="3"/>
  <c r="I17" i="3" s="1"/>
  <c r="L5" i="3"/>
  <c r="M5" i="3"/>
  <c r="L8" i="3"/>
  <c r="S7" i="3"/>
  <c r="U7" i="3"/>
  <c r="U8" i="3" s="1"/>
  <c r="R7" i="3"/>
  <c r="S8" i="3" s="1"/>
  <c r="I11" i="3"/>
  <c r="E11" i="3"/>
  <c r="L11" i="3" s="1"/>
  <c r="L14" i="3" s="1"/>
  <c r="J8" i="3"/>
  <c r="F8" i="3"/>
  <c r="G8" i="3" s="1"/>
  <c r="V7" i="3"/>
  <c r="V4" i="3"/>
  <c r="R4" i="3"/>
  <c r="R5" i="3" s="1"/>
  <c r="U4" i="3"/>
  <c r="U5" i="3" s="1"/>
  <c r="S4" i="3"/>
  <c r="R5" i="2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M5" i="2"/>
  <c r="M4" i="2"/>
  <c r="J16" i="2"/>
  <c r="G16" i="2"/>
  <c r="Y11" i="3" l="1"/>
  <c r="AE4" i="3" s="1"/>
  <c r="K43" i="6"/>
  <c r="K43" i="4"/>
  <c r="E43" i="9"/>
  <c r="E43" i="7"/>
  <c r="E43" i="6"/>
  <c r="E43" i="4"/>
  <c r="V16" i="2"/>
  <c r="W7" i="2"/>
  <c r="U16" i="2"/>
  <c r="Y15" i="2" s="1"/>
  <c r="W14" i="2"/>
  <c r="M4" i="3"/>
  <c r="M7" i="3" s="1"/>
  <c r="V19" i="2"/>
  <c r="W19" i="2" s="1"/>
  <c r="V11" i="2"/>
  <c r="W11" i="2" s="1"/>
  <c r="L18" i="3"/>
  <c r="L22" i="3" s="1"/>
  <c r="L25" i="3" s="1"/>
  <c r="M8" i="3"/>
  <c r="J14" i="3"/>
  <c r="J17" i="3" s="1"/>
  <c r="J18" i="3"/>
  <c r="P15" i="3"/>
  <c r="Q11" i="3" s="1"/>
  <c r="L19" i="3"/>
  <c r="L23" i="3" s="1"/>
  <c r="V15" i="3"/>
  <c r="V18" i="3" s="1"/>
  <c r="T7" i="3"/>
  <c r="R8" i="3"/>
  <c r="Y4" i="3" s="1"/>
  <c r="Y7" i="3" s="1"/>
  <c r="Y5" i="3"/>
  <c r="Y8" i="3" s="1"/>
  <c r="G11" i="3"/>
  <c r="M11" i="3"/>
  <c r="M14" i="3" s="1"/>
  <c r="J11" i="3"/>
  <c r="M12" i="3"/>
  <c r="M15" i="3" s="1"/>
  <c r="M19" i="3" s="1"/>
  <c r="W7" i="3"/>
  <c r="V8" i="3"/>
  <c r="W4" i="3"/>
  <c r="V5" i="3"/>
  <c r="S5" i="3"/>
  <c r="T4" i="3"/>
  <c r="S22" i="2"/>
  <c r="T22" i="2" s="1"/>
  <c r="V12" i="2"/>
  <c r="U12" i="2"/>
  <c r="Y12" i="2" s="1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W15" i="2"/>
  <c r="T18" i="2"/>
  <c r="R19" i="2"/>
  <c r="T15" i="2"/>
  <c r="T11" i="2"/>
  <c r="Z7" i="2"/>
  <c r="T14" i="2"/>
  <c r="S12" i="2"/>
  <c r="T5" i="2"/>
  <c r="T4" i="2"/>
  <c r="U5" i="2"/>
  <c r="Y8" i="2" s="1"/>
  <c r="W4" i="2"/>
  <c r="V5" i="2"/>
  <c r="W5" i="2" s="1"/>
  <c r="V14" i="3" l="1"/>
  <c r="V17" i="3" s="1"/>
  <c r="K43" i="11"/>
  <c r="K43" i="10"/>
  <c r="K43" i="9"/>
  <c r="K43" i="7"/>
  <c r="L43" i="6"/>
  <c r="L43" i="4"/>
  <c r="D17" i="12"/>
  <c r="B3" i="11"/>
  <c r="B3" i="10"/>
  <c r="B6" i="10" s="1"/>
  <c r="E6" i="10" s="1"/>
  <c r="E10" i="10" s="1"/>
  <c r="E14" i="10" s="1"/>
  <c r="B3" i="9"/>
  <c r="B3" i="7"/>
  <c r="B6" i="7" s="1"/>
  <c r="E6" i="7" s="1"/>
  <c r="E10" i="7" s="1"/>
  <c r="E14" i="7" s="1"/>
  <c r="E17" i="7" s="1"/>
  <c r="E20" i="7" s="1"/>
  <c r="E23" i="7" s="1"/>
  <c r="E26" i="7" s="1"/>
  <c r="E29" i="7" s="1"/>
  <c r="E32" i="7" s="1"/>
  <c r="E35" i="7" s="1"/>
  <c r="E38" i="7" s="1"/>
  <c r="E41" i="7" s="1"/>
  <c r="B3" i="6"/>
  <c r="AB8" i="3"/>
  <c r="B3" i="4"/>
  <c r="B6" i="4" s="1"/>
  <c r="E6" i="4" s="1"/>
  <c r="E10" i="4" s="1"/>
  <c r="E14" i="4" s="1"/>
  <c r="E17" i="4" s="1"/>
  <c r="E20" i="4" s="1"/>
  <c r="E23" i="4" s="1"/>
  <c r="E26" i="4" s="1"/>
  <c r="E29" i="4" s="1"/>
  <c r="E32" i="4" s="1"/>
  <c r="E35" i="4" s="1"/>
  <c r="E38" i="4" s="1"/>
  <c r="E41" i="4" s="1"/>
  <c r="E47" i="4" s="1"/>
  <c r="V28" i="3"/>
  <c r="T33" i="3" s="1"/>
  <c r="AC21" i="3" s="1"/>
  <c r="W16" i="2"/>
  <c r="T12" i="2"/>
  <c r="Y18" i="2"/>
  <c r="Z18" i="2"/>
  <c r="M18" i="3"/>
  <c r="M22" i="3" s="1"/>
  <c r="M25" i="3" s="1"/>
  <c r="Z15" i="2"/>
  <c r="W12" i="2"/>
  <c r="L26" i="3"/>
  <c r="M23" i="3"/>
  <c r="M26" i="3" s="1"/>
  <c r="W5" i="3"/>
  <c r="W15" i="3"/>
  <c r="W18" i="3" s="1"/>
  <c r="Z4" i="3"/>
  <c r="Z7" i="3" s="1"/>
  <c r="T5" i="3"/>
  <c r="W14" i="3"/>
  <c r="Z5" i="3"/>
  <c r="Z8" i="3" s="1"/>
  <c r="T8" i="3"/>
  <c r="W8" i="3"/>
  <c r="Z12" i="2"/>
  <c r="T19" i="2"/>
  <c r="W22" i="2"/>
  <c r="Y14" i="2"/>
  <c r="Z4" i="2"/>
  <c r="Z17" i="2"/>
  <c r="T16" i="2"/>
  <c r="Z14" i="2"/>
  <c r="Y5" i="2"/>
  <c r="Z11" i="2"/>
  <c r="Z5" i="2"/>
  <c r="Z8" i="2"/>
  <c r="F43" i="11" l="1"/>
  <c r="F43" i="10"/>
  <c r="L43" i="11"/>
  <c r="L43" i="10"/>
  <c r="E43" i="11"/>
  <c r="E43" i="10"/>
  <c r="L43" i="9"/>
  <c r="L43" i="7"/>
  <c r="F43" i="6"/>
  <c r="F43" i="4"/>
  <c r="F43" i="9"/>
  <c r="F43" i="7"/>
  <c r="C3" i="11"/>
  <c r="E17" i="12"/>
  <c r="C3" i="10"/>
  <c r="C6" i="10" s="1"/>
  <c r="F6" i="10" s="1"/>
  <c r="F10" i="10" s="1"/>
  <c r="C3" i="9"/>
  <c r="C3" i="7"/>
  <c r="C6" i="7" s="1"/>
  <c r="F6" i="7" s="1"/>
  <c r="F10" i="7" s="1"/>
  <c r="C3" i="6"/>
  <c r="B6" i="6"/>
  <c r="E6" i="6" s="1"/>
  <c r="E10" i="6" s="1"/>
  <c r="E14" i="6" s="1"/>
  <c r="E17" i="6" s="1"/>
  <c r="E20" i="6" s="1"/>
  <c r="E23" i="6" s="1"/>
  <c r="E26" i="6" s="1"/>
  <c r="E29" i="6" s="1"/>
  <c r="E32" i="6" s="1"/>
  <c r="E35" i="6" s="1"/>
  <c r="E38" i="6" s="1"/>
  <c r="E41" i="6" s="1"/>
  <c r="R7" i="12"/>
  <c r="B6" i="9"/>
  <c r="E6" i="9" s="1"/>
  <c r="E10" i="9" s="1"/>
  <c r="E14" i="9" s="1"/>
  <c r="E17" i="9" s="1"/>
  <c r="E20" i="9" s="1"/>
  <c r="E23" i="9" s="1"/>
  <c r="E26" i="9" s="1"/>
  <c r="E29" i="9" s="1"/>
  <c r="E32" i="9" s="1"/>
  <c r="E35" i="9" s="1"/>
  <c r="E38" i="9" s="1"/>
  <c r="E41" i="9" s="1"/>
  <c r="R19" i="12"/>
  <c r="B6" i="11"/>
  <c r="E6" i="11" s="1"/>
  <c r="E10" i="11" s="1"/>
  <c r="E14" i="11" s="1"/>
  <c r="E17" i="11" s="1"/>
  <c r="E20" i="11" s="1"/>
  <c r="E23" i="11" s="1"/>
  <c r="E26" i="11" s="1"/>
  <c r="E29" i="11" s="1"/>
  <c r="E32" i="11" s="1"/>
  <c r="E35" i="11" s="1"/>
  <c r="E38" i="11" s="1"/>
  <c r="E41" i="11" s="1"/>
  <c r="K17" i="12"/>
  <c r="E47" i="7"/>
  <c r="K41" i="7"/>
  <c r="K47" i="7" s="1"/>
  <c r="E17" i="10"/>
  <c r="E20" i="10" s="1"/>
  <c r="E23" i="10" s="1"/>
  <c r="E26" i="10" s="1"/>
  <c r="E29" i="10" s="1"/>
  <c r="E32" i="10" s="1"/>
  <c r="E35" i="10" s="1"/>
  <c r="E38" i="10" s="1"/>
  <c r="E41" i="10" s="1"/>
  <c r="AB7" i="3"/>
  <c r="C3" i="4"/>
  <c r="C6" i="4" s="1"/>
  <c r="F6" i="4" s="1"/>
  <c r="F10" i="4" s="1"/>
  <c r="W28" i="3"/>
  <c r="U33" i="3" s="1"/>
  <c r="AD21" i="3" s="1"/>
  <c r="AC8" i="3"/>
  <c r="K41" i="4"/>
  <c r="K47" i="4" s="1"/>
  <c r="AC7" i="3"/>
  <c r="V10" i="3"/>
  <c r="U11" i="3"/>
  <c r="Y12" i="3" s="1"/>
  <c r="Y15" i="3" s="1"/>
  <c r="Y19" i="3" s="1"/>
  <c r="Y23" i="3" s="1"/>
  <c r="Y26" i="3" s="1"/>
  <c r="Y14" i="3"/>
  <c r="AH10" i="3" s="1"/>
  <c r="W17" i="3"/>
  <c r="AK10" i="3" l="1"/>
  <c r="AN4" i="3" s="1"/>
  <c r="AN7" i="3" s="1"/>
  <c r="E47" i="10"/>
  <c r="K41" i="10"/>
  <c r="K47" i="10" s="1"/>
  <c r="E47" i="11"/>
  <c r="K41" i="11"/>
  <c r="E47" i="9"/>
  <c r="K41" i="9"/>
  <c r="E47" i="6"/>
  <c r="I4" i="6"/>
  <c r="K41" i="6"/>
  <c r="F14" i="7"/>
  <c r="G10" i="7"/>
  <c r="F14" i="10"/>
  <c r="G10" i="10"/>
  <c r="C6" i="11"/>
  <c r="F6" i="11" s="1"/>
  <c r="F10" i="11" s="1"/>
  <c r="L17" i="12"/>
  <c r="C6" i="6"/>
  <c r="F6" i="6" s="1"/>
  <c r="F10" i="6" s="1"/>
  <c r="S7" i="12"/>
  <c r="C6" i="9"/>
  <c r="F6" i="9" s="1"/>
  <c r="F10" i="9" s="1"/>
  <c r="S19" i="12"/>
  <c r="C2" i="11"/>
  <c r="C2" i="9"/>
  <c r="V37" i="3"/>
  <c r="T42" i="3" s="1"/>
  <c r="AC25" i="3" s="1"/>
  <c r="AC28" i="3" s="1"/>
  <c r="G17" i="12"/>
  <c r="G10" i="4"/>
  <c r="F14" i="4"/>
  <c r="AF17" i="3"/>
  <c r="P17" i="3"/>
  <c r="AC12" i="3"/>
  <c r="Y18" i="3"/>
  <c r="Y22" i="3" s="1"/>
  <c r="Y25" i="3" s="1"/>
  <c r="W10" i="3"/>
  <c r="V11" i="3"/>
  <c r="S11" i="3"/>
  <c r="AN12" i="3" l="1"/>
  <c r="B2" i="10"/>
  <c r="B2" i="7"/>
  <c r="B2" i="4"/>
  <c r="V27" i="3"/>
  <c r="T32" i="3" s="1"/>
  <c r="AC20" i="3" s="1"/>
  <c r="F14" i="9"/>
  <c r="G10" i="9"/>
  <c r="F14" i="6"/>
  <c r="G10" i="6"/>
  <c r="G10" i="11"/>
  <c r="F14" i="11"/>
  <c r="G14" i="10"/>
  <c r="F17" i="10"/>
  <c r="G14" i="7"/>
  <c r="F17" i="7"/>
  <c r="K47" i="9"/>
  <c r="R23" i="12"/>
  <c r="K47" i="11"/>
  <c r="K21" i="12"/>
  <c r="R11" i="12"/>
  <c r="K47" i="6"/>
  <c r="S18" i="12"/>
  <c r="L16" i="12"/>
  <c r="D21" i="12"/>
  <c r="G14" i="4"/>
  <c r="F17" i="4"/>
  <c r="P16" i="3"/>
  <c r="AC11" i="3"/>
  <c r="W11" i="3"/>
  <c r="Z12" i="3"/>
  <c r="Z15" i="3" s="1"/>
  <c r="Z19" i="3" s="1"/>
  <c r="Z23" i="3" s="1"/>
  <c r="Z26" i="3" s="1"/>
  <c r="H17" i="12" s="1"/>
  <c r="T11" i="3"/>
  <c r="Z11" i="3"/>
  <c r="B2" i="9" l="1"/>
  <c r="B5" i="7"/>
  <c r="E5" i="7" s="1"/>
  <c r="E9" i="7" s="1"/>
  <c r="E13" i="7" s="1"/>
  <c r="E16" i="7" s="1"/>
  <c r="E19" i="7" s="1"/>
  <c r="E22" i="7" s="1"/>
  <c r="E25" i="7" s="1"/>
  <c r="E28" i="7" s="1"/>
  <c r="E31" i="7" s="1"/>
  <c r="E34" i="7" s="1"/>
  <c r="E37" i="7" s="1"/>
  <c r="E40" i="7" s="1"/>
  <c r="P7" i="4"/>
  <c r="P7" i="10"/>
  <c r="P7" i="7"/>
  <c r="G16" i="12"/>
  <c r="D16" i="12"/>
  <c r="V36" i="3"/>
  <c r="T41" i="3" s="1"/>
  <c r="AN17" i="3"/>
  <c r="AN19" i="3" s="1"/>
  <c r="Z14" i="3"/>
  <c r="AF4" i="3"/>
  <c r="B2" i="6"/>
  <c r="B5" i="4"/>
  <c r="E5" i="4" s="1"/>
  <c r="E9" i="4" s="1"/>
  <c r="E13" i="4" s="1"/>
  <c r="E16" i="4" s="1"/>
  <c r="E19" i="4" s="1"/>
  <c r="E22" i="4" s="1"/>
  <c r="E25" i="4" s="1"/>
  <c r="E28" i="4" s="1"/>
  <c r="E31" i="4" s="1"/>
  <c r="E34" i="4" s="1"/>
  <c r="E37" i="4" s="1"/>
  <c r="E40" i="4" s="1"/>
  <c r="B2" i="11"/>
  <c r="B5" i="10"/>
  <c r="E5" i="10" s="1"/>
  <c r="E9" i="10" s="1"/>
  <c r="E13" i="10" s="1"/>
  <c r="E16" i="10" s="1"/>
  <c r="E19" i="10" s="1"/>
  <c r="E22" i="10" s="1"/>
  <c r="E25" i="10" s="1"/>
  <c r="E28" i="10" s="1"/>
  <c r="E31" i="10" s="1"/>
  <c r="E34" i="10" s="1"/>
  <c r="E37" i="10" s="1"/>
  <c r="E40" i="10" s="1"/>
  <c r="AC24" i="3"/>
  <c r="AC27" i="3" s="1"/>
  <c r="AC33" i="3" s="1"/>
  <c r="G14" i="6"/>
  <c r="F17" i="6"/>
  <c r="G14" i="9"/>
  <c r="F17" i="9"/>
  <c r="F20" i="7"/>
  <c r="G17" i="7"/>
  <c r="G17" i="10"/>
  <c r="F20" i="10"/>
  <c r="F17" i="11"/>
  <c r="G14" i="11"/>
  <c r="G17" i="4"/>
  <c r="F20" i="4"/>
  <c r="AD11" i="3"/>
  <c r="AD12" i="3"/>
  <c r="W37" i="3"/>
  <c r="U42" i="3" s="1"/>
  <c r="AD25" i="3" s="1"/>
  <c r="AD28" i="3" s="1"/>
  <c r="O3" i="10" l="1"/>
  <c r="P3" i="10" s="1"/>
  <c r="E46" i="10"/>
  <c r="O3" i="4"/>
  <c r="P3" i="4" s="1"/>
  <c r="E46" i="4"/>
  <c r="P7" i="9"/>
  <c r="P10" i="7"/>
  <c r="J14" i="7" s="1"/>
  <c r="P7" i="6"/>
  <c r="O32" i="2"/>
  <c r="O29" i="2"/>
  <c r="O26" i="2"/>
  <c r="P10" i="4"/>
  <c r="J14" i="4" s="1"/>
  <c r="K18" i="4" s="1"/>
  <c r="B5" i="9"/>
  <c r="E5" i="9" s="1"/>
  <c r="E9" i="9" s="1"/>
  <c r="E13" i="9" s="1"/>
  <c r="E16" i="9" s="1"/>
  <c r="E19" i="9" s="1"/>
  <c r="E22" i="9" s="1"/>
  <c r="E25" i="9" s="1"/>
  <c r="E28" i="9" s="1"/>
  <c r="E31" i="9" s="1"/>
  <c r="E34" i="9" s="1"/>
  <c r="E37" i="9" s="1"/>
  <c r="E40" i="9" s="1"/>
  <c r="E46" i="9" s="1"/>
  <c r="R18" i="12"/>
  <c r="C5" i="9"/>
  <c r="F5" i="9" s="1"/>
  <c r="F9" i="9" s="1"/>
  <c r="K16" i="12"/>
  <c r="B5" i="11"/>
  <c r="E5" i="11" s="1"/>
  <c r="E9" i="11" s="1"/>
  <c r="E13" i="11" s="1"/>
  <c r="E16" i="11" s="1"/>
  <c r="E19" i="11" s="1"/>
  <c r="E22" i="11" s="1"/>
  <c r="E25" i="11" s="1"/>
  <c r="E28" i="11" s="1"/>
  <c r="E31" i="11" s="1"/>
  <c r="E34" i="11" s="1"/>
  <c r="E37" i="11" s="1"/>
  <c r="E40" i="11" s="1"/>
  <c r="E46" i="11" s="1"/>
  <c r="C5" i="11"/>
  <c r="R6" i="12"/>
  <c r="B5" i="6"/>
  <c r="E5" i="6" s="1"/>
  <c r="E9" i="6" s="1"/>
  <c r="E13" i="6" s="1"/>
  <c r="E16" i="6" s="1"/>
  <c r="E19" i="6" s="1"/>
  <c r="E22" i="6" s="1"/>
  <c r="E25" i="6" s="1"/>
  <c r="E28" i="6" s="1"/>
  <c r="E31" i="6" s="1"/>
  <c r="E34" i="6" s="1"/>
  <c r="E37" i="6" s="1"/>
  <c r="E40" i="6" s="1"/>
  <c r="Z18" i="3"/>
  <c r="Z22" i="3" s="1"/>
  <c r="Z25" i="3" s="1"/>
  <c r="AI10" i="3"/>
  <c r="AL10" i="3" s="1"/>
  <c r="AO4" i="3" s="1"/>
  <c r="AO7" i="3" s="1"/>
  <c r="P7" i="11"/>
  <c r="P10" i="10"/>
  <c r="J14" i="10" s="1"/>
  <c r="K18" i="10" s="1"/>
  <c r="K21" i="10" s="1"/>
  <c r="K24" i="10" s="1"/>
  <c r="K27" i="10" s="1"/>
  <c r="K30" i="10" s="1"/>
  <c r="K33" i="10" s="1"/>
  <c r="K36" i="10" s="1"/>
  <c r="K40" i="10" s="1"/>
  <c r="K46" i="10" s="1"/>
  <c r="I49" i="10" s="1"/>
  <c r="O3" i="7"/>
  <c r="P3" i="7" s="1"/>
  <c r="E46" i="7"/>
  <c r="D20" i="12"/>
  <c r="D23" i="12"/>
  <c r="F23" i="10"/>
  <c r="G20" i="10"/>
  <c r="F20" i="9"/>
  <c r="G17" i="9"/>
  <c r="G17" i="6"/>
  <c r="F20" i="6"/>
  <c r="F20" i="11"/>
  <c r="G17" i="11"/>
  <c r="F23" i="7"/>
  <c r="G20" i="7"/>
  <c r="E21" i="12"/>
  <c r="F23" i="4"/>
  <c r="G20" i="4"/>
  <c r="N16" i="12" l="1"/>
  <c r="P10" i="11"/>
  <c r="J14" i="11" s="1"/>
  <c r="K18" i="11" s="1"/>
  <c r="K21" i="11" s="1"/>
  <c r="K24" i="11" s="1"/>
  <c r="K27" i="11" s="1"/>
  <c r="K30" i="11" s="1"/>
  <c r="K33" i="11" s="1"/>
  <c r="K36" i="11" s="1"/>
  <c r="K40" i="11" s="1"/>
  <c r="K21" i="4"/>
  <c r="K24" i="4" s="1"/>
  <c r="K27" i="4" s="1"/>
  <c r="K30" i="4" s="1"/>
  <c r="K33" i="4" s="1"/>
  <c r="K36" i="4" s="1"/>
  <c r="K40" i="4" s="1"/>
  <c r="K46" i="4" s="1"/>
  <c r="I49" i="4" s="1"/>
  <c r="U6" i="12"/>
  <c r="P10" i="6"/>
  <c r="J14" i="6" s="1"/>
  <c r="K18" i="6" s="1"/>
  <c r="K21" i="6" s="1"/>
  <c r="K24" i="6" s="1"/>
  <c r="K27" i="6" s="1"/>
  <c r="K30" i="6" s="1"/>
  <c r="K33" i="6" s="1"/>
  <c r="K36" i="6" s="1"/>
  <c r="K40" i="6" s="1"/>
  <c r="U18" i="12"/>
  <c r="P10" i="9"/>
  <c r="J14" i="9" s="1"/>
  <c r="K18" i="9" s="1"/>
  <c r="K21" i="9" s="1"/>
  <c r="K24" i="9" s="1"/>
  <c r="K27" i="9" s="1"/>
  <c r="K30" i="9" s="1"/>
  <c r="K33" i="9" s="1"/>
  <c r="K36" i="9" s="1"/>
  <c r="K40" i="9" s="1"/>
  <c r="AO12" i="3"/>
  <c r="C2" i="10"/>
  <c r="C5" i="10" s="1"/>
  <c r="F5" i="10" s="1"/>
  <c r="F9" i="10" s="1"/>
  <c r="C2" i="7"/>
  <c r="C5" i="7" s="1"/>
  <c r="F5" i="7" s="1"/>
  <c r="F9" i="7" s="1"/>
  <c r="C2" i="4"/>
  <c r="W27" i="3"/>
  <c r="U32" i="3" s="1"/>
  <c r="AD20" i="3" s="1"/>
  <c r="I3" i="6"/>
  <c r="J3" i="6" s="1"/>
  <c r="E46" i="6"/>
  <c r="F5" i="11"/>
  <c r="F9" i="11" s="1"/>
  <c r="G9" i="9"/>
  <c r="F13" i="9"/>
  <c r="S18" i="7"/>
  <c r="K18" i="7"/>
  <c r="G23" i="7"/>
  <c r="F26" i="7"/>
  <c r="G20" i="11"/>
  <c r="F23" i="11"/>
  <c r="F23" i="9"/>
  <c r="G20" i="9"/>
  <c r="G23" i="10"/>
  <c r="F26" i="10"/>
  <c r="F23" i="6"/>
  <c r="G20" i="6"/>
  <c r="G23" i="4"/>
  <c r="F26" i="4"/>
  <c r="K21" i="7" l="1"/>
  <c r="K24" i="7" s="1"/>
  <c r="K27" i="7" s="1"/>
  <c r="K30" i="7" s="1"/>
  <c r="K33" i="7" s="1"/>
  <c r="K36" i="7" s="1"/>
  <c r="K40" i="7" s="1"/>
  <c r="K46" i="7" s="1"/>
  <c r="I49" i="7" s="1"/>
  <c r="F16" i="9"/>
  <c r="G13" i="9"/>
  <c r="F13" i="11"/>
  <c r="G9" i="11"/>
  <c r="C2" i="6"/>
  <c r="C5" i="4"/>
  <c r="F5" i="4" s="1"/>
  <c r="F9" i="4" s="1"/>
  <c r="Q7" i="4"/>
  <c r="Q10" i="4" s="1"/>
  <c r="K14" i="4" s="1"/>
  <c r="L18" i="4" s="1"/>
  <c r="F13" i="10"/>
  <c r="G9" i="10"/>
  <c r="R22" i="12"/>
  <c r="K46" i="9"/>
  <c r="I49" i="9" s="1"/>
  <c r="G9" i="7"/>
  <c r="F13" i="7"/>
  <c r="AO17" i="3"/>
  <c r="AO19" i="3" s="1"/>
  <c r="Q7" i="10"/>
  <c r="Q7" i="7"/>
  <c r="H16" i="12"/>
  <c r="E16" i="12"/>
  <c r="W36" i="3"/>
  <c r="U41" i="3" s="1"/>
  <c r="AD24" i="3" s="1"/>
  <c r="AD27" i="3" s="1"/>
  <c r="R10" i="12"/>
  <c r="R13" i="12" s="1"/>
  <c r="K46" i="6"/>
  <c r="I49" i="6" s="1"/>
  <c r="K46" i="11"/>
  <c r="I49" i="11" s="1"/>
  <c r="K20" i="12"/>
  <c r="K23" i="12" s="1"/>
  <c r="G26" i="10"/>
  <c r="F29" i="10"/>
  <c r="G23" i="11"/>
  <c r="F26" i="11"/>
  <c r="G26" i="7"/>
  <c r="F29" i="7"/>
  <c r="F26" i="6"/>
  <c r="G23" i="6"/>
  <c r="G23" i="9"/>
  <c r="F26" i="9"/>
  <c r="F29" i="4"/>
  <c r="G26" i="4"/>
  <c r="E20" i="12" l="1"/>
  <c r="AD33" i="3"/>
  <c r="E23" i="12" s="1"/>
  <c r="Q10" i="10"/>
  <c r="K14" i="10" s="1"/>
  <c r="L18" i="10" s="1"/>
  <c r="Q7" i="11"/>
  <c r="F16" i="7"/>
  <c r="G13" i="7"/>
  <c r="M18" i="4"/>
  <c r="L21" i="4"/>
  <c r="Q7" i="6"/>
  <c r="C5" i="6"/>
  <c r="F5" i="6" s="1"/>
  <c r="F9" i="6" s="1"/>
  <c r="S6" i="12"/>
  <c r="G13" i="11"/>
  <c r="F16" i="11"/>
  <c r="F19" i="9"/>
  <c r="G16" i="9"/>
  <c r="Q7" i="9"/>
  <c r="P26" i="2"/>
  <c r="Q26" i="2" s="1"/>
  <c r="Q10" i="7"/>
  <c r="K14" i="7" s="1"/>
  <c r="R25" i="12"/>
  <c r="F16" i="10"/>
  <c r="G13" i="10"/>
  <c r="F13" i="4"/>
  <c r="G9" i="4"/>
  <c r="F29" i="6"/>
  <c r="G26" i="6"/>
  <c r="G26" i="9"/>
  <c r="F29" i="9"/>
  <c r="G29" i="7"/>
  <c r="F32" i="7"/>
  <c r="G26" i="11"/>
  <c r="F29" i="11"/>
  <c r="G29" i="10"/>
  <c r="F32" i="10"/>
  <c r="F32" i="4"/>
  <c r="G29" i="4"/>
  <c r="F16" i="4" l="1"/>
  <c r="G13" i="4"/>
  <c r="F19" i="10"/>
  <c r="G16" i="10"/>
  <c r="F19" i="11"/>
  <c r="G16" i="11"/>
  <c r="V6" i="12"/>
  <c r="Q10" i="6"/>
  <c r="K14" i="6" s="1"/>
  <c r="L18" i="6" s="1"/>
  <c r="G16" i="7"/>
  <c r="F19" i="7"/>
  <c r="L21" i="10"/>
  <c r="M18" i="10"/>
  <c r="L18" i="7"/>
  <c r="T18" i="7"/>
  <c r="V18" i="12"/>
  <c r="Q10" i="9"/>
  <c r="K14" i="9" s="1"/>
  <c r="L18" i="9" s="1"/>
  <c r="F22" i="9"/>
  <c r="G19" i="9"/>
  <c r="G9" i="6"/>
  <c r="F13" i="6"/>
  <c r="M21" i="4"/>
  <c r="L24" i="4"/>
  <c r="O16" i="12"/>
  <c r="Q10" i="11"/>
  <c r="K14" i="11" s="1"/>
  <c r="L18" i="11" s="1"/>
  <c r="G32" i="10"/>
  <c r="F35" i="10"/>
  <c r="G29" i="11"/>
  <c r="F32" i="11"/>
  <c r="G32" i="7"/>
  <c r="F35" i="7"/>
  <c r="G29" i="9"/>
  <c r="F32" i="9"/>
  <c r="F32" i="6"/>
  <c r="G29" i="6"/>
  <c r="G32" i="4"/>
  <c r="F35" i="4"/>
  <c r="F25" i="9" l="1"/>
  <c r="G22" i="9"/>
  <c r="U18" i="7"/>
  <c r="L21" i="7"/>
  <c r="M18" i="7"/>
  <c r="L24" i="10"/>
  <c r="M21" i="10"/>
  <c r="F22" i="11"/>
  <c r="G19" i="11"/>
  <c r="F22" i="10"/>
  <c r="G19" i="10"/>
  <c r="G16" i="4"/>
  <c r="F19" i="4"/>
  <c r="M18" i="11"/>
  <c r="L21" i="11"/>
  <c r="L27" i="4"/>
  <c r="M24" i="4"/>
  <c r="F16" i="6"/>
  <c r="G13" i="6"/>
  <c r="L21" i="9"/>
  <c r="M18" i="9"/>
  <c r="F22" i="7"/>
  <c r="G19" i="7"/>
  <c r="L21" i="6"/>
  <c r="M18" i="6"/>
  <c r="F35" i="6"/>
  <c r="G32" i="6"/>
  <c r="G32" i="9"/>
  <c r="F35" i="9"/>
  <c r="G35" i="7"/>
  <c r="F38" i="7"/>
  <c r="G32" i="11"/>
  <c r="F35" i="11"/>
  <c r="G35" i="10"/>
  <c r="F38" i="10"/>
  <c r="F38" i="4"/>
  <c r="G35" i="4"/>
  <c r="M21" i="11" l="1"/>
  <c r="L24" i="11"/>
  <c r="F22" i="4"/>
  <c r="G19" i="4"/>
  <c r="F28" i="9"/>
  <c r="G25" i="9"/>
  <c r="L24" i="6"/>
  <c r="M21" i="6"/>
  <c r="G22" i="7"/>
  <c r="F25" i="7"/>
  <c r="M21" i="9"/>
  <c r="L24" i="9"/>
  <c r="F19" i="6"/>
  <c r="G16" i="6"/>
  <c r="L30" i="4"/>
  <c r="M27" i="4"/>
  <c r="G22" i="10"/>
  <c r="F25" i="10"/>
  <c r="G22" i="11"/>
  <c r="F25" i="11"/>
  <c r="M24" i="10"/>
  <c r="L27" i="10"/>
  <c r="M21" i="7"/>
  <c r="L24" i="7"/>
  <c r="G38" i="10"/>
  <c r="F41" i="10"/>
  <c r="G35" i="11"/>
  <c r="F38" i="11"/>
  <c r="G38" i="7"/>
  <c r="F41" i="7"/>
  <c r="G35" i="9"/>
  <c r="F38" i="9"/>
  <c r="F38" i="6"/>
  <c r="G35" i="6"/>
  <c r="F41" i="4"/>
  <c r="G38" i="4"/>
  <c r="L33" i="4" l="1"/>
  <c r="M30" i="4"/>
  <c r="G19" i="6"/>
  <c r="F22" i="6"/>
  <c r="L27" i="6"/>
  <c r="M24" i="6"/>
  <c r="G28" i="9"/>
  <c r="F31" i="9"/>
  <c r="F25" i="4"/>
  <c r="G22" i="4"/>
  <c r="L27" i="7"/>
  <c r="M24" i="7"/>
  <c r="M27" i="10"/>
  <c r="L30" i="10"/>
  <c r="G25" i="11"/>
  <c r="F28" i="11"/>
  <c r="F28" i="10"/>
  <c r="G25" i="10"/>
  <c r="L27" i="9"/>
  <c r="M24" i="9"/>
  <c r="F28" i="7"/>
  <c r="G25" i="7"/>
  <c r="L27" i="11"/>
  <c r="M24" i="11"/>
  <c r="F41" i="6"/>
  <c r="G38" i="6"/>
  <c r="G38" i="9"/>
  <c r="F41" i="9"/>
  <c r="G41" i="7"/>
  <c r="L41" i="7"/>
  <c r="M41" i="7" s="1"/>
  <c r="G38" i="11"/>
  <c r="F41" i="11"/>
  <c r="G41" i="10"/>
  <c r="L41" i="10"/>
  <c r="M41" i="10" s="1"/>
  <c r="G41" i="4"/>
  <c r="L41" i="4"/>
  <c r="M41" i="4" s="1"/>
  <c r="L30" i="11" l="1"/>
  <c r="M27" i="11"/>
  <c r="G28" i="7"/>
  <c r="F31" i="7"/>
  <c r="M27" i="9"/>
  <c r="L30" i="9"/>
  <c r="G28" i="10"/>
  <c r="F31" i="10"/>
  <c r="M27" i="7"/>
  <c r="L30" i="7"/>
  <c r="G25" i="4"/>
  <c r="F28" i="4"/>
  <c r="L30" i="6"/>
  <c r="M27" i="6"/>
  <c r="M33" i="4"/>
  <c r="L36" i="4"/>
  <c r="M36" i="4" s="1"/>
  <c r="F31" i="11"/>
  <c r="G28" i="11"/>
  <c r="M30" i="10"/>
  <c r="L33" i="10"/>
  <c r="F34" i="9"/>
  <c r="G31" i="9"/>
  <c r="G22" i="6"/>
  <c r="F25" i="6"/>
  <c r="L41" i="11"/>
  <c r="G41" i="11"/>
  <c r="G41" i="9"/>
  <c r="L41" i="9"/>
  <c r="L41" i="6"/>
  <c r="G41" i="6"/>
  <c r="F37" i="9" l="1"/>
  <c r="G34" i="9"/>
  <c r="F34" i="11"/>
  <c r="G31" i="11"/>
  <c r="L33" i="6"/>
  <c r="M30" i="6"/>
  <c r="M30" i="11"/>
  <c r="L33" i="11"/>
  <c r="G25" i="6"/>
  <c r="F28" i="6"/>
  <c r="L36" i="10"/>
  <c r="M36" i="10" s="1"/>
  <c r="M33" i="10"/>
  <c r="F31" i="4"/>
  <c r="G28" i="4"/>
  <c r="L33" i="7"/>
  <c r="M30" i="7"/>
  <c r="F34" i="10"/>
  <c r="G31" i="10"/>
  <c r="L33" i="9"/>
  <c r="M30" i="9"/>
  <c r="F34" i="7"/>
  <c r="G31" i="7"/>
  <c r="M41" i="6"/>
  <c r="S11" i="12"/>
  <c r="M41" i="11"/>
  <c r="L21" i="12"/>
  <c r="M41" i="9"/>
  <c r="S23" i="12"/>
  <c r="F37" i="7" l="1"/>
  <c r="G34" i="7"/>
  <c r="M33" i="9"/>
  <c r="L36" i="9"/>
  <c r="M36" i="9" s="1"/>
  <c r="F37" i="10"/>
  <c r="G34" i="10"/>
  <c r="M33" i="7"/>
  <c r="L36" i="7"/>
  <c r="M36" i="7" s="1"/>
  <c r="F34" i="4"/>
  <c r="G31" i="4"/>
  <c r="M33" i="6"/>
  <c r="L36" i="6"/>
  <c r="M36" i="6" s="1"/>
  <c r="F37" i="11"/>
  <c r="G34" i="11"/>
  <c r="F40" i="9"/>
  <c r="G37" i="9"/>
  <c r="F31" i="6"/>
  <c r="G28" i="6"/>
  <c r="M33" i="11"/>
  <c r="L36" i="11"/>
  <c r="M36" i="11" s="1"/>
  <c r="G31" i="6" l="1"/>
  <c r="F34" i="6"/>
  <c r="L40" i="9"/>
  <c r="G40" i="9"/>
  <c r="F40" i="11"/>
  <c r="G37" i="11"/>
  <c r="F37" i="4"/>
  <c r="G34" i="4"/>
  <c r="F40" i="10"/>
  <c r="G37" i="10"/>
  <c r="F40" i="7"/>
  <c r="G37" i="7"/>
  <c r="G40" i="7" l="1"/>
  <c r="L40" i="7"/>
  <c r="M40" i="7" s="1"/>
  <c r="L40" i="10"/>
  <c r="M40" i="10" s="1"/>
  <c r="G40" i="10"/>
  <c r="F40" i="4"/>
  <c r="G37" i="4"/>
  <c r="L40" i="11"/>
  <c r="G40" i="11"/>
  <c r="S22" i="12"/>
  <c r="S25" i="12" s="1"/>
  <c r="M40" i="9"/>
  <c r="G34" i="6"/>
  <c r="F37" i="6"/>
  <c r="L20" i="12" l="1"/>
  <c r="L23" i="12" s="1"/>
  <c r="M40" i="11"/>
  <c r="L40" i="4"/>
  <c r="M40" i="4" s="1"/>
  <c r="G40" i="4"/>
  <c r="F40" i="6"/>
  <c r="G37" i="6"/>
  <c r="L40" i="6" l="1"/>
  <c r="G40" i="6"/>
  <c r="S10" i="12" l="1"/>
  <c r="S13" i="12" s="1"/>
  <c r="M40" i="6"/>
</calcChain>
</file>

<file path=xl/sharedStrings.xml><?xml version="1.0" encoding="utf-8"?>
<sst xmlns="http://schemas.openxmlformats.org/spreadsheetml/2006/main" count="680" uniqueCount="172">
  <si>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</si>
  <si>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</si>
  <si>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</si>
  <si>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</si>
  <si>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</si>
  <si>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</si>
  <si>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</si>
  <si>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</si>
  <si>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</si>
  <si>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</si>
  <si>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</si>
  <si>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</si>
  <si>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</si>
  <si>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</si>
  <si>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</si>
  <si>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</si>
  <si>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</si>
  <si>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</si>
  <si>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</si>
  <si>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</si>
  <si>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</si>
  <si>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</si>
  <si>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</si>
  <si>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</si>
  <si>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</si>
  <si>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</si>
  <si>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</si>
  <si>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</si>
  <si>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</si>
  <si>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</si>
  <si>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</si>
  <si>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</si>
  <si>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</si>
  <si>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</si>
  <si>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</si>
  <si>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</si>
  <si>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</si>
  <si>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</si>
  <si>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</si>
  <si>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</si>
  <si>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</si>
  <si>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</si>
  <si>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</si>
  <si>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</si>
  <si>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</si>
  <si>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</si>
  <si>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</si>
  <si>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</si>
  <si>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</si>
  <si>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</si>
  <si>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</si>
  <si>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</si>
  <si>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</si>
  <si>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</si>
  <si>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</si>
  <si>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</si>
  <si>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</si>
  <si>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</si>
  <si>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</si>
  <si>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</si>
  <si>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</si>
  <si>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</si>
  <si>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</si>
  <si>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</si>
  <si>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</si>
  <si>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</si>
  <si>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</si>
  <si>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</si>
  <si>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</si>
  <si>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</si>
  <si>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</si>
  <si>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</si>
  <si>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</si>
  <si>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</si>
  <si>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</si>
  <si>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</si>
  <si>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</si>
  <si>
    <t>% in TBP (equal volumes - perfect sep)</t>
  </si>
  <si>
    <t>% in Product (equal volumes - Perfect Separation)</t>
  </si>
  <si>
    <t>U</t>
  </si>
  <si>
    <t>Pu</t>
  </si>
  <si>
    <t>DR Guess</t>
  </si>
  <si>
    <t>1/DR</t>
  </si>
  <si>
    <t>1/DR * VR</t>
  </si>
  <si>
    <t>%TBP</t>
  </si>
  <si>
    <t>%TBP * Vr</t>
  </si>
  <si>
    <t>%Ext1</t>
  </si>
  <si>
    <t>%Ext2</t>
  </si>
  <si>
    <t>1 - %Ext1</t>
  </si>
  <si>
    <t>T%Ext2</t>
  </si>
  <si>
    <t>1-T%Ext2</t>
  </si>
  <si>
    <t>T%Ext3</t>
  </si>
  <si>
    <t>%Ext3</t>
  </si>
  <si>
    <t>1-T%Ext3</t>
  </si>
  <si>
    <t>%Ext4</t>
  </si>
  <si>
    <t>T%Ext4</t>
  </si>
  <si>
    <t>% Err</t>
  </si>
  <si>
    <t>Minimize</t>
  </si>
  <si>
    <t>Extraction</t>
  </si>
  <si>
    <t>Equal Volumes</t>
  </si>
  <si>
    <t>1/DR U</t>
  </si>
  <si>
    <t>VTBP</t>
  </si>
  <si>
    <t>1/DR Pu</t>
  </si>
  <si>
    <t>VHNO3</t>
  </si>
  <si>
    <t>VH/Vt</t>
  </si>
  <si>
    <t>VH/Vt * 1/DR U</t>
  </si>
  <si>
    <t>VH/Vt * 1/DR Pu</t>
  </si>
  <si>
    <t>Back Extraction</t>
  </si>
  <si>
    <t>Vfe</t>
  </si>
  <si>
    <t>Vt/Vfe</t>
  </si>
  <si>
    <t>Vt/Vfe * DR U</t>
  </si>
  <si>
    <t>Vt/Vfe * DR Pu</t>
  </si>
  <si>
    <t>% Extracted into TBP Given Equal Volumes and Perfect Separation</t>
  </si>
  <si>
    <t>% Back Extracted into Fe Given Equal volumes and perfect Separation (if 100% extracted into TBP)</t>
  </si>
  <si>
    <t>% Recovery given equal volumes and perfect separation</t>
  </si>
  <si>
    <t>Multiply Vial 86G by this amount to give proper amounts</t>
  </si>
  <si>
    <t>For DF</t>
  </si>
  <si>
    <t>For everything</t>
  </si>
  <si>
    <t>but it cancels out</t>
  </si>
  <si>
    <t>V fe</t>
  </si>
  <si>
    <t>% Fe</t>
  </si>
  <si>
    <t>V fe tot</t>
  </si>
  <si>
    <t>V fe rem</t>
  </si>
  <si>
    <t>V rem/tot</t>
  </si>
  <si>
    <t>% Ext 1</t>
  </si>
  <si>
    <t>% Ext 2</t>
  </si>
  <si>
    <t>Combined Extration Back Extraction (theoretical)</t>
  </si>
  <si>
    <t>&lt;- assume the DR for uranium increases because there are more ions in solution, a much lower concentration of U</t>
  </si>
  <si>
    <t>Experimental</t>
  </si>
  <si>
    <t>% Err Extraction</t>
  </si>
  <si>
    <t>% Err Back Extraction</t>
  </si>
  <si>
    <t>% Err is between experiment and Simulated values</t>
  </si>
  <si>
    <t>% Err U Recovery</t>
  </si>
  <si>
    <t>% Err Pu Recovery</t>
  </si>
  <si>
    <t>DR</t>
  </si>
  <si>
    <t>Can we fix this red???</t>
  </si>
  <si>
    <t>Lost a drop</t>
  </si>
  <si>
    <t>%Lost</t>
  </si>
  <si>
    <t>C1 and C2 Average</t>
  </si>
  <si>
    <t>C1 and C3 Average</t>
  </si>
  <si>
    <t>DC</t>
  </si>
  <si>
    <t>C1 and C2 and C3 Average</t>
  </si>
  <si>
    <t xml:space="preserve">DF </t>
  </si>
  <si>
    <t>(C_i/P_i)/(C_f/P_f)</t>
  </si>
  <si>
    <t>To modify for other isotopes, change the section titled uranium to new isotope.</t>
  </si>
  <si>
    <t>Update concentrations for Exp1 and Exp2 in Uranium Section</t>
  </si>
  <si>
    <t>Check if correction factor is fine</t>
  </si>
  <si>
    <t>Use the solver for Exp2_Act_C1</t>
  </si>
  <si>
    <t>Use the solver for Exp2_Act_C2</t>
  </si>
  <si>
    <t>Use the solver for Exp2_Act_C3</t>
  </si>
  <si>
    <t>Everything else will automatically update</t>
  </si>
  <si>
    <t>Experiment 1</t>
  </si>
  <si>
    <t>DC U</t>
  </si>
  <si>
    <t>DC Pu</t>
  </si>
  <si>
    <t>DF U</t>
  </si>
  <si>
    <t>Experiment 2</t>
  </si>
  <si>
    <t>Cycle 1</t>
  </si>
  <si>
    <t>Cycle 2</t>
  </si>
  <si>
    <t>Cycle 3</t>
  </si>
  <si>
    <t>DF</t>
  </si>
  <si>
    <t>%Fe</t>
  </si>
  <si>
    <t>%V Ext</t>
  </si>
  <si>
    <t>% Cs Fe</t>
  </si>
  <si>
    <t>Vt/Vh</t>
  </si>
  <si>
    <t>%Fe * % V ext</t>
  </si>
  <si>
    <t>above divided by %Cs Fe minus 1</t>
  </si>
  <si>
    <t>times Vt/VH</t>
  </si>
  <si>
    <t>DR Extraction</t>
  </si>
  <si>
    <t>DR B ext</t>
  </si>
  <si>
    <t>Vt/VH</t>
  </si>
  <si>
    <t>DR * Vt/VH</t>
  </si>
  <si>
    <t xml:space="preserve">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</si>
</sst>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00000000000%"/>
    <numFmt numFmtId="166" formatCode="0.0000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5" fillId="9" borderId="0" applyNumberFormat="0" applyBorder="0" applyAlignment="0" applyProtection="0"/>
  </cellStyleXfs>
  <cellXfs count="69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166" fontId="0" fillId="0" borderId="0" xfId="0" applyNumberFormat="1"/>
    <xf numFmtId="0" fontId="3" fillId="7" borderId="0" xfId="1" applyBorder="1"/>
    <xf numFmtId="0" fontId="3" fillId="7" borderId="0" xfId="1"/>
    <xf numFmtId="167" fontId="0" fillId="2" borderId="0" xfId="0" applyNumberFormat="1" applyFill="1"/>
    <xf numFmtId="167" fontId="0" fillId="3" borderId="0" xfId="0" applyNumberFormat="1" applyFill="1"/>
    <xf numFmtId="0" fontId="2" fillId="3" borderId="0" xfId="0" applyFont="1" applyFill="1"/>
    <xf numFmtId="167" fontId="0" fillId="0" borderId="0" xfId="0" applyNumberFormat="1"/>
    <xf numFmtId="0" fontId="4" fillId="8" borderId="0" xfId="0" applyFont="1" applyFill="1"/>
    <xf numFmtId="0" fontId="0" fillId="8" borderId="0" xfId="0" applyFill="1"/>
    <xf numFmtId="0" fontId="5" fillId="9" borderId="0" xfId="2"/>
    <xf numFmtId="10" fontId="5" fillId="9" borderId="0" xfId="2" applyNumberFormat="1"/>
    <xf numFmtId="0" fontId="0" fillId="10" borderId="0" xfId="0" applyFill="1"/>
    <xf numFmtId="0" fontId="5" fillId="9" borderId="0" xfId="2" applyNumberFormat="1"/>
    <xf numFmtId="10" fontId="0" fillId="0" borderId="2" xfId="0" applyNumberForma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Research/Calculations/Mass_Spec/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tabSelected="1" workbookViewId="0">
      <selection activeCell="K23" sqref="K23:L23"/>
    </sheetView>
  </sheetViews>
  <sheetFormatPr defaultRowHeight="15" x14ac:dyDescent="0.25"/>
  <sheetData>
    <row r="1" spans="3:22" ht="15.75" thickBot="1" x14ac:dyDescent="0.3"/>
    <row r="2" spans="3:22" x14ac:dyDescent="0.25">
      <c r="C2" s="63" t="s">
        <v>144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"/>
      <c r="O2" s="6"/>
      <c r="Q2" s="36" t="s">
        <v>155</v>
      </c>
      <c r="R2" s="37"/>
      <c r="S2" s="37"/>
      <c r="T2" s="37"/>
      <c r="U2" s="37"/>
      <c r="V2" s="44"/>
    </row>
    <row r="3" spans="3:22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"/>
      <c r="O3" s="6"/>
      <c r="Q3" s="22" t="s">
        <v>156</v>
      </c>
      <c r="R3" s="25"/>
      <c r="S3" s="25"/>
      <c r="T3" s="25"/>
      <c r="U3" s="25"/>
      <c r="V3" s="27"/>
    </row>
    <row r="4" spans="3:22" x14ac:dyDescent="0.25">
      <c r="C4" s="63" t="s">
        <v>145</v>
      </c>
      <c r="D4" s="63"/>
      <c r="E4" s="63"/>
      <c r="F4" s="63"/>
      <c r="G4" s="63"/>
      <c r="H4" s="63"/>
      <c r="I4" s="63"/>
      <c r="J4" s="63" t="s">
        <v>146</v>
      </c>
      <c r="K4" s="63"/>
      <c r="L4" s="63"/>
      <c r="M4" s="63"/>
      <c r="N4" s="6"/>
      <c r="O4" s="6"/>
      <c r="Q4" s="22"/>
      <c r="R4" s="25" t="s">
        <v>98</v>
      </c>
      <c r="S4" s="25"/>
      <c r="T4" s="25"/>
      <c r="U4" s="25" t="s">
        <v>107</v>
      </c>
      <c r="V4" s="27"/>
    </row>
    <row r="5" spans="3:22" x14ac:dyDescent="0.25"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"/>
      <c r="O5" s="6"/>
      <c r="Q5" s="22"/>
      <c r="R5" s="25"/>
      <c r="S5" s="48" t="s">
        <v>4</v>
      </c>
      <c r="T5" s="25"/>
      <c r="U5" s="25"/>
      <c r="V5" s="39" t="s">
        <v>4</v>
      </c>
    </row>
    <row r="6" spans="3:22" x14ac:dyDescent="0.25">
      <c r="C6" s="63" t="s">
        <v>147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"/>
      <c r="O6" s="6"/>
      <c r="Q6" s="22" t="s">
        <v>152</v>
      </c>
      <c r="R6" s="25">
        <f>Exp2_eq_V_p_sep_C1!B2</f>
        <v>1.2693875869717425E-2</v>
      </c>
      <c r="S6" s="25">
        <f>Exp2_eq_V_p_sep_C1!C2</f>
        <v>1.7523249542435925E-3</v>
      </c>
      <c r="T6" s="25"/>
      <c r="U6" s="25">
        <f>Exp2_eq_V_p_sep_C1!P7</f>
        <v>1.2693875869717425E-2</v>
      </c>
      <c r="V6" s="27">
        <f>Exp2_eq_V_p_sep_C1!Q7</f>
        <v>1.7523249542435925E-3</v>
      </c>
    </row>
    <row r="7" spans="3:22" x14ac:dyDescent="0.25">
      <c r="C7" s="63" t="s">
        <v>148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"/>
      <c r="O7" s="6"/>
      <c r="Q7" s="22" t="s">
        <v>153</v>
      </c>
      <c r="R7" s="25">
        <f>Exp2_eq_V_p_sep_C1!B3</f>
        <v>11.566237323816264</v>
      </c>
      <c r="S7" s="25">
        <f>Exp2_eq_V_p_sep_C1!C3</f>
        <v>1.1188756885710509</v>
      </c>
      <c r="T7" s="25"/>
      <c r="U7" s="25">
        <f>Exp2_eq_V_p_sep_C1!P8</f>
        <v>0.17830802249926528</v>
      </c>
      <c r="V7" s="27">
        <f>Exp2_eq_V_p_sep_C1!Q8</f>
        <v>1.7830802249926527E-2</v>
      </c>
    </row>
    <row r="8" spans="3:22" x14ac:dyDescent="0.25">
      <c r="C8" s="63" t="s">
        <v>149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"/>
      <c r="O8" s="6"/>
      <c r="Q8" s="22"/>
      <c r="R8" s="25"/>
      <c r="S8" s="25"/>
      <c r="T8" s="25"/>
      <c r="U8" s="25"/>
      <c r="V8" s="27"/>
    </row>
    <row r="9" spans="3:22" x14ac:dyDescent="0.25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"/>
      <c r="O9" s="6"/>
      <c r="Q9" s="22" t="s">
        <v>114</v>
      </c>
      <c r="R9" s="25"/>
      <c r="S9" s="25"/>
      <c r="T9" s="25"/>
      <c r="U9" s="25"/>
      <c r="V9" s="27"/>
    </row>
    <row r="10" spans="3:22" x14ac:dyDescent="0.25">
      <c r="C10" s="63" t="s">
        <v>150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"/>
      <c r="O10" s="6"/>
      <c r="Q10" s="22" t="s">
        <v>79</v>
      </c>
      <c r="R10" s="25">
        <f>Exp2_eq_V_p_sep_C1!K40</f>
        <v>4.9204092555276663E-2</v>
      </c>
      <c r="S10" s="25">
        <f>Exp2_eq_V_p_sep_C1!L40</f>
        <v>3.6157682740872174E-3</v>
      </c>
      <c r="T10" s="25"/>
      <c r="U10" s="25"/>
      <c r="V10" s="27"/>
    </row>
    <row r="11" spans="3:22" x14ac:dyDescent="0.25">
      <c r="Q11" s="22" t="s">
        <v>80</v>
      </c>
      <c r="R11" s="25">
        <f>Exp2_eq_V_p_sep_C1!K41</f>
        <v>0.99690093983043115</v>
      </c>
      <c r="S11" s="25">
        <f>Exp2_eq_V_p_sep_C1!L41</f>
        <v>4.1720391167858209E-2</v>
      </c>
      <c r="T11" s="25"/>
      <c r="U11" s="25"/>
      <c r="V11" s="27"/>
    </row>
    <row r="12" spans="3:22" ht="15.75" thickBot="1" x14ac:dyDescent="0.3">
      <c r="Q12" s="22"/>
      <c r="R12" s="25"/>
      <c r="S12" s="25"/>
      <c r="T12" s="25"/>
      <c r="U12" s="25"/>
      <c r="V12" s="27"/>
    </row>
    <row r="13" spans="3:22" ht="15.75" thickBot="1" x14ac:dyDescent="0.3">
      <c r="C13" s="36" t="s">
        <v>151</v>
      </c>
      <c r="D13" s="37"/>
      <c r="E13" s="37"/>
      <c r="F13" s="37"/>
      <c r="G13" s="37"/>
      <c r="H13" s="44"/>
      <c r="J13" s="36" t="s">
        <v>158</v>
      </c>
      <c r="K13" s="37"/>
      <c r="L13" s="37"/>
      <c r="M13" s="37"/>
      <c r="N13" s="37"/>
      <c r="O13" s="44"/>
      <c r="Q13" s="24" t="s">
        <v>154</v>
      </c>
      <c r="R13" s="18">
        <f>R11/R10</f>
        <v>20.260528912518744</v>
      </c>
      <c r="S13" s="18">
        <f>((S11/R10)^2+((S10*R11)/(R10^2))^2)^0.5</f>
        <v>1.7133618528860544</v>
      </c>
      <c r="T13" s="18"/>
      <c r="U13" s="18"/>
      <c r="V13" s="41"/>
    </row>
    <row r="14" spans="3:22" ht="15.75" thickBot="1" x14ac:dyDescent="0.3">
      <c r="C14" s="22"/>
      <c r="D14" s="25" t="s">
        <v>98</v>
      </c>
      <c r="E14" s="25"/>
      <c r="F14" s="25"/>
      <c r="G14" s="25" t="s">
        <v>107</v>
      </c>
      <c r="H14" s="27"/>
      <c r="J14" s="22"/>
      <c r="K14" s="25" t="s">
        <v>98</v>
      </c>
      <c r="L14" s="25"/>
      <c r="M14" s="25"/>
      <c r="N14" s="25" t="s">
        <v>107</v>
      </c>
      <c r="O14" s="27"/>
    </row>
    <row r="15" spans="3:22" x14ac:dyDescent="0.25">
      <c r="C15" s="22"/>
      <c r="D15" s="25"/>
      <c r="E15" s="48" t="s">
        <v>4</v>
      </c>
      <c r="F15" s="25"/>
      <c r="G15" s="25"/>
      <c r="H15" s="39" t="s">
        <v>4</v>
      </c>
      <c r="J15" s="22"/>
      <c r="K15" s="25"/>
      <c r="L15" s="48" t="s">
        <v>4</v>
      </c>
      <c r="M15" s="25"/>
      <c r="N15" s="25"/>
      <c r="O15" s="39" t="s">
        <v>4</v>
      </c>
      <c r="Q15" s="36" t="s">
        <v>157</v>
      </c>
      <c r="R15" s="37"/>
      <c r="S15" s="37"/>
      <c r="T15" s="37"/>
      <c r="U15" s="37"/>
      <c r="V15" s="44"/>
    </row>
    <row r="16" spans="3:22" x14ac:dyDescent="0.25">
      <c r="C16" s="22" t="s">
        <v>152</v>
      </c>
      <c r="D16" s="25">
        <f>'Exp1'!AN12</f>
        <v>1.2693875869717425E-2</v>
      </c>
      <c r="E16" s="25">
        <f>'Exp1'!AO12</f>
        <v>1.7523249542435925E-3</v>
      </c>
      <c r="F16" s="25"/>
      <c r="G16" s="25">
        <f>'Exp1'!AN12</f>
        <v>1.2693875869717425E-2</v>
      </c>
      <c r="H16" s="25">
        <f>'Exp1'!AO12</f>
        <v>1.7523249542435925E-3</v>
      </c>
      <c r="J16" s="22" t="s">
        <v>152</v>
      </c>
      <c r="K16" s="25">
        <f>Exp2_Eq_V_P_Sep_C3!B2</f>
        <v>1.2693875869717425E-2</v>
      </c>
      <c r="L16" s="25">
        <f>Exp2_Eq_V_P_Sep_C3!C2</f>
        <v>4.9126211103254623E-2</v>
      </c>
      <c r="M16" s="25"/>
      <c r="N16" s="25">
        <f>Exp2_Eq_V_P_Sep_C3!P7</f>
        <v>1.2693875869717425E-2</v>
      </c>
      <c r="O16" s="27">
        <f>Exp2_Eq_V_P_Sep_C3!Q7</f>
        <v>1.7523249542435925E-3</v>
      </c>
      <c r="Q16" s="22"/>
      <c r="R16" s="25" t="s">
        <v>98</v>
      </c>
      <c r="S16" s="25"/>
      <c r="T16" s="25"/>
      <c r="U16" s="25" t="s">
        <v>107</v>
      </c>
      <c r="V16" s="27"/>
    </row>
    <row r="17" spans="3:22" x14ac:dyDescent="0.25">
      <c r="C17" s="22" t="s">
        <v>153</v>
      </c>
      <c r="D17" s="25">
        <f>'Exp1'!V18</f>
        <v>11.566237323816264</v>
      </c>
      <c r="E17" s="25">
        <f>'Exp1'!W18</f>
        <v>1.1188756885710509</v>
      </c>
      <c r="F17" s="25"/>
      <c r="G17" s="25">
        <f>'Exp1'!Y26</f>
        <v>0.10373261451728277</v>
      </c>
      <c r="H17" s="27">
        <f>'Exp1'!Z26</f>
        <v>0.1259918842176129</v>
      </c>
      <c r="J17" s="22" t="s">
        <v>153</v>
      </c>
      <c r="K17" s="25">
        <f>Exp2_Eq_V_P_Sep_C3!B3</f>
        <v>11.566237323816264</v>
      </c>
      <c r="L17" s="25">
        <f>Exp2_Eq_V_P_Sep_C3!C3</f>
        <v>1.1188756885710509</v>
      </c>
      <c r="M17" s="25"/>
      <c r="N17" s="25">
        <f>Exp2_Eq_V_P_Sep_C3!P8</f>
        <v>0.20287041525709198</v>
      </c>
      <c r="O17" s="27">
        <f>Exp2_Eq_V_P_Sep_C3!Q8</f>
        <v>2.0287041525709201E-2</v>
      </c>
      <c r="Q17" s="22"/>
      <c r="R17" s="25"/>
      <c r="S17" s="48" t="s">
        <v>4</v>
      </c>
      <c r="T17" s="25"/>
      <c r="U17" s="25"/>
      <c r="V17" s="39" t="s">
        <v>4</v>
      </c>
    </row>
    <row r="18" spans="3:22" x14ac:dyDescent="0.25">
      <c r="C18" s="22"/>
      <c r="D18" s="25"/>
      <c r="E18" s="25"/>
      <c r="F18" s="25"/>
      <c r="G18" s="25"/>
      <c r="H18" s="27"/>
      <c r="J18" s="22"/>
      <c r="K18" s="25"/>
      <c r="L18" s="25"/>
      <c r="M18" s="25"/>
      <c r="N18" s="25"/>
      <c r="O18" s="27"/>
      <c r="Q18" s="22" t="s">
        <v>152</v>
      </c>
      <c r="R18" s="25">
        <f>Exp2_Eq_V_P_Sep_C2!B2</f>
        <v>1.2693875869717425E-2</v>
      </c>
      <c r="S18" s="25">
        <f>Exp2_Eq_V_P_Sep_C2!C2</f>
        <v>4.9126211103254623E-2</v>
      </c>
      <c r="T18" s="25"/>
      <c r="U18" s="25">
        <f>Exp2_Eq_V_P_Sep_C2!P7</f>
        <v>1.2693875869717425E-2</v>
      </c>
      <c r="V18" s="27">
        <f>Exp2_Eq_V_P_Sep_C2!Q7</f>
        <v>1.7523249542435925E-3</v>
      </c>
    </row>
    <row r="19" spans="3:22" x14ac:dyDescent="0.25">
      <c r="C19" s="22" t="s">
        <v>114</v>
      </c>
      <c r="D19" s="25"/>
      <c r="E19" s="25"/>
      <c r="F19" s="25"/>
      <c r="G19" s="25"/>
      <c r="H19" s="27"/>
      <c r="J19" s="22" t="s">
        <v>114</v>
      </c>
      <c r="K19" s="25"/>
      <c r="L19" s="25"/>
      <c r="M19" s="25"/>
      <c r="N19" s="25"/>
      <c r="O19" s="27"/>
      <c r="Q19" s="22" t="s">
        <v>153</v>
      </c>
      <c r="R19" s="25">
        <f>Exp2_Eq_V_P_Sep_C2!B3</f>
        <v>11.566237323816264</v>
      </c>
      <c r="S19" s="25">
        <f>Exp2_Eq_V_P_Sep_C2!C3</f>
        <v>1.1188756885710509</v>
      </c>
      <c r="T19" s="25"/>
      <c r="U19" s="25">
        <f>Exp2_Eq_V_P_Sep_C2!P8</f>
        <v>0.73362743377730777</v>
      </c>
      <c r="V19" s="27">
        <f>Exp2_Eq_V_P_Sep_C2!Q8</f>
        <v>7.3362743377730785E-2</v>
      </c>
    </row>
    <row r="20" spans="3:22" x14ac:dyDescent="0.25">
      <c r="C20" s="22" t="s">
        <v>79</v>
      </c>
      <c r="D20" s="25">
        <f>'Exp1'!AC27</f>
        <v>1.2377640929878066E-2</v>
      </c>
      <c r="E20" s="25">
        <f>'Exp1'!AD27</f>
        <v>1.6962200847312494E-3</v>
      </c>
      <c r="F20" s="25"/>
      <c r="G20" s="25"/>
      <c r="H20" s="27"/>
      <c r="J20" s="22" t="s">
        <v>79</v>
      </c>
      <c r="K20" s="25">
        <f>Exp2_Eq_V_P_Sep_C3!K40</f>
        <v>4.9204092555276663E-2</v>
      </c>
      <c r="L20" s="25">
        <f>Exp2_Eq_V_P_Sep_C3!L40</f>
        <v>9.4047788684920614E-2</v>
      </c>
      <c r="M20" s="25"/>
      <c r="N20" s="25"/>
      <c r="O20" s="27"/>
      <c r="Q20" s="22"/>
      <c r="R20" s="25"/>
      <c r="S20" s="25"/>
      <c r="T20" s="25"/>
      <c r="U20" s="25"/>
      <c r="V20" s="27"/>
    </row>
    <row r="21" spans="3:22" x14ac:dyDescent="0.25">
      <c r="C21" s="22" t="s">
        <v>80</v>
      </c>
      <c r="D21" s="25">
        <f>'Exp1'!AC28</f>
        <v>0.83391726607211103</v>
      </c>
      <c r="E21" s="25">
        <f>'Exp1'!AD28</f>
        <v>9.5419535657585264E-2</v>
      </c>
      <c r="F21" s="25"/>
      <c r="G21" s="25"/>
      <c r="H21" s="27"/>
      <c r="J21" s="22" t="s">
        <v>80</v>
      </c>
      <c r="K21" s="25">
        <f>Exp2_Eq_V_P_Sep_C3!K41</f>
        <v>0.99571448058177059</v>
      </c>
      <c r="L21" s="25">
        <f>Exp2_Eq_V_P_Sep_C3!L41</f>
        <v>4.1891161472516557E-2</v>
      </c>
      <c r="M21" s="25"/>
      <c r="N21" s="25"/>
      <c r="O21" s="27"/>
      <c r="Q21" s="22" t="s">
        <v>114</v>
      </c>
      <c r="R21" s="25"/>
      <c r="S21" s="25"/>
      <c r="T21" s="25"/>
      <c r="U21" s="25"/>
      <c r="V21" s="27"/>
    </row>
    <row r="22" spans="3:22" x14ac:dyDescent="0.25">
      <c r="C22" s="22"/>
      <c r="D22" s="25"/>
      <c r="E22" s="25"/>
      <c r="F22" s="25"/>
      <c r="G22" s="25"/>
      <c r="H22" s="27"/>
      <c r="J22" s="22"/>
      <c r="K22" s="25"/>
      <c r="L22" s="25"/>
      <c r="M22" s="25"/>
      <c r="N22" s="25"/>
      <c r="O22" s="27"/>
      <c r="Q22" s="22" t="s">
        <v>79</v>
      </c>
      <c r="R22" s="25">
        <f>Exp2_Eq_V_P_Sep_C2!K40</f>
        <v>4.9204092555276663E-2</v>
      </c>
      <c r="S22" s="25">
        <f>Exp2_Eq_V_P_Sep_C2!L40</f>
        <v>9.4047788684920614E-2</v>
      </c>
      <c r="T22" s="25"/>
      <c r="U22" s="25"/>
      <c r="V22" s="27"/>
    </row>
    <row r="23" spans="3:22" ht="15.75" thickBot="1" x14ac:dyDescent="0.3">
      <c r="C23" s="24" t="s">
        <v>154</v>
      </c>
      <c r="D23" s="18">
        <f>'Exp1'!AC33</f>
        <v>67.372875881311103</v>
      </c>
      <c r="E23" s="18">
        <f>'Exp1'!AD33</f>
        <v>12.027970502145177</v>
      </c>
      <c r="F23" s="18"/>
      <c r="G23" s="18"/>
      <c r="H23" s="41"/>
      <c r="J23" s="24" t="s">
        <v>154</v>
      </c>
      <c r="K23" s="18">
        <f>K21/K20</f>
        <v>20.236415892909093</v>
      </c>
      <c r="L23" s="18">
        <f>((L21/K20)^2+((L20*K21)/(K20^2))^2)^0.5</f>
        <v>38.688878192771355</v>
      </c>
      <c r="M23" s="18"/>
      <c r="N23" s="18"/>
      <c r="O23" s="41"/>
      <c r="Q23" s="22" t="s">
        <v>80</v>
      </c>
      <c r="R23" s="25">
        <f>Exp2_Eq_V_P_Sep_C2!K41</f>
        <v>0.93037790727617253</v>
      </c>
      <c r="S23" s="25">
        <f>Exp2_Eq_V_P_Sep_C2!L41</f>
        <v>4.590485903324857E-2</v>
      </c>
      <c r="T23" s="25"/>
      <c r="U23" s="25"/>
      <c r="V23" s="27"/>
    </row>
    <row r="24" spans="3:22" x14ac:dyDescent="0.25">
      <c r="Q24" s="22"/>
      <c r="R24" s="25"/>
      <c r="S24" s="25"/>
      <c r="T24" s="25"/>
      <c r="U24" s="25"/>
      <c r="V24" s="27"/>
    </row>
    <row r="25" spans="3:22" ht="15.75" thickBot="1" x14ac:dyDescent="0.3">
      <c r="Q25" s="24" t="s">
        <v>154</v>
      </c>
      <c r="R25" s="18">
        <f>R23/R22</f>
        <v>18.908547215477476</v>
      </c>
      <c r="S25" s="18">
        <f>((S23/R22)^2+((S22*R23)/(R22^2))^2)^0.5</f>
        <v>36.153485435624233</v>
      </c>
      <c r="T25" s="18"/>
      <c r="U25" s="18"/>
      <c r="V2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topLeftCell="B1" workbookViewId="0">
      <selection activeCell="AH5" sqref="AH5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6" max="16" width="10" customWidth="1"/>
    <col min="17" max="17" width="11.42578125" customWidth="1"/>
    <col min="25" max="25" width="12.42578125" customWidth="1"/>
    <col min="28" max="28" width="8" customWidth="1"/>
    <col min="29" max="29" width="8.7109375" customWidth="1"/>
    <col min="30" max="30" width="8.42578125" customWidth="1"/>
    <col min="33" max="33" width="8" customWidth="1"/>
  </cols>
  <sheetData>
    <row r="1" spans="1:41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41" x14ac:dyDescent="0.25">
      <c r="A2" t="s">
        <v>34</v>
      </c>
      <c r="B2">
        <v>0.01</v>
      </c>
      <c r="C2">
        <v>0.01</v>
      </c>
      <c r="E2" s="66" t="s">
        <v>0</v>
      </c>
      <c r="F2" s="66"/>
      <c r="G2" s="66"/>
      <c r="H2" s="66"/>
      <c r="I2" s="66"/>
      <c r="J2" s="66"/>
      <c r="M2" t="s">
        <v>36</v>
      </c>
      <c r="O2">
        <f>'Exp2'!P2</f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41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  <c r="AB3" s="43"/>
      <c r="AC3" s="43"/>
      <c r="AD3" s="43"/>
      <c r="AE3" s="61" t="s">
        <v>159</v>
      </c>
      <c r="AF3" s="61" t="s">
        <v>4</v>
      </c>
      <c r="AH3" s="4" t="s">
        <v>160</v>
      </c>
      <c r="AI3" s="4" t="s">
        <v>4</v>
      </c>
      <c r="AK3" t="s">
        <v>163</v>
      </c>
      <c r="AL3" s="4" t="s">
        <v>4</v>
      </c>
      <c r="AN3" t="s">
        <v>166</v>
      </c>
    </row>
    <row r="4" spans="1:41" x14ac:dyDescent="0.25">
      <c r="B4">
        <v>1.1279300000000001</v>
      </c>
      <c r="D4" t="s">
        <v>2</v>
      </c>
      <c r="E4">
        <v>26.121670000000002</v>
      </c>
      <c r="F4">
        <v>0.247946</v>
      </c>
      <c r="G4" s="3">
        <v>9.4919658658883591E-3</v>
      </c>
      <c r="H4">
        <v>5841.8343368775195</v>
      </c>
      <c r="I4">
        <v>196.40937339816091</v>
      </c>
      <c r="J4" s="3">
        <v>3.3621181648081859E-2</v>
      </c>
      <c r="K4" s="23" t="s">
        <v>55</v>
      </c>
      <c r="L4" s="9">
        <f>1-E8/E5</f>
        <v>-0.14184812839301619</v>
      </c>
      <c r="M4" s="8">
        <f>((F8/E5)^2+((F5*E8)/(E5^2))^2)^0.5</f>
        <v>3.8945823981220262E-2</v>
      </c>
      <c r="N4" s="42"/>
      <c r="O4" s="50">
        <f>1-P4*$O$2</f>
        <v>0.88055765443354272</v>
      </c>
      <c r="P4" s="25">
        <v>0.19907057594409555</v>
      </c>
      <c r="Q4">
        <v>1</v>
      </c>
      <c r="R4">
        <f>$Q4*E4</f>
        <v>26.121670000000002</v>
      </c>
      <c r="S4">
        <f>(($Q4*$Q$2*E4)^2+(F4*$Q4)^2)^0.5</f>
        <v>1.3294101428408955</v>
      </c>
      <c r="T4" s="3">
        <f>S4/R4</f>
        <v>5.0892999675782424E-2</v>
      </c>
      <c r="U4">
        <f>$Q4*H4</f>
        <v>5841.8343368775195</v>
      </c>
      <c r="V4">
        <f>(($Q4*$Q$2*H4)^2+(I4*$Q4)^2)^0.5</f>
        <v>351.98609774742698</v>
      </c>
      <c r="W4" s="3">
        <f>V4/U4</f>
        <v>6.0252666790884174E-2</v>
      </c>
      <c r="X4" s="23" t="s">
        <v>55</v>
      </c>
      <c r="Y4" s="9">
        <f>1-R8/R5</f>
        <v>-0.14184812839301619</v>
      </c>
      <c r="Z4" s="8">
        <f>((S8/R5)^2+((S5*R8)/(R5^2))^2)^0.5</f>
        <v>8.9642974890112637E-2</v>
      </c>
      <c r="AA4" s="42"/>
      <c r="AC4" s="43"/>
      <c r="AE4" s="64">
        <f>Y12/Y11</f>
        <v>50.173907991522285</v>
      </c>
      <c r="AF4" s="61">
        <f>((Z12/Y11)^2+((Y12*Z11)/(Y11^2))^2)^0.5</f>
        <v>8.1695422387598935</v>
      </c>
      <c r="AH4">
        <v>0.98950499999999997</v>
      </c>
      <c r="AI4">
        <v>0</v>
      </c>
      <c r="AK4">
        <f>1/S16</f>
        <v>1.4</v>
      </c>
      <c r="AL4">
        <f>T16/S16^2</f>
        <v>1.979898987322333E-2</v>
      </c>
      <c r="AN4">
        <f>AK10*AK4</f>
        <v>78.778145482390059</v>
      </c>
      <c r="AO4">
        <f>((AL10*AK4)^2+(AL4*AK10)^2)^0.5</f>
        <v>10.874922017092105</v>
      </c>
    </row>
    <row r="5" spans="1:41" x14ac:dyDescent="0.25">
      <c r="B5">
        <v>1.1279300000000001</v>
      </c>
      <c r="C5">
        <v>0.5</v>
      </c>
      <c r="D5" t="s">
        <v>23</v>
      </c>
      <c r="E5" s="1">
        <f>E4*$C5*$B5</f>
        <v>14.731707621550003</v>
      </c>
      <c r="F5" s="10">
        <f>((F4*$C5*$B5)^2+($C5*$B$2*E4)^2+($C$2*$B5*E4)^2)^0.5</f>
        <v>0.35131332916851732</v>
      </c>
      <c r="G5" s="3">
        <f>F5/E5</f>
        <v>2.3847427480477905E-2</v>
      </c>
      <c r="H5" s="1">
        <f>H4*$C5*$B5</f>
        <v>3294.5901017971305</v>
      </c>
      <c r="I5" s="10">
        <f>((I4*$C5*$B5)^2+($C5*$B$2*H4)^2+($C$2*$B5*H4)^2)^0.5</f>
        <v>132.15316049170025</v>
      </c>
      <c r="J5" s="3">
        <f>I5/H5</f>
        <v>4.0112170682359984E-2</v>
      </c>
      <c r="K5" s="23" t="s">
        <v>56</v>
      </c>
      <c r="L5" s="9">
        <f>1-H8/H5</f>
        <v>0.94183588825414466</v>
      </c>
      <c r="M5" s="3">
        <f>((I8/H5)^2+((I5*H8)/(H5^2))^2)^0.5</f>
        <v>3.2507339254049831E-3</v>
      </c>
      <c r="N5" s="3"/>
      <c r="O5" s="50">
        <f t="shared" ref="O5:O11" si="0">1-P5*$O$2</f>
        <v>0.88055765443354272</v>
      </c>
      <c r="P5" s="25">
        <v>0.19907057594409555</v>
      </c>
      <c r="Q5">
        <v>1</v>
      </c>
      <c r="R5">
        <f>R4*$C5*$B5</f>
        <v>14.731707621550003</v>
      </c>
      <c r="S5">
        <f>((S4*$C5*$B5)^2+($C5*$B$2*R4)^2+($C$2*$B5*R4)^2)^0.5</f>
        <v>0.8160754124886701</v>
      </c>
      <c r="T5" s="3">
        <f>S5/R5</f>
        <v>5.5395846391554059E-2</v>
      </c>
      <c r="U5">
        <f>U4*$C5*$B5</f>
        <v>3294.5901017971305</v>
      </c>
      <c r="V5">
        <f>((V4*$C5*$B5)^2+($C5*$B$2*U4)^2+($C$2*$B5*U4)^2)^0.5</f>
        <v>211.18775455763088</v>
      </c>
      <c r="W5" s="3">
        <f>V5/U5</f>
        <v>6.4101374687683413E-2</v>
      </c>
      <c r="X5" s="23" t="s">
        <v>56</v>
      </c>
      <c r="Y5" s="9">
        <f>1-U8/U5</f>
        <v>0.94183588825414466</v>
      </c>
      <c r="Z5" s="3">
        <f>((V8/U5)^2+((V5*U8)/(U5^2))^2)^0.5</f>
        <v>5.242384050191346E-3</v>
      </c>
      <c r="AA5" s="3"/>
    </row>
    <row r="6" spans="1:41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  <c r="AA6" s="53" t="s">
        <v>77</v>
      </c>
      <c r="AB6" s="54"/>
      <c r="AH6" t="s">
        <v>161</v>
      </c>
      <c r="AI6" s="4" t="s">
        <v>4</v>
      </c>
      <c r="AK6" t="s">
        <v>164</v>
      </c>
      <c r="AN6" t="s">
        <v>167</v>
      </c>
    </row>
    <row r="7" spans="1:41" x14ac:dyDescent="0.25">
      <c r="B7">
        <v>1.1279300000000001</v>
      </c>
      <c r="D7" t="s">
        <v>13</v>
      </c>
      <c r="E7">
        <v>29.826979999999999</v>
      </c>
      <c r="F7">
        <v>0.321293</v>
      </c>
      <c r="G7" s="3">
        <v>1.0771891757060219E-2</v>
      </c>
      <c r="H7">
        <v>339.78510517091871</v>
      </c>
      <c r="I7">
        <v>10.936602536899349</v>
      </c>
      <c r="J7" s="3">
        <v>3.2186821524734045E-2</v>
      </c>
      <c r="K7" s="22" t="s">
        <v>54</v>
      </c>
      <c r="L7" s="3">
        <f>L4*F19</f>
        <v>-0.10132009170929729</v>
      </c>
      <c r="M7" s="3">
        <f>((M4*F19)^2+(L4*G19)^2)^0.5</f>
        <v>2.7855323968841907E-2</v>
      </c>
      <c r="O7" s="50">
        <f t="shared" si="0"/>
        <v>0.71350149465303347</v>
      </c>
      <c r="P7" s="25">
        <v>0.47749750891161086</v>
      </c>
      <c r="Q7">
        <v>1</v>
      </c>
      <c r="R7">
        <f>$Q7*E7</f>
        <v>29.826979999999999</v>
      </c>
      <c r="S7">
        <f>(($Q7*$Q$2*E7)^2+(F7*$Q7)^2)^0.5</f>
        <v>1.525565807053239</v>
      </c>
      <c r="T7" s="3">
        <f>S7/R7</f>
        <v>5.1147176383704925E-2</v>
      </c>
      <c r="U7">
        <f>$Q7*H7</f>
        <v>339.78510517091871</v>
      </c>
      <c r="V7">
        <f>(($Q7*$Q$2*H7)^2+(I7*$Q7)^2)^0.5</f>
        <v>20.205050588655897</v>
      </c>
      <c r="W7" s="3">
        <f>V7/U7</f>
        <v>5.9464203348443871E-2</v>
      </c>
      <c r="X7" s="22" t="s">
        <v>54</v>
      </c>
      <c r="Y7" s="3">
        <f>Y4*S19</f>
        <v>-0.10132009170929729</v>
      </c>
      <c r="Z7" s="3">
        <f>((Z4*S19)^2+(Y4*T19)^2)^0.5</f>
        <v>6.4046726905229154E-2</v>
      </c>
      <c r="AA7" s="54" t="s">
        <v>15</v>
      </c>
      <c r="AB7" s="54">
        <f>1/(1+1/V17)</f>
        <v>-9.7373725778899675E-2</v>
      </c>
      <c r="AC7">
        <f>W14/((V14+1)^2)</f>
        <v>8.9642974890112637E-2</v>
      </c>
      <c r="AH7">
        <f>S19</f>
        <v>0.7142857142857143</v>
      </c>
      <c r="AI7">
        <f>T19</f>
        <v>1.0101525445522107E-2</v>
      </c>
      <c r="AK7">
        <f>AH4*AH7</f>
        <v>0.70678928571428568</v>
      </c>
      <c r="AL7">
        <f>((AI7*AH4)^2+(AH7*AI4)^2)^0.5</f>
        <v>9.9955099359713522E-3</v>
      </c>
      <c r="AN7">
        <f>1/AN4</f>
        <v>1.2693875869717425E-2</v>
      </c>
      <c r="AO7">
        <f>AO4/AN4^2</f>
        <v>1.7523249542435925E-3</v>
      </c>
    </row>
    <row r="8" spans="1:41" x14ac:dyDescent="0.25">
      <c r="B8">
        <v>1.1279300000000001</v>
      </c>
      <c r="C8">
        <v>0.5</v>
      </c>
      <c r="D8" t="s">
        <v>40</v>
      </c>
      <c r="E8" s="10">
        <f>E7*$C8*$B8</f>
        <v>16.821372775700002</v>
      </c>
      <c r="F8">
        <f>((F7*$C8*$B8)^2+($C8*$B$2*E7)^2+($C$2*$B8*E7)^2)^0.5</f>
        <v>0.41019186836161869</v>
      </c>
      <c r="G8" s="3">
        <f>F8/E8</f>
        <v>2.4385160107394922E-2</v>
      </c>
      <c r="H8" s="10">
        <f>H7*$C8*$B8</f>
        <v>191.6269068377172</v>
      </c>
      <c r="I8">
        <f>((I7*$C8*$B8)^2+($C8*$B$2*H7)^2+($C$2*$B8*H7)^2)^0.5</f>
        <v>7.4576944453872596</v>
      </c>
      <c r="J8" s="3">
        <f>I8/H8</f>
        <v>3.8917783355460339E-2</v>
      </c>
      <c r="K8" s="22" t="s">
        <v>16</v>
      </c>
      <c r="L8" s="3">
        <f>L5*F19</f>
        <v>0.67273992018153195</v>
      </c>
      <c r="M8" s="3">
        <f>((M5*F19)^2+(L5*G19)^2)^0.5</f>
        <v>9.7932254576583375E-3</v>
      </c>
      <c r="O8" s="50">
        <f t="shared" si="0"/>
        <v>0.71350149465303347</v>
      </c>
      <c r="P8" s="25">
        <v>0.47749750891161086</v>
      </c>
      <c r="Q8">
        <v>1</v>
      </c>
      <c r="R8">
        <f>R7*$C8*$B8</f>
        <v>16.821372775700002</v>
      </c>
      <c r="S8">
        <f>((S7*$C8*$B8)^2+($C8*$B$2*R7)^2+($C$2*$B8*R7)^2)^0.5</f>
        <v>0.93576376506982173</v>
      </c>
      <c r="T8" s="3">
        <f>S8/R8</f>
        <v>5.5629452931547731E-2</v>
      </c>
      <c r="U8">
        <f>U7*$C8*$B8</f>
        <v>191.6269068377172</v>
      </c>
      <c r="V8">
        <f>((V7*$C8*$B8)^2+($C8*$B$2*U7)^2+($C$2*$B8*U7)^2)^0.5</f>
        <v>12.141638480915081</v>
      </c>
      <c r="W8" s="3">
        <f>V8/U8</f>
        <v>6.3360822763775304E-2</v>
      </c>
      <c r="X8" s="22" t="s">
        <v>16</v>
      </c>
      <c r="Y8" s="3">
        <f>Y5*S19</f>
        <v>0.67273992018153195</v>
      </c>
      <c r="Z8" s="3">
        <f>((Z5*S19)^2+(Y5*T19)^2)^0.5</f>
        <v>1.0224359632918971E-2</v>
      </c>
      <c r="AA8" s="54" t="s">
        <v>16</v>
      </c>
      <c r="AB8" s="54">
        <f>1/(1+1/V18)</f>
        <v>0.92042168437287564</v>
      </c>
      <c r="AC8">
        <f>W18/((1+V18)^2)</f>
        <v>7.0855133798780508E-3</v>
      </c>
    </row>
    <row r="9" spans="1:41" x14ac:dyDescent="0.25">
      <c r="K9" s="22"/>
      <c r="M9" s="42"/>
      <c r="O9" s="50"/>
      <c r="P9" s="25"/>
      <c r="T9" s="3"/>
      <c r="W9" s="3"/>
      <c r="X9" s="22"/>
      <c r="Z9" s="42"/>
      <c r="AH9" t="s">
        <v>162</v>
      </c>
      <c r="AI9" s="4" t="s">
        <v>4</v>
      </c>
      <c r="AK9" t="s">
        <v>165</v>
      </c>
    </row>
    <row r="10" spans="1:41" x14ac:dyDescent="0.25">
      <c r="A10">
        <v>0.88120500000000002</v>
      </c>
      <c r="B10">
        <v>1.02518</v>
      </c>
      <c r="D10" t="s">
        <v>12</v>
      </c>
      <c r="E10">
        <v>0.798844</v>
      </c>
      <c r="F10">
        <v>8.6555000000000007E-2</v>
      </c>
      <c r="G10" s="3">
        <v>0.10835031620691901</v>
      </c>
      <c r="H10">
        <v>8963.7184132146685</v>
      </c>
      <c r="I10">
        <v>359.00219537490801</v>
      </c>
      <c r="J10" s="3">
        <v>4.0050588252042003E-2</v>
      </c>
      <c r="K10" s="23"/>
      <c r="L10" t="s">
        <v>51</v>
      </c>
      <c r="O10" s="50">
        <f t="shared" si="0"/>
        <v>0.54175905015921222</v>
      </c>
      <c r="P10" s="25">
        <v>0.76373491640131297</v>
      </c>
      <c r="Q10" s="52">
        <v>0.37</v>
      </c>
      <c r="R10">
        <f>E10*Q10</f>
        <v>0.29557228000000002</v>
      </c>
      <c r="S10">
        <f>(($Q10*$Q$2*E10)^2+(F10*$Q10)^2)^0.5</f>
        <v>3.5270816185388965E-2</v>
      </c>
      <c r="T10" s="3">
        <f>S10/R10</f>
        <v>0.11933059549897224</v>
      </c>
      <c r="U10">
        <f>$Q10*H10</f>
        <v>3316.5758128894272</v>
      </c>
      <c r="V10">
        <f>(($Q10*$Q$2*H10)^2+(I10*$Q10)^2)^0.5</f>
        <v>212.46932131460301</v>
      </c>
      <c r="W10" s="3">
        <f>V10/U10</f>
        <v>6.4062856784057057E-2</v>
      </c>
      <c r="X10" s="23"/>
      <c r="Y10" t="s">
        <v>51</v>
      </c>
      <c r="AB10" s="54" t="s">
        <v>78</v>
      </c>
      <c r="AC10" s="54"/>
      <c r="AH10" s="3">
        <f>Y14</f>
        <v>1.2341330596344735E-2</v>
      </c>
      <c r="AI10" s="3">
        <f>Z14</f>
        <v>1.6559306029527252E-3</v>
      </c>
      <c r="AK10">
        <f>AK7/AH10-1</f>
        <v>56.270103915992905</v>
      </c>
      <c r="AL10">
        <f>((AL7/AH10)^2+((AK7*AI10)/(AH10^2))^2)^0.5</f>
        <v>7.7269317522831589</v>
      </c>
    </row>
    <row r="11" spans="1:41" ht="15.75" thickBot="1" x14ac:dyDescent="0.3">
      <c r="A11" s="18"/>
      <c r="B11" s="18">
        <v>1.02518</v>
      </c>
      <c r="C11" s="18">
        <v>0.5</v>
      </c>
      <c r="D11" s="18" t="s">
        <v>41</v>
      </c>
      <c r="E11" s="19">
        <f>E10*$C11*$B11</f>
        <v>0.40947944595999997</v>
      </c>
      <c r="F11" s="18">
        <f>((F10*$C11*$B11)^2+($C11*$B$2*E10)^2+($C$2*$B11*E10)^2)^0.5</f>
        <v>4.5293200722337099E-2</v>
      </c>
      <c r="G11" s="20">
        <f>F11/E11</f>
        <v>0.11061165870279499</v>
      </c>
      <c r="H11" s="19">
        <f>H10*$C11*$B11</f>
        <v>4594.7124214297064</v>
      </c>
      <c r="I11" s="18">
        <f>((I10*$C11*$B11)^2+($C11*$B$2*H10)^2+($C$2*$B11*H10)^2)^0.5</f>
        <v>210.51594649277203</v>
      </c>
      <c r="J11" s="20">
        <f>I11/H11</f>
        <v>4.581700162798593E-2</v>
      </c>
      <c r="K11" s="23" t="s">
        <v>19</v>
      </c>
      <c r="L11" s="2">
        <f>E11/E5</f>
        <v>2.7795789631407063E-2</v>
      </c>
      <c r="M11" s="3">
        <f>((F11/E5)^2+((F5*E11)/(E5^2))^2)^0.5</f>
        <v>3.145181581387295E-3</v>
      </c>
      <c r="N11" s="25"/>
      <c r="O11" s="51">
        <f t="shared" si="0"/>
        <v>0.54175905015921222</v>
      </c>
      <c r="P11" s="18">
        <v>0.76373491640131297</v>
      </c>
      <c r="Q11" s="52">
        <f>Q10</f>
        <v>0.37</v>
      </c>
      <c r="R11" s="18">
        <f>R10*$C11*$B11</f>
        <v>0.1515073950052</v>
      </c>
      <c r="S11" s="18">
        <f>((S10*$C11*$B11)^2+($C11*$B$2*R10)^2+($C$2*$B11*R10)^2)^0.5</f>
        <v>1.839111257616878E-2</v>
      </c>
      <c r="T11" s="20">
        <f>S11/R11</f>
        <v>0.12138755719176325</v>
      </c>
      <c r="U11" s="18">
        <f>U10*$C11*$B11</f>
        <v>1700.0435959289914</v>
      </c>
      <c r="V11" s="18">
        <f>((V10*$C11*$B11)^2+($C11*$B$2*U10)^2+($C$2*$B11*U10)^2)^0.5</f>
        <v>115.29251018377819</v>
      </c>
      <c r="W11" s="20">
        <f>V11/U11</f>
        <v>6.7817384483470508E-2</v>
      </c>
      <c r="X11" s="23" t="s">
        <v>19</v>
      </c>
      <c r="Y11" s="2">
        <f>R11/R5</f>
        <v>1.0284442163620613E-2</v>
      </c>
      <c r="Z11" s="3">
        <f>((S11/R5)^2+((S5*R11)/(R5^2))^2)^0.5</f>
        <v>1.3722559673808334E-3</v>
      </c>
      <c r="AA11" s="27"/>
      <c r="AB11" s="54" t="s">
        <v>19</v>
      </c>
      <c r="AC11" s="54">
        <f>(1/(1+Y25))*AB7</f>
        <v>9.6872093734364853E-3</v>
      </c>
      <c r="AD11" t="e">
        <f>((AB25*AB7)^2+(AC7*AA25)^2)^0.5</f>
        <v>#VALUE!</v>
      </c>
      <c r="AN11" t="s">
        <v>168</v>
      </c>
    </row>
    <row r="12" spans="1:41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1.3946233915179269</v>
      </c>
      <c r="M12" s="3">
        <f>((I11/H5)^2+((I5*H11)/(H5^2))^2)^0.5</f>
        <v>8.492539504108737E-2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0.516010654861633</v>
      </c>
      <c r="Z12" s="3">
        <f>((V11/U5)^2+((V5*U11)/(U5^2))^2)^0.5</f>
        <v>4.8152901889881763E-2</v>
      </c>
      <c r="AB12" s="54" t="s">
        <v>20</v>
      </c>
      <c r="AC12" s="54">
        <f>(1/(1+Y26))*AB8</f>
        <v>0.83391726607211103</v>
      </c>
      <c r="AD12">
        <f>((AB26*AB8)^2+(AC8*AA26)^2)^0.5</f>
        <v>0</v>
      </c>
      <c r="AN12">
        <f>AN7</f>
        <v>1.2693875869717425E-2</v>
      </c>
      <c r="AO12">
        <f>AO7</f>
        <v>1.7523249542435925E-3</v>
      </c>
    </row>
    <row r="13" spans="1:41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  <c r="AN13" t="s">
        <v>169</v>
      </c>
    </row>
    <row r="14" spans="1:41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-0.12422679064390696</v>
      </c>
      <c r="J14" s="6">
        <f>((F5/E8)^2+((F8*E5)/(E8^2))^2)^0.5</f>
        <v>2.9870618001583422E-2</v>
      </c>
      <c r="K14" s="22" t="s">
        <v>65</v>
      </c>
      <c r="L14" s="3">
        <f>L11/F23</f>
        <v>3.3354947557688475E-2</v>
      </c>
      <c r="M14" s="3">
        <f>((M11/F23)^2+((L11*G23)/(F23^2))^2)^0.5</f>
        <v>3.8035813708093831E-3</v>
      </c>
      <c r="O14" s="22"/>
      <c r="P14" s="35">
        <v>0.99250000000000005</v>
      </c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-0.12422679064390696</v>
      </c>
      <c r="W14" s="6">
        <f>((S5/R8)^2+((S8*R5)/(R8^2))^2)^0.5</f>
        <v>6.8754253620600642E-2</v>
      </c>
      <c r="X14" s="22" t="s">
        <v>65</v>
      </c>
      <c r="Y14" s="3">
        <f>Y11/S23</f>
        <v>1.2341330596344735E-2</v>
      </c>
      <c r="Z14" s="3">
        <f>((Z11/S23)^2+((Y11*T23)/(S23^2))^2)^0.5</f>
        <v>1.6559306029527252E-3</v>
      </c>
      <c r="AD14" s="10"/>
      <c r="AE14" s="10"/>
      <c r="AF14" s="10"/>
      <c r="AG14" s="10"/>
      <c r="AH14" s="10"/>
      <c r="AI14" s="10"/>
      <c r="AJ14" s="10"/>
      <c r="AN14">
        <f>S23</f>
        <v>0.83333333333333337</v>
      </c>
      <c r="AO14">
        <f>T23</f>
        <v>1.1785113019775792E-2</v>
      </c>
    </row>
    <row r="15" spans="1:41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16.192732253342768</v>
      </c>
      <c r="J15">
        <f>((I5/H8)^2+((I8*H5)/(H8^2))^2)^0.5</f>
        <v>0.96088457863071131</v>
      </c>
      <c r="K15" s="22" t="s">
        <v>66</v>
      </c>
      <c r="L15" s="3">
        <f>L12/F23</f>
        <v>1.6735480698215122</v>
      </c>
      <c r="M15" s="3">
        <f>((M12/F23)^2+((L12*G23)/(F23^2))^2)^0.5</f>
        <v>0.10462264262268803</v>
      </c>
      <c r="O15" s="22"/>
      <c r="P15" s="8">
        <f>L8/L15</f>
        <v>0.40198422280949553</v>
      </c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16.192732253342768</v>
      </c>
      <c r="W15">
        <f>((V5/U8)^2+((V8*U5)/(U8^2))^2)^0.5</f>
        <v>1.5495965233330846</v>
      </c>
      <c r="X15" s="22" t="s">
        <v>66</v>
      </c>
      <c r="Y15" s="3">
        <f>Y12/S23</f>
        <v>0.61921278583395956</v>
      </c>
      <c r="Z15" s="3">
        <f>((Z12/S23)^2+((Y12*T23)/(S23^2))^2)^0.5</f>
        <v>5.8443269226044529E-2</v>
      </c>
      <c r="AD15" s="10"/>
      <c r="AE15" s="10" t="s">
        <v>115</v>
      </c>
      <c r="AF15" s="10"/>
      <c r="AG15" s="10"/>
      <c r="AH15" s="10"/>
      <c r="AI15" s="10"/>
      <c r="AJ15" s="10"/>
    </row>
    <row r="16" spans="1:41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 t="str">
        <f>X25</f>
        <v>DR U BExt</v>
      </c>
      <c r="P16" s="22">
        <f>Y25</f>
        <v>-11.05178292583521</v>
      </c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  <c r="AD16" s="10"/>
      <c r="AE16" s="10"/>
      <c r="AF16" s="57" t="s">
        <v>4</v>
      </c>
      <c r="AG16" s="10" t="s">
        <v>116</v>
      </c>
      <c r="AH16" s="10"/>
      <c r="AI16" s="10" t="s">
        <v>117</v>
      </c>
      <c r="AJ16" s="10"/>
      <c r="AN16" t="s">
        <v>170</v>
      </c>
    </row>
    <row r="17" spans="4:41" x14ac:dyDescent="0.25">
      <c r="D17" s="6"/>
      <c r="E17" s="36"/>
      <c r="F17" s="37"/>
      <c r="G17" s="38"/>
      <c r="H17" t="s">
        <v>59</v>
      </c>
      <c r="I17">
        <f>I14*F16</f>
        <v>-8.8733421888504971E-2</v>
      </c>
      <c r="J17">
        <f>((J14*F16)^2+(I14*G16)^2)^0.5</f>
        <v>2.1373026569592776E-2</v>
      </c>
      <c r="K17" s="22" t="s">
        <v>70</v>
      </c>
      <c r="O17" s="22" t="str">
        <f>X26</f>
        <v>DrR Pu BExt</v>
      </c>
      <c r="P17" s="22">
        <f>Y26</f>
        <v>0.10373261451728277</v>
      </c>
      <c r="Q17" s="6"/>
      <c r="R17" s="36"/>
      <c r="S17" s="37"/>
      <c r="T17" s="38"/>
      <c r="U17" t="s">
        <v>42</v>
      </c>
      <c r="V17">
        <f>V14*S16</f>
        <v>-8.8733421888504971E-2</v>
      </c>
      <c r="W17">
        <f>((W14*S16)^2+(V14*T16)^2)^0.5</f>
        <v>4.9126211103254623E-2</v>
      </c>
      <c r="X17" s="22" t="s">
        <v>70</v>
      </c>
      <c r="AD17" s="10"/>
      <c r="AE17" s="10">
        <f>(AC28/Y12)*Q10</f>
        <v>0.59795158402187998</v>
      </c>
      <c r="AF17" s="10">
        <f>AE17*0.1</f>
        <v>5.9795158402187999E-2</v>
      </c>
      <c r="AG17" s="10"/>
      <c r="AH17" s="10"/>
      <c r="AI17" s="10" t="s">
        <v>118</v>
      </c>
      <c r="AJ17" s="10"/>
      <c r="AN17">
        <f>AN14*AN12</f>
        <v>1.0578229891431187E-2</v>
      </c>
      <c r="AO17">
        <f>((AO14*AN12)^2+(AO12*AN14)^2)^0.5</f>
        <v>1.467913684400407E-3</v>
      </c>
    </row>
    <row r="18" spans="4:41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11.566237323816264</v>
      </c>
      <c r="J18">
        <f>((J15*F16)^2+(I15*G16)^2)^0.5</f>
        <v>0.70556826461269928</v>
      </c>
      <c r="K18" s="45" t="s">
        <v>71</v>
      </c>
      <c r="L18" s="3">
        <f>L14/L7</f>
        <v>-0.3292036850241794</v>
      </c>
      <c r="M18">
        <f>((M14/L7)^2+((L14*M7)/(L7^2))^2)^0.5</f>
        <v>9.7982675044746656E-2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11.566237323816264</v>
      </c>
      <c r="W18">
        <f>((W15*S16)^2+(V15*T16)^2)^0.5</f>
        <v>1.1188756885710509</v>
      </c>
      <c r="X18" s="45" t="s">
        <v>71</v>
      </c>
      <c r="Y18" s="3">
        <f>Y14/Y7</f>
        <v>-0.12180536345894637</v>
      </c>
      <c r="Z18">
        <f>((Z14/Y7)^2+((Y14*Z7)/(Y7^2))^2)^0.5</f>
        <v>7.8711405184134969E-2</v>
      </c>
      <c r="AA18" s="3"/>
      <c r="AD18" s="10"/>
      <c r="AE18" s="10"/>
      <c r="AF18" s="10"/>
      <c r="AG18" s="10"/>
      <c r="AH18" s="10"/>
      <c r="AI18" s="10"/>
      <c r="AJ18" s="10"/>
      <c r="AN18" t="s">
        <v>160</v>
      </c>
    </row>
    <row r="19" spans="4:41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2.4876598215992929</v>
      </c>
      <c r="M19">
        <f>((M15/L8)^2+((L15*M8)/(L8^2))^2)^0.5</f>
        <v>0.15967785612658419</v>
      </c>
      <c r="O19" s="22"/>
      <c r="P19" s="35"/>
      <c r="Q19" s="6"/>
      <c r="R19" s="65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8">
        <f>Y15/Y8</f>
        <v>0.92043413399173835</v>
      </c>
      <c r="Z19">
        <f>((Z15/Y8)^2+((Y15*Z8)/(Y8^2))^2)^0.5</f>
        <v>8.7992567916207617E-2</v>
      </c>
      <c r="AC19" t="s">
        <v>112</v>
      </c>
      <c r="AN19">
        <f>1/(1+AN17)</f>
        <v>0.98953249775371899</v>
      </c>
      <c r="AO19">
        <f>AO17/((AN17+1)^2)</f>
        <v>1.4373437420749208E-3</v>
      </c>
    </row>
    <row r="20" spans="4:41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  <c r="AB20" t="s">
        <v>79</v>
      </c>
      <c r="AC20">
        <f>1/(1+T32)</f>
        <v>1.2534761167401872E-2</v>
      </c>
      <c r="AD20">
        <f>U32/((1+T32)^2)</f>
        <v>1.7176133141406293E-3</v>
      </c>
    </row>
    <row r="21" spans="4:41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  <c r="AB21" t="s">
        <v>80</v>
      </c>
      <c r="AC21">
        <f>1/(1+T33)</f>
        <v>0.92042168437287564</v>
      </c>
      <c r="AD21">
        <f>U33/((1+T33)^2)</f>
        <v>7.1608298160510623E-3</v>
      </c>
    </row>
    <row r="22" spans="4:41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-3.0376330687991899</v>
      </c>
      <c r="M22">
        <f>M18/(L18^2)</f>
        <v>0.90410717566380461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-8.2098191048626763</v>
      </c>
      <c r="Z22">
        <f>Z18/(Y18^2)</f>
        <v>5.3052376324060448</v>
      </c>
    </row>
    <row r="23" spans="4:41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0.40198422280949553</v>
      </c>
      <c r="M23">
        <f>M19/(L19^2)</f>
        <v>2.5802554809791291E-2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1.086443845431069</v>
      </c>
      <c r="Z23">
        <f>Z19/(Y19^2)</f>
        <v>0.1038629276400751</v>
      </c>
      <c r="AC23" t="s">
        <v>113</v>
      </c>
    </row>
    <row r="24" spans="4:41" x14ac:dyDescent="0.25">
      <c r="D24" s="6"/>
      <c r="H24" s="6"/>
      <c r="I24" s="6"/>
      <c r="J24" s="6"/>
      <c r="K24" s="22"/>
      <c r="O24" s="22"/>
      <c r="P24" s="25"/>
      <c r="X24" s="22"/>
      <c r="AB24" t="s">
        <v>79</v>
      </c>
      <c r="AC24">
        <f>1/(1+T41)</f>
        <v>0.98746523883259807</v>
      </c>
      <c r="AD24">
        <f>U41/((1+T41)^2)</f>
        <v>1.7176133141406289E-3</v>
      </c>
    </row>
    <row r="25" spans="4:41" ht="15.75" thickBot="1" x14ac:dyDescent="0.3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-4.8451596825590277</v>
      </c>
      <c r="M25">
        <f>((L22*G25)^2+(M22*F25)^2)^0.5</f>
        <v>1.0861526266355186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-11.05178292583521</v>
      </c>
      <c r="Z25">
        <f>((Y22*T25)^2+(Z22*S25)^2)^0.5</f>
        <v>6.367809533083701</v>
      </c>
      <c r="AB25" t="s">
        <v>80</v>
      </c>
      <c r="AC25">
        <f>1/(1+T42)</f>
        <v>0.90601653593189302</v>
      </c>
      <c r="AD25">
        <f>U42/((1+T42)^2)</f>
        <v>0.10342945986193623</v>
      </c>
    </row>
    <row r="26" spans="4:41" ht="15.75" thickBot="1" x14ac:dyDescent="0.3">
      <c r="K26" s="22" t="s">
        <v>74</v>
      </c>
      <c r="L26">
        <f>(L23-1)*F25</f>
        <v>-0.71761893262860532</v>
      </c>
      <c r="M26">
        <f>((L23*G25)^2+(M23*F25)^2)^0.5</f>
        <v>3.1705673637652955E-2</v>
      </c>
      <c r="O26" s="22"/>
      <c r="R26" s="67" t="s">
        <v>98</v>
      </c>
      <c r="S26" s="68"/>
      <c r="T26" s="68"/>
      <c r="U26" s="68"/>
      <c r="V26" s="37"/>
      <c r="W26" s="30" t="s">
        <v>4</v>
      </c>
      <c r="X26" s="22" t="s">
        <v>74</v>
      </c>
      <c r="Y26">
        <f>(Y23-1)*S25</f>
        <v>0.10373261451728277</v>
      </c>
      <c r="Z26">
        <f>((Y23*T25)^2+(Z23*S25)^2)^0.5</f>
        <v>0.1259918842176129</v>
      </c>
      <c r="AC26" t="s">
        <v>114</v>
      </c>
    </row>
    <row r="27" spans="4:41" x14ac:dyDescent="0.25">
      <c r="R27" s="31" t="s">
        <v>99</v>
      </c>
      <c r="S27" s="25"/>
      <c r="T27" s="30" t="s">
        <v>4</v>
      </c>
      <c r="U27" s="25" t="s">
        <v>100</v>
      </c>
      <c r="V27" s="25">
        <f>1/AN7</f>
        <v>78.778145482390059</v>
      </c>
      <c r="W27" s="27">
        <f>AO7/(AN7^2)</f>
        <v>10.874922017092107</v>
      </c>
      <c r="Z27" s="4"/>
      <c r="AB27" s="61" t="s">
        <v>79</v>
      </c>
      <c r="AC27" s="61">
        <f>AC24*AC20</f>
        <v>1.2377640929878066E-2</v>
      </c>
      <c r="AD27" s="61">
        <f>((AD20*AC24)^2+(AD24*AC20)^2)^0.5</f>
        <v>1.6962200847312494E-3</v>
      </c>
    </row>
    <row r="28" spans="4:41" x14ac:dyDescent="0.25">
      <c r="R28" s="22" t="s">
        <v>101</v>
      </c>
      <c r="S28" s="25">
        <v>0.5</v>
      </c>
      <c r="T28" s="25">
        <f>S28*$C$2</f>
        <v>5.0000000000000001E-3</v>
      </c>
      <c r="U28" s="25" t="s">
        <v>102</v>
      </c>
      <c r="V28" s="25">
        <f>1/V18</f>
        <v>8.6458540664809E-2</v>
      </c>
      <c r="W28" s="27">
        <f>W18/(V18^2)</f>
        <v>8.3636844473175959E-3</v>
      </c>
      <c r="AB28" s="61" t="s">
        <v>80</v>
      </c>
      <c r="AC28" s="61">
        <f>AC25*AC21</f>
        <v>0.83391726607211103</v>
      </c>
      <c r="AD28" s="61">
        <f>((AD21*AC25)^2+(AD25*AC21)^2)^0.5</f>
        <v>9.5419535657585264E-2</v>
      </c>
    </row>
    <row r="29" spans="4:41" x14ac:dyDescent="0.25">
      <c r="R29" s="31" t="s">
        <v>103</v>
      </c>
      <c r="S29" s="25">
        <v>0.5</v>
      </c>
      <c r="T29" s="25">
        <f>S29*$C$2</f>
        <v>5.0000000000000001E-3</v>
      </c>
      <c r="U29" s="25"/>
      <c r="V29" s="25"/>
      <c r="W29" s="27"/>
    </row>
    <row r="30" spans="4:41" x14ac:dyDescent="0.25">
      <c r="R30" s="22" t="s">
        <v>104</v>
      </c>
      <c r="S30" s="25">
        <f>S29/S28</f>
        <v>1</v>
      </c>
      <c r="T30" s="25">
        <f>((T29/S28)^2+((T28*S29)/(S28^2))^2)^0.5</f>
        <v>1.4142135623730951E-2</v>
      </c>
      <c r="U30" s="25"/>
      <c r="V30" s="25"/>
      <c r="W30" s="27"/>
      <c r="Z30" s="4"/>
    </row>
    <row r="31" spans="4:41" ht="15.75" thickBot="1" x14ac:dyDescent="0.3">
      <c r="R31" s="22"/>
      <c r="S31" s="25"/>
      <c r="T31" s="25"/>
      <c r="U31" s="48" t="s">
        <v>4</v>
      </c>
      <c r="V31" s="25"/>
      <c r="W31" s="27"/>
      <c r="AB31" t="s">
        <v>142</v>
      </c>
      <c r="AC31" t="s">
        <v>143</v>
      </c>
    </row>
    <row r="32" spans="4:41" x14ac:dyDescent="0.25">
      <c r="R32" s="22" t="s">
        <v>105</v>
      </c>
      <c r="S32" s="25"/>
      <c r="T32" s="25">
        <f>S30*V27</f>
        <v>78.778145482390059</v>
      </c>
      <c r="U32" s="25">
        <f>((S$30*W27)^2+(T$30*V27)^2)^0.5</f>
        <v>10.931840106723277</v>
      </c>
      <c r="V32" s="25"/>
      <c r="W32" s="27"/>
      <c r="AD32" s="30" t="s">
        <v>4</v>
      </c>
    </row>
    <row r="33" spans="18:30" ht="15.75" thickBot="1" x14ac:dyDescent="0.3">
      <c r="R33" s="24" t="s">
        <v>106</v>
      </c>
      <c r="S33" s="18"/>
      <c r="T33" s="18">
        <f>S30*V28</f>
        <v>8.6458540664809E-2</v>
      </c>
      <c r="U33" s="18">
        <f>((S$30*W28)^2+(T$30*V28)^2)^0.5</f>
        <v>8.4525873781393073E-3</v>
      </c>
      <c r="V33" s="18"/>
      <c r="W33" s="41"/>
      <c r="AC33">
        <f>AC28/AC27</f>
        <v>67.372875881311103</v>
      </c>
      <c r="AD33">
        <f>((AD28/AC27)^2+((AD27*AC28)/(AC27^2))^2)^0.5</f>
        <v>12.027970502145177</v>
      </c>
    </row>
    <row r="34" spans="18:30" ht="15.75" thickBot="1" x14ac:dyDescent="0.3"/>
    <row r="35" spans="18:30" ht="15.75" thickBot="1" x14ac:dyDescent="0.3">
      <c r="R35" s="67" t="s">
        <v>107</v>
      </c>
      <c r="S35" s="68"/>
      <c r="T35" s="68"/>
      <c r="U35" s="68"/>
      <c r="V35" s="37"/>
      <c r="W35" s="30" t="s">
        <v>4</v>
      </c>
    </row>
    <row r="36" spans="18:30" x14ac:dyDescent="0.25">
      <c r="R36" s="31" t="s">
        <v>99</v>
      </c>
      <c r="S36" s="25"/>
      <c r="T36" s="30" t="s">
        <v>4</v>
      </c>
      <c r="U36" s="25" t="s">
        <v>42</v>
      </c>
      <c r="V36" s="25">
        <f>AN12</f>
        <v>1.2693875869717425E-2</v>
      </c>
      <c r="W36" s="27">
        <f>AO12</f>
        <v>1.7523249542435925E-3</v>
      </c>
    </row>
    <row r="37" spans="18:30" x14ac:dyDescent="0.25">
      <c r="R37" s="22" t="s">
        <v>101</v>
      </c>
      <c r="S37" s="25">
        <v>0.5</v>
      </c>
      <c r="T37" s="25">
        <f>S37*$C$2</f>
        <v>5.0000000000000001E-3</v>
      </c>
      <c r="U37" s="25" t="s">
        <v>52</v>
      </c>
      <c r="V37" s="25">
        <f>Y26</f>
        <v>0.10373261451728277</v>
      </c>
      <c r="W37" s="27">
        <f>Z26</f>
        <v>0.1259918842176129</v>
      </c>
    </row>
    <row r="38" spans="18:30" x14ac:dyDescent="0.25">
      <c r="R38" s="31" t="s">
        <v>108</v>
      </c>
      <c r="S38" s="25">
        <v>0.5</v>
      </c>
      <c r="T38" s="25">
        <f>S38*$C$2</f>
        <v>5.0000000000000001E-3</v>
      </c>
      <c r="U38" s="25"/>
      <c r="V38" s="25"/>
      <c r="W38" s="27"/>
    </row>
    <row r="39" spans="18:30" x14ac:dyDescent="0.25">
      <c r="R39" s="22" t="s">
        <v>109</v>
      </c>
      <c r="S39" s="25">
        <f>S38/S37</f>
        <v>1</v>
      </c>
      <c r="T39" s="25">
        <f>((T38/S37)^2+((T37*S38)/(S37^2))^2)^0.5</f>
        <v>1.4142135623730951E-2</v>
      </c>
      <c r="U39" s="25"/>
      <c r="V39" s="25"/>
      <c r="W39" s="27"/>
    </row>
    <row r="40" spans="18:30" x14ac:dyDescent="0.25">
      <c r="R40" s="22"/>
      <c r="S40" s="25"/>
      <c r="T40" s="25"/>
      <c r="U40" s="48" t="s">
        <v>4</v>
      </c>
      <c r="V40" s="25"/>
      <c r="W40" s="27"/>
    </row>
    <row r="41" spans="18:30" x14ac:dyDescent="0.25">
      <c r="R41" s="22" t="s">
        <v>110</v>
      </c>
      <c r="S41" s="25"/>
      <c r="T41" s="25">
        <f>S39*V36</f>
        <v>1.2693875869717425E-2</v>
      </c>
      <c r="U41" s="25">
        <f>((S$30*W36)^2+(T$30*V36)^2)^0.5</f>
        <v>1.7614964212804881E-3</v>
      </c>
      <c r="V41" s="25"/>
      <c r="W41" s="27"/>
    </row>
    <row r="42" spans="18:30" ht="15.75" thickBot="1" x14ac:dyDescent="0.3">
      <c r="R42" s="24" t="s">
        <v>111</v>
      </c>
      <c r="S42" s="18"/>
      <c r="T42" s="18">
        <f>S39*V37</f>
        <v>0.10373261451728277</v>
      </c>
      <c r="U42" s="18">
        <f>((S$30*W37)^2+(T$30*V37)^2)^0.5</f>
        <v>0.12600042452217092</v>
      </c>
      <c r="V42" s="18"/>
      <c r="W42" s="41"/>
    </row>
  </sheetData>
  <mergeCells count="5">
    <mergeCell ref="A1:W1"/>
    <mergeCell ref="R2:W2"/>
    <mergeCell ref="E2:J2"/>
    <mergeCell ref="R26:U26"/>
    <mergeCell ref="R35:U35"/>
  </mergeCells>
  <pageMargins left="0.7" right="0.7" top="0.75" bottom="0.75" header="0.3" footer="0.3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32.483606211645416</v>
      </c>
      <c r="F4">
        <v>0.68605761484264693</v>
      </c>
      <c r="G4" s="3">
        <v>2.1120118572201332E-2</v>
      </c>
      <c r="H4">
        <v>5841.8343368775195</v>
      </c>
      <c r="I4">
        <v>196.40937339816091</v>
      </c>
      <c r="J4" s="3">
        <v>3.3621181648081859E-2</v>
      </c>
      <c r="K4" s="3" t="s">
        <v>15</v>
      </c>
      <c r="L4" s="9">
        <f>1-E8/E5</f>
        <v>-0.31526182219157506</v>
      </c>
      <c r="M4" s="8">
        <f>((F8/E5)^2+((F5*E8)/(E5^2))^2)^0.5</f>
        <v>6.0216054310520607E-2</v>
      </c>
      <c r="N4" s="8"/>
      <c r="O4" s="43">
        <f>1-P4*$P$2</f>
        <v>0.88055765443354272</v>
      </c>
      <c r="P4">
        <v>0.19907057594409555</v>
      </c>
      <c r="Q4">
        <f>1-P4*O4</f>
        <v>0.8247068805799328</v>
      </c>
      <c r="R4">
        <f>$Q4*E4</f>
        <v>26.78945354879302</v>
      </c>
      <c r="S4">
        <f>(($Q4*$Q$2*E4)^2+(F4*$Q4)^2)^0.5</f>
        <v>1.4540676256482317</v>
      </c>
      <c r="T4" s="3">
        <f>S4/R4</f>
        <v>5.4277614248452774E-2</v>
      </c>
      <c r="U4">
        <f>$Q4*H4</f>
        <v>4817.8009728309989</v>
      </c>
      <c r="V4">
        <f>(($Q4*$Q$2*H4)^2+(I4*$Q4)^2)^0.5</f>
        <v>290.28535668078382</v>
      </c>
      <c r="W4" s="3">
        <f>V4/U4</f>
        <v>6.0252666790884181E-2</v>
      </c>
      <c r="X4" s="3" t="s">
        <v>15</v>
      </c>
      <c r="Y4" s="9">
        <f>1-R8/R5</f>
        <v>6.421722881382208E-2</v>
      </c>
      <c r="Z4" s="8">
        <f>((S8/R5)^2+((S5*R8)/(R5^2))^2)^0.5</f>
        <v>7.8828481449858046E-2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16.241803105822708</v>
      </c>
      <c r="F5" s="10">
        <f>((F4*$C5*$B5)^2+($C5*$B$2*E4)^2+($C$2*$B5*E4)^2)^0.5</f>
        <v>0.4995666590006298</v>
      </c>
      <c r="G5" s="3">
        <f>F5/E5</f>
        <v>3.0758078751831099E-2</v>
      </c>
      <c r="H5" s="1">
        <f>H4*$C5*$B5</f>
        <v>2920.9171684387597</v>
      </c>
      <c r="I5" s="10">
        <f>((I4*$C5*$B5)^2+($C5*$B$2*H4)^2+($C$2*$B5*H4)^2)^0.5</f>
        <v>117.94082856290565</v>
      </c>
      <c r="J5" s="3">
        <f>I5/H5</f>
        <v>4.0378012028990683E-2</v>
      </c>
      <c r="K5" s="3" t="s">
        <v>16</v>
      </c>
      <c r="L5" s="9">
        <f>1-H8/H5</f>
        <v>0.99132486046838453</v>
      </c>
      <c r="M5" s="3">
        <f>((I8/H5)^2+((I5*H8)/(H5^2))^2)^0.5</f>
        <v>4.6204260882385214E-4</v>
      </c>
      <c r="N5" s="3"/>
      <c r="O5" s="43">
        <f>1-P5*$P$2</f>
        <v>0.88055765443354272</v>
      </c>
      <c r="P5">
        <v>0.19907057594409555</v>
      </c>
      <c r="Q5">
        <f t="shared" ref="Q5:Q22" si="0">1-P5*O5</f>
        <v>0.8247068805799328</v>
      </c>
      <c r="R5">
        <f>R4*$C5*$B5</f>
        <v>13.39472677439651</v>
      </c>
      <c r="S5">
        <f>((S4*$C5*$B5)^2+($C5*$B$2*R4)^2+($C$2*$B5*R4)^2)^0.5</f>
        <v>0.78631260810821213</v>
      </c>
      <c r="T5" s="3">
        <f>S5/R5</f>
        <v>5.8703146495770075E-2</v>
      </c>
      <c r="U5">
        <f>U4*$C5*$B5</f>
        <v>2408.9004864154995</v>
      </c>
      <c r="V5">
        <f>((V4*$C5*$B5)^2+($C5*$B$2*U4)^2+($C$2*$B5*U4)^2)^0.5</f>
        <v>154.81536697805191</v>
      </c>
      <c r="W5" s="3">
        <f>V5/U5</f>
        <v>6.42680624837354E-2</v>
      </c>
      <c r="X5" s="3" t="s">
        <v>16</v>
      </c>
      <c r="Y5" s="56">
        <f>1-U8/U5</f>
        <v>0.99382780981371821</v>
      </c>
      <c r="Z5" s="3">
        <f>((V8/U5)^2+((V5*U8)/(U5^2))^2)^0.5</f>
        <v>5.4639346420213327E-4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42.724447097282315</v>
      </c>
      <c r="F7">
        <v>1.08925009065278</v>
      </c>
      <c r="G7" s="3">
        <v>2.549477324241527E-2</v>
      </c>
      <c r="H7">
        <v>50.678727992995064</v>
      </c>
      <c r="I7">
        <v>1.3468544665305011</v>
      </c>
      <c r="J7" s="3">
        <v>2.6576327383683873E-2</v>
      </c>
      <c r="K7" s="3" t="s">
        <v>19</v>
      </c>
      <c r="L7" s="2">
        <f>E11/E5</f>
        <v>0.87044350961001105</v>
      </c>
      <c r="M7" s="3">
        <f>((F11/E5)^2+((F5*E11)/(E5^2))^2)^0.5</f>
        <v>5.1946564429803187E-2</v>
      </c>
      <c r="N7" s="3"/>
      <c r="O7" s="43">
        <f>1-P7*$P$2</f>
        <v>0.54536055461420929</v>
      </c>
      <c r="P7">
        <v>0.75773240897631788</v>
      </c>
      <c r="Q7">
        <f t="shared" si="0"/>
        <v>0.58676263319151434</v>
      </c>
      <c r="R7">
        <f>$Q7*E7</f>
        <v>25.069109080452922</v>
      </c>
      <c r="S7">
        <f>(($Q7*$Q$2*E7)^2+(F7*$Q7)^2)^0.5</f>
        <v>1.4069965642209374</v>
      </c>
      <c r="T7" s="3">
        <f>S7/R7</f>
        <v>5.6124713475279087E-2</v>
      </c>
      <c r="U7">
        <f>$Q7*H7</f>
        <v>29.736383883966294</v>
      </c>
      <c r="V7">
        <f>(($Q7*$Q$2*H7)^2+(I7*$Q7)^2)^0.5</f>
        <v>1.6837992506964536</v>
      </c>
      <c r="W7" s="3">
        <f>V7/U7</f>
        <v>5.6624210168484866E-2</v>
      </c>
      <c r="X7" s="3" t="s">
        <v>19</v>
      </c>
      <c r="Y7" s="2">
        <f>R11/R5</f>
        <v>0.79739968076448797</v>
      </c>
      <c r="Z7" s="3">
        <f>((S11/R5)^2+((S5*R11)/(R5^2))^2)^0.5</f>
        <v>7.3782079258767466E-2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21.362223548641158</v>
      </c>
      <c r="F8">
        <f>((F7*$C8*$B8)^2+($C8*$B$2*E7)^2+($C$2*$B8*E7)^2)^0.5</f>
        <v>0.72442303764294502</v>
      </c>
      <c r="G8" s="3">
        <f>F8/E8</f>
        <v>3.3911406085300765E-2</v>
      </c>
      <c r="H8" s="10">
        <f>H7*$C8*$B8</f>
        <v>25.339363996497532</v>
      </c>
      <c r="I8">
        <f>((I7*$C8*$B8)^2+($C8*$B$2*H7)^2+($C$2*$B8*H7)^2)^0.5</f>
        <v>0.88008290653596255</v>
      </c>
      <c r="J8" s="3">
        <f>I8/H8</f>
        <v>3.4731846728971165E-2</v>
      </c>
      <c r="K8" s="3" t="s">
        <v>20</v>
      </c>
      <c r="L8" s="2">
        <f>H11/H5</f>
        <v>1.0721521937987712</v>
      </c>
      <c r="M8" s="3">
        <f>((I11/H5)^2+((I5*H11)/(H5^2))^2)^0.5</f>
        <v>5.6735269250020724E-2</v>
      </c>
      <c r="N8" s="3"/>
      <c r="O8" s="43">
        <f>1-P8*$P$2</f>
        <v>0.54536055461420929</v>
      </c>
      <c r="P8">
        <v>0.75773240897631788</v>
      </c>
      <c r="Q8">
        <f t="shared" si="0"/>
        <v>0.58676263319151434</v>
      </c>
      <c r="R8">
        <f>R7*$C8*$B8</f>
        <v>12.534554540226461</v>
      </c>
      <c r="S8">
        <f>((S7*$C8*$B8)^2+($C8*$B$2*R7)^2+($C$2*$B8*R7)^2)^0.5</f>
        <v>0.75727627831151334</v>
      </c>
      <c r="T8" s="3">
        <f>S8/R8</f>
        <v>6.0415093004001698E-2</v>
      </c>
      <c r="U8">
        <f>U7*$C8*$B8</f>
        <v>14.868191941983147</v>
      </c>
      <c r="V8">
        <f>((V7*$C8*$B8)^2+($C8*$B$2*U7)^2+($C$2*$B8*U7)^2)^0.5</f>
        <v>0.9051665841011316</v>
      </c>
      <c r="W8" s="3">
        <f>V8/U8</f>
        <v>6.0879398627160769E-2</v>
      </c>
      <c r="X8" s="3" t="s">
        <v>20</v>
      </c>
      <c r="Y8" s="55">
        <f>U11/U5</f>
        <v>0.98218185054780371</v>
      </c>
      <c r="Z8" s="3">
        <f>((V11/U5)^2+((V5*U11)/(U5^2))^2)^0.5</f>
        <v>8.6745219005875299E-2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>
        <v>2.356262016304516</v>
      </c>
      <c r="F10">
        <v>0.11811100219304545</v>
      </c>
      <c r="G10" s="3">
        <v>5.0126429648213261E-2</v>
      </c>
      <c r="H10">
        <v>521.9446250076852</v>
      </c>
      <c r="I10">
        <v>17.049832048163744</v>
      </c>
      <c r="J10" s="3">
        <v>3.266597878637547E-2</v>
      </c>
      <c r="K10" s="3"/>
      <c r="O10" s="43">
        <f>1-P10*$P$2</f>
        <v>0.8214041727875222</v>
      </c>
      <c r="P10">
        <v>0.29765971202079633</v>
      </c>
      <c r="Q10">
        <f t="shared" si="0"/>
        <v>0.75550107047538573</v>
      </c>
      <c r="R10">
        <f>$Q10*E10</f>
        <v>1.7801584756385527</v>
      </c>
      <c r="S10">
        <f>(($Q10*$Q$2*E10)^2+(F10*$Q10)^2)^0.5</f>
        <v>0.12603545830038371</v>
      </c>
      <c r="T10" s="3">
        <f>S10/R10</f>
        <v>7.0800133822453135E-2</v>
      </c>
      <c r="U10">
        <f>$Q10*H10</f>
        <v>394.32972292217994</v>
      </c>
      <c r="V10">
        <f>(($Q10*$Q$2*H10)^2+(I10*$Q10)^2)^0.5</f>
        <v>23.551311488788514</v>
      </c>
      <c r="W10" s="3">
        <f>V10/U10</f>
        <v>5.9724920846091815E-2</v>
      </c>
      <c r="X10" s="3"/>
    </row>
    <row r="11" spans="1:27" x14ac:dyDescent="0.25">
      <c r="B11">
        <v>1</v>
      </c>
      <c r="C11">
        <v>6</v>
      </c>
      <c r="D11" t="s">
        <v>25</v>
      </c>
      <c r="E11" s="1">
        <f>E10*$C11*$B11</f>
        <v>14.137572097827096</v>
      </c>
      <c r="F11">
        <f>((F10*$C11*$B11)^2+($C11*$B$2*E10)^2+($C$2*$B11*E10)^2)^0.5</f>
        <v>0.72301439111314714</v>
      </c>
      <c r="G11" s="3">
        <f>F11/E11</f>
        <v>5.1141340684959076E-2</v>
      </c>
      <c r="H11" s="1">
        <f>H10*$C11*$B11</f>
        <v>3131.667750046111</v>
      </c>
      <c r="I11">
        <f>((I10*$C11*$B11)^2+($C11*$B$2*H10)^2+($C$2*$B11*H10)^2)^0.5</f>
        <v>107.11237431859412</v>
      </c>
      <c r="J11" s="3">
        <f>I11/H11</f>
        <v>3.4202981563742511E-2</v>
      </c>
      <c r="K11" s="3" t="s">
        <v>37</v>
      </c>
      <c r="L11" s="13">
        <f>(E15/E12)</f>
        <v>11.304782020965867</v>
      </c>
      <c r="M11" s="3">
        <f>((F15/E12)^2+((F12*E15)/(E12^2))^2)^0.5</f>
        <v>0.86458615383447002</v>
      </c>
      <c r="N11" s="3"/>
      <c r="O11" s="43">
        <f>1-P11*$P$2</f>
        <v>0.8214041727875222</v>
      </c>
      <c r="P11">
        <v>0.29765971202079633</v>
      </c>
      <c r="Q11">
        <f t="shared" si="0"/>
        <v>0.75550107047538573</v>
      </c>
      <c r="R11">
        <f>R10*$C11*$B11</f>
        <v>10.680950853831316</v>
      </c>
      <c r="S11">
        <f>((S10*$C11*$B11)^2+($C11*$B$2*R10)^2+($C$2*$B11*R10)^2)^0.5</f>
        <v>0.76392597187004585</v>
      </c>
      <c r="T11" s="3">
        <f>S11/R11</f>
        <v>7.1522281332847951E-2</v>
      </c>
      <c r="U11">
        <f>U10*$C11*$B11</f>
        <v>2365.9783375330799</v>
      </c>
      <c r="V11">
        <f>((V10*$C11*$B11)^2+($C11*$B$2*U10)^2+($C$2*$B11*U10)^2)^0.5</f>
        <v>143.32916229684548</v>
      </c>
      <c r="W11" s="3">
        <f>V11/U11</f>
        <v>6.0579236936839254E-2</v>
      </c>
      <c r="X11" s="3" t="s">
        <v>37</v>
      </c>
      <c r="Y11" s="13">
        <f>(R15/R12)</f>
        <v>13.63393196239857</v>
      </c>
      <c r="Z11" s="3">
        <f>((S15/R12)^2+((S12*R15)/(R12^2))^2)^0.5</f>
        <v>1.4200996477654464</v>
      </c>
    </row>
    <row r="12" spans="1:27" x14ac:dyDescent="0.25">
      <c r="B12">
        <v>1</v>
      </c>
      <c r="C12">
        <v>0.5</v>
      </c>
      <c r="D12" t="s">
        <v>26</v>
      </c>
      <c r="E12" s="12">
        <f>E10*$C12*$B12</f>
        <v>1.178131008152258</v>
      </c>
      <c r="F12">
        <f>((F10*$C12*$B12)^2+($C12*$B$2*E10)^2+($C$2*$B12*E10)^2)^0.5</f>
        <v>6.466489423130857E-2</v>
      </c>
      <c r="G12" s="3">
        <f>F12/E12</f>
        <v>5.4887693969388744E-2</v>
      </c>
      <c r="H12" s="12">
        <f>H10*$C12*$B12</f>
        <v>260.9723125038426</v>
      </c>
      <c r="I12">
        <f>((I10*$C12*$B12)^2+($C12*$B$2*H10)^2+($C$2*$B12*H10)^2)^0.5</f>
        <v>10.330898661996908</v>
      </c>
      <c r="J12" s="3">
        <f>I12/H12</f>
        <v>3.9586186606844716E-2</v>
      </c>
      <c r="K12" s="3" t="s">
        <v>38</v>
      </c>
      <c r="L12" s="13">
        <f>H15/H12</f>
        <v>0.72728211489698269</v>
      </c>
      <c r="M12" s="3">
        <f>((I15/H12)^2+((I12*H15)/(H12^2))^2)^0.5</f>
        <v>3.8065978716540091E-2</v>
      </c>
      <c r="N12" s="3"/>
      <c r="O12" s="43">
        <f>1-P12*$P$2</f>
        <v>0.8214041727875222</v>
      </c>
      <c r="P12">
        <v>0.29765971202079633</v>
      </c>
      <c r="Q12">
        <f t="shared" si="0"/>
        <v>0.75550107047538573</v>
      </c>
      <c r="R12">
        <f>R10*$C12*$B12</f>
        <v>0.89007923781927634</v>
      </c>
      <c r="S12">
        <f>((S10*$C12*$B12)^2+($C12*$B$2*R10)^2+($C$2*$B12*R10)^2)^0.5</f>
        <v>6.6085964561663255E-2</v>
      </c>
      <c r="T12" s="3">
        <f>S12/R12</f>
        <v>7.4247282436983988E-2</v>
      </c>
      <c r="U12">
        <f>U10*$C12*$B12</f>
        <v>197.16486146108997</v>
      </c>
      <c r="V12">
        <f>((V10*$C12*$B12)^2+($C12*$B$2*U10)^2+($C$2*$B12*U10)^2)^0.5</f>
        <v>12.573903908809342</v>
      </c>
      <c r="W12" s="3">
        <f>V12/U12</f>
        <v>6.3773553845398429E-2</v>
      </c>
      <c r="X12" s="3" t="s">
        <v>38</v>
      </c>
      <c r="Y12" s="13">
        <f>U15/U12</f>
        <v>0.87712570251996902</v>
      </c>
      <c r="Z12" s="3">
        <f>((V15/U12)^2+((V12*U15)/(U12^2))^2)^0.5</f>
        <v>7.7164533967627985E-2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>
        <v>2.2197523732170059</v>
      </c>
      <c r="F14">
        <v>0.11605941477693948</v>
      </c>
      <c r="G14" s="3">
        <v>5.2284847705214445E-2</v>
      </c>
      <c r="H14">
        <v>31.633415894558485</v>
      </c>
      <c r="I14">
        <v>1.0345802254855698</v>
      </c>
      <c r="J14" s="3">
        <v>3.2705295847089852E-2</v>
      </c>
      <c r="K14" s="3" t="s">
        <v>17</v>
      </c>
      <c r="L14" s="14">
        <f>1-E19/E16</f>
        <v>-5.1493899205031344</v>
      </c>
      <c r="M14">
        <f>((F19/E16)^2+((F16*E19)/(E16^2))^2)^0.5</f>
        <v>0.4436730152629596</v>
      </c>
      <c r="O14" s="43">
        <f>1-P14*$P$2</f>
        <v>0.94350333054390678</v>
      </c>
      <c r="P14">
        <v>9.4161115760155317E-2</v>
      </c>
      <c r="Q14">
        <f t="shared" si="0"/>
        <v>0.91115867367256309</v>
      </c>
      <c r="R14">
        <f>$Q14*E14</f>
        <v>2.0225466282619315</v>
      </c>
      <c r="S14">
        <f>(($Q14*$Q$2*E14)^2+(F14*$Q14)^2)^0.5</f>
        <v>0.14631982567628873</v>
      </c>
      <c r="T14" s="3">
        <f>S14/R14</f>
        <v>7.2344352229855968E-2</v>
      </c>
      <c r="U14">
        <f>$Q14*H14</f>
        <v>28.823061270218485</v>
      </c>
      <c r="V14">
        <f>(($Q14*$Q$2*H14)^2+(I14*$Q14)^2)^0.5</f>
        <v>1.7220751280349844</v>
      </c>
      <c r="W14" s="3">
        <f>V14/U14</f>
        <v>5.9746434006103431E-2</v>
      </c>
      <c r="X14" s="3" t="s">
        <v>17</v>
      </c>
      <c r="Y14" s="14">
        <f>1-R19/R16</f>
        <v>-2.9534989489336199</v>
      </c>
      <c r="Z14">
        <f>((S19/R16)^2+((S16*R19)/(R16^2))^2)^0.5</f>
        <v>0.40714310380482077</v>
      </c>
    </row>
    <row r="15" spans="1:27" x14ac:dyDescent="0.25">
      <c r="B15">
        <v>1</v>
      </c>
      <c r="C15">
        <v>6</v>
      </c>
      <c r="D15" t="s">
        <v>27</v>
      </c>
      <c r="E15" s="12">
        <f>E14*$C15*$B15</f>
        <v>13.318514239302036</v>
      </c>
      <c r="F15">
        <f>((F14*$C15*$B15)^2+($C15*$B$2*E14)^2+($C$2*$B15*E14)^2)^0.5</f>
        <v>0.70932599805396512</v>
      </c>
      <c r="G15" s="3">
        <f>F15/E15</f>
        <v>5.3258643217183488E-2</v>
      </c>
      <c r="H15" s="12">
        <f>H14*$C15*$B15</f>
        <v>189.80049536735092</v>
      </c>
      <c r="I15">
        <f>((I14*$C15*$B15)^2+($C15*$B$2*H14)^2+($C$2*$B15*H14)^2)^0.5</f>
        <v>6.4988702749826297</v>
      </c>
      <c r="J15" s="3">
        <f>I15/H15</f>
        <v>3.4240533789990056E-2</v>
      </c>
      <c r="K15" s="3" t="s">
        <v>18</v>
      </c>
      <c r="L15" s="14">
        <f>1-H19/H16</f>
        <v>0.99403852654157043</v>
      </c>
      <c r="M15" s="3">
        <f>((I19/H16)^2+((I16*H19)/(H16^2))^2)^0.5</f>
        <v>3.5297516268253541E-4</v>
      </c>
      <c r="N15" s="3"/>
      <c r="O15" s="43">
        <f>1-P15*$P$2</f>
        <v>0.94350333054390678</v>
      </c>
      <c r="P15">
        <v>9.4161115760155317E-2</v>
      </c>
      <c r="Q15">
        <f t="shared" si="0"/>
        <v>0.91115867367256309</v>
      </c>
      <c r="R15">
        <f>R14*$C15*$B15</f>
        <v>12.135279769571589</v>
      </c>
      <c r="S15">
        <f>((S14*$C15*$B15)^2+($C15*$B$2*R14)^2+($C$2*$B15*R14)^2)^0.5</f>
        <v>0.88649718605799843</v>
      </c>
      <c r="T15" s="3">
        <f>S15/R15</f>
        <v>7.3051235974042519E-2</v>
      </c>
      <c r="U15">
        <f>U14*$C15*$B15</f>
        <v>172.9383676213109</v>
      </c>
      <c r="V15">
        <f>((V14*$C15*$B15)^2+($C15*$B$2*U14)^2+($C$2*$B15*U14)^2)^0.5</f>
        <v>10.48014234937353</v>
      </c>
      <c r="W15" s="3">
        <f>V15/U15</f>
        <v>6.0600446815377941E-2</v>
      </c>
      <c r="X15" s="3" t="s">
        <v>18</v>
      </c>
      <c r="Y15" s="14">
        <f>1-U19/U16</f>
        <v>0.99616731426097815</v>
      </c>
      <c r="Z15" s="3">
        <f>((V19/U16)^2+((V16*U19)/(U16^2))^2)^0.5</f>
        <v>3.6169165146425697E-4</v>
      </c>
    </row>
    <row r="16" spans="1:27" x14ac:dyDescent="0.25">
      <c r="B16">
        <v>1</v>
      </c>
      <c r="C16">
        <v>0.5</v>
      </c>
      <c r="D16" t="s">
        <v>28</v>
      </c>
      <c r="E16" s="11">
        <f>E14*0.5</f>
        <v>1.109876186608503</v>
      </c>
      <c r="F16" s="15">
        <f>((0.005*E14)^2+(0.5*F14)^2)^0.5</f>
        <v>5.9081549188824453E-2</v>
      </c>
      <c r="G16" s="3">
        <f>F16/E16</f>
        <v>5.3232558641845014E-2</v>
      </c>
      <c r="H16" s="11">
        <f>H14*0.5</f>
        <v>15.816707947279243</v>
      </c>
      <c r="I16" s="15">
        <f>((0.005*H14)^2+(0.5*I14)^2)^0.5</f>
        <v>0.54093057389132271</v>
      </c>
      <c r="J16" s="3">
        <f>I16/H16</f>
        <v>3.4199947024018511E-2</v>
      </c>
      <c r="K16" s="3"/>
      <c r="O16" s="43">
        <f>1-P16*$P$2</f>
        <v>0.94350333054390678</v>
      </c>
      <c r="P16">
        <v>9.4161115760155317E-2</v>
      </c>
      <c r="Q16">
        <f t="shared" si="0"/>
        <v>0.91115867367256309</v>
      </c>
      <c r="R16">
        <f>R14*$C16*$B16</f>
        <v>1.0112733141309658</v>
      </c>
      <c r="S16">
        <f>((S14*$C16*$B16)^2+($C16*$B$2*R14)^2+($C$2*$B16*R14)^2)^0.5</f>
        <v>7.6574863397995005E-2</v>
      </c>
      <c r="T16" s="3">
        <f>S16/R16</f>
        <v>7.5721234139159849E-2</v>
      </c>
      <c r="U16">
        <f>U14*$C16*$B16</f>
        <v>14.411530635109242</v>
      </c>
      <c r="V16">
        <f>((V14*$C16*$B16)^2+($C16*$B$2*U14)^2+($C$2*$B16*U14)^2)^0.5</f>
        <v>0.91936488636042824</v>
      </c>
      <c r="W16" s="3">
        <f>V16/U16</f>
        <v>6.3793701698879907E-2</v>
      </c>
      <c r="X16" s="3"/>
    </row>
    <row r="17" spans="2:26" x14ac:dyDescent="0.25">
      <c r="G17" s="3"/>
      <c r="J17" s="3"/>
      <c r="K17" s="3" t="s">
        <v>39</v>
      </c>
      <c r="L17" s="16">
        <f>E22/E16</f>
        <v>14.501168250319791</v>
      </c>
      <c r="M17" s="3">
        <f>((F22/E16)^2+((F16*E22)/(E16^2))^2)^0.5</f>
        <v>1.026173515514325</v>
      </c>
      <c r="N17" s="3"/>
      <c r="O17" s="43"/>
      <c r="T17" s="3"/>
      <c r="W17" s="3"/>
      <c r="X17" s="3" t="s">
        <v>39</v>
      </c>
      <c r="Y17" s="16">
        <f>R22/R16</f>
        <v>11.565786717050477</v>
      </c>
      <c r="Z17" s="3">
        <f>((S22/R16)^2+((S16*R22)/(R16^2))^2)^0.5</f>
        <v>1.1799182445833842</v>
      </c>
    </row>
    <row r="18" spans="2:26" x14ac:dyDescent="0.25">
      <c r="B18">
        <v>1</v>
      </c>
      <c r="D18" t="s">
        <v>10</v>
      </c>
      <c r="E18">
        <v>13.650122869873568</v>
      </c>
      <c r="F18">
        <v>0.59056131468218154</v>
      </c>
      <c r="G18" s="3">
        <v>4.3264175737610155E-2</v>
      </c>
      <c r="H18">
        <v>0.18858176925487352</v>
      </c>
      <c r="I18">
        <v>8.0807114460956994E-3</v>
      </c>
      <c r="J18" s="3">
        <v>4.2849907910103402E-2</v>
      </c>
      <c r="K18" s="3" t="s">
        <v>18</v>
      </c>
      <c r="L18" s="16">
        <f>H22/H16</f>
        <v>1.2226845604147187</v>
      </c>
      <c r="M18" s="3">
        <f>((I22/H16)^2+((I16*H22)/(H16^2))^2)^0.5</f>
        <v>5.9561193113815566E-2</v>
      </c>
      <c r="N18" s="3"/>
      <c r="O18" s="43">
        <f>1-P18*$P$2</f>
        <v>0.46158984063817632</v>
      </c>
      <c r="P18">
        <v>0.89735026560303943</v>
      </c>
      <c r="Q18">
        <f t="shared" si="0"/>
        <v>0.58579223390366786</v>
      </c>
      <c r="R18">
        <f>$Q18*E18</f>
        <v>7.9961359690027836</v>
      </c>
      <c r="S18">
        <f>(($Q18*$Q$2*E18)^2+(F18*$Q18)^2)^0.5</f>
        <v>0.52870054981343317</v>
      </c>
      <c r="T18" s="3">
        <f>S18/R18</f>
        <v>6.6119504703641085E-2</v>
      </c>
      <c r="U18">
        <f>$Q18*H18</f>
        <v>0.11046973588531839</v>
      </c>
      <c r="V18">
        <f>(($Q18*$Q$2*H18)^2+(I18*$Q18)^2)^0.5</f>
        <v>7.2743416077790278E-3</v>
      </c>
      <c r="W18" s="3">
        <f>V18/U18</f>
        <v>6.5849180768665166E-2</v>
      </c>
      <c r="X18" s="3" t="s">
        <v>18</v>
      </c>
      <c r="Y18" s="16">
        <f>U22/U16</f>
        <v>0.97518410957513024</v>
      </c>
      <c r="Z18" s="3">
        <f>((V22/U16)^2+((V16*U22)/(U16^2))^2)^0.5</f>
        <v>8.5976740770889681E-2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6.8250614349367842</v>
      </c>
      <c r="F19">
        <f>((F18*$C19*$B19)^2+($C19*$B$2*E18)^2+($C$2*$B19*E18)^2)^0.5</f>
        <v>0.33238742213735667</v>
      </c>
      <c r="G19" s="3">
        <f>F19/E19</f>
        <v>4.8701015412974863E-2</v>
      </c>
      <c r="H19" s="11">
        <f>H18*$C19*$B19</f>
        <v>9.4290884627436761E-2</v>
      </c>
      <c r="I19">
        <f>((I18*$C19*$B19)^2+($C19*$B$2*H18)^2+($C$2*$B19*H18)^2)^0.5</f>
        <v>4.5573961678438499E-3</v>
      </c>
      <c r="J19" s="3">
        <f>I19/H19</f>
        <v>4.8333369507042881E-2</v>
      </c>
      <c r="O19" s="43">
        <f>1-P19*$P$2</f>
        <v>0.46158984063817632</v>
      </c>
      <c r="P19">
        <v>0.89735026560303943</v>
      </c>
      <c r="Q19">
        <f t="shared" si="0"/>
        <v>0.58579223390366786</v>
      </c>
      <c r="R19">
        <f>R18*$C19*$B19</f>
        <v>3.9980679845013918</v>
      </c>
      <c r="S19">
        <f>((S18*$C19*$B19)^2+($C19*$B$2*R18)^2+($C$2*$B19*R18)^2)^0.5</f>
        <v>0.27905795392284405</v>
      </c>
      <c r="T19" s="3">
        <f>S19/R19</f>
        <v>6.9798201282374142E-2</v>
      </c>
      <c r="U19">
        <f>U18*$C19*$B19</f>
        <v>5.5234867942659194E-2</v>
      </c>
      <c r="V19">
        <f>((V18*$C19*$B19)^2+($C19*$B$2*U18)^2+($C$2*$B19*U18)^2)^0.5</f>
        <v>3.8411530527938864E-3</v>
      </c>
      <c r="W19" s="3">
        <f>V19/U19</f>
        <v>6.9542178624949214E-2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>
        <v>2.6824168865055382</v>
      </c>
      <c r="F21">
        <v>0.12207755543863616</v>
      </c>
      <c r="G21" s="3">
        <v>4.5510284420282675E-2</v>
      </c>
      <c r="H21">
        <v>3.2231407672878518</v>
      </c>
      <c r="I21">
        <v>0.10692799719005749</v>
      </c>
      <c r="J21" s="3">
        <v>3.3175093770426066E-2</v>
      </c>
      <c r="K21" s="3"/>
      <c r="O21" s="43">
        <f>1-P21*$P$2</f>
        <v>0.79331056126835398</v>
      </c>
      <c r="P21">
        <v>0.34448239788607671</v>
      </c>
      <c r="Q21">
        <f t="shared" si="0"/>
        <v>0.72671847558592806</v>
      </c>
      <c r="R21">
        <f>$Q21*E21</f>
        <v>1.9493619106472562</v>
      </c>
      <c r="S21">
        <f>(($Q21*$Q$2*E21)^2+(F21*$Q21)^2)^0.5</f>
        <v>0.13179742396078747</v>
      </c>
      <c r="T21" s="3">
        <f>S21/R21</f>
        <v>6.7610546425946189E-2</v>
      </c>
      <c r="U21">
        <f>$Q21*H21</f>
        <v>2.3423159450022863</v>
      </c>
      <c r="V21">
        <f>(($Q21*$Q$2*H21)^2+(I21*$Q21)^2)^0.5</f>
        <v>0.14055041106941837</v>
      </c>
      <c r="W21" s="3">
        <f>V21/U21</f>
        <v>6.0004890189688388E-2</v>
      </c>
    </row>
    <row r="22" spans="2:26" x14ac:dyDescent="0.25">
      <c r="B22">
        <v>1</v>
      </c>
      <c r="C22">
        <v>6</v>
      </c>
      <c r="D22" t="s">
        <v>30</v>
      </c>
      <c r="E22" s="15">
        <f>E21*$C22*$B22</f>
        <v>16.094501319033228</v>
      </c>
      <c r="F22">
        <f>((F21*$C22*$B22)^2+($C22*$B$2*E21)^2+($C$2*$B22*E21)^2)^0.5</f>
        <v>0.75041874764265815</v>
      </c>
      <c r="G22" s="3">
        <f>F22/E22</f>
        <v>4.6625784345068151E-2</v>
      </c>
      <c r="H22" s="15">
        <f>H21*$C22*$B22</f>
        <v>19.338844603727111</v>
      </c>
      <c r="I22">
        <f>((I21*$C22*$B22)^2+($C22*$B$2*H21)^2+($C$2*$B22*H21)^2)^0.5</f>
        <v>0.6708557458142963</v>
      </c>
      <c r="J22" s="3">
        <f>I22/H22</f>
        <v>3.4689546328171256E-2</v>
      </c>
      <c r="K22" s="3"/>
      <c r="O22" s="43">
        <f>1-P22*$P$2</f>
        <v>0.79331056126835398</v>
      </c>
      <c r="P22">
        <v>0.34448239788607671</v>
      </c>
      <c r="Q22">
        <f t="shared" si="0"/>
        <v>0.72671847558592806</v>
      </c>
      <c r="R22">
        <f>R21*$C22*$B22</f>
        <v>11.696171463883537</v>
      </c>
      <c r="S22">
        <f>((S21*$C22*$B22)^2+($C22*$B$2*R21)^2+($C$2*$B22*R21)^2)^0.5</f>
        <v>0.79962506122201338</v>
      </c>
      <c r="T22" s="3">
        <f>S22/R22</f>
        <v>6.8366393540926246E-2</v>
      </c>
      <c r="U22">
        <f>U21*$C22*$B22</f>
        <v>14.053895670013718</v>
      </c>
      <c r="V22">
        <f>((V21*$C22*$B22)^2+($C22*$B$2*U21)^2+($C$2*$B22*U21)^2)^0.5</f>
        <v>0.85525370073046381</v>
      </c>
      <c r="W22" s="3">
        <f>V22/U22</f>
        <v>6.0855276060949225E-2</v>
      </c>
    </row>
    <row r="25" spans="2:26" x14ac:dyDescent="0.25">
      <c r="O25" t="s">
        <v>138</v>
      </c>
      <c r="Q25" t="s">
        <v>140</v>
      </c>
    </row>
    <row r="26" spans="2:26" x14ac:dyDescent="0.25">
      <c r="N26" s="61" t="s">
        <v>79</v>
      </c>
      <c r="O26" s="61">
        <f>AVERAGE(Exp2_Act_C1!P7,Exp2_Act_C2!P7)</f>
        <v>1.2693875869717425E-2</v>
      </c>
      <c r="P26" s="61">
        <f>_xlfn.STDEV.S(Exp2_Act_C1!P7,Exp2_Act_C2!P7)+AVERAGE(Exp2_Act_C2!Q7,Exp2_Act_C1!Q7)</f>
        <v>1.7523249542435925E-3</v>
      </c>
      <c r="Q26" s="62">
        <f>P26/O26</f>
        <v>0.13804491017782425</v>
      </c>
    </row>
    <row r="27" spans="2:26" x14ac:dyDescent="0.25">
      <c r="N27" t="s">
        <v>80</v>
      </c>
      <c r="O27">
        <f>AVERAGE(Exp2_Act_C1!P8,Exp2_Act_C2!P8)</f>
        <v>0.45596772813828651</v>
      </c>
      <c r="P27">
        <f>_xlfn.STDEV.S(Exp2_Act_C1!P8,Exp2_Act_C2!P8)+AVERAGE(Exp2_Act_C2!Q8,Exp2_Act_C1!Q8)</f>
        <v>0.43826689425305398</v>
      </c>
      <c r="Q27" s="3">
        <f>P27/O27</f>
        <v>0.96117963445021659</v>
      </c>
    </row>
    <row r="28" spans="2:26" x14ac:dyDescent="0.25">
      <c r="O28" t="s">
        <v>139</v>
      </c>
    </row>
    <row r="29" spans="2:26" x14ac:dyDescent="0.25">
      <c r="N29" t="s">
        <v>79</v>
      </c>
      <c r="O29">
        <f>AVERAGE(Exp2_Act_C1!P7,Exp2_Act_C3!P7)</f>
        <v>1.2693875869717425E-2</v>
      </c>
    </row>
    <row r="30" spans="2:26" x14ac:dyDescent="0.25">
      <c r="N30" s="61" t="s">
        <v>80</v>
      </c>
      <c r="O30" s="61">
        <f>AVERAGE(Exp2_Act_C1!P8,Exp2_Act_C3!P8)</f>
        <v>0.19058921887817865</v>
      </c>
      <c r="P30" s="61">
        <f>_xlfn.STDEV.S(Exp2_Act_C1!P8,Exp2_Act_C3!P8)+AVERAGE(Exp2_Act_C3!Q8,Exp2_Act_C1!Q8)</f>
        <v>3.6427156369044471E-2</v>
      </c>
      <c r="Q30" s="62">
        <f>P30/O30</f>
        <v>0.19112915506688805</v>
      </c>
    </row>
    <row r="31" spans="2:26" x14ac:dyDescent="0.25">
      <c r="O31" t="s">
        <v>141</v>
      </c>
    </row>
    <row r="32" spans="2:26" x14ac:dyDescent="0.25">
      <c r="N32" t="s">
        <v>79</v>
      </c>
      <c r="O32">
        <f>AVERAGE(Exp2_Act_C1!P7,Exp2_Act_C2!P7,Exp2_Act_C3!P7)</f>
        <v>1.2693875869717425E-2</v>
      </c>
    </row>
    <row r="33" spans="14:15" x14ac:dyDescent="0.25">
      <c r="N33" t="s">
        <v>80</v>
      </c>
      <c r="O33">
        <f>AVERAGE(Exp2_Act_C1!P8,Exp2_Act_C2!P8,Exp2_Act_C3!P8)</f>
        <v>0.37160195717788835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19" sqref="P19"/>
    </sheetView>
  </sheetViews>
  <sheetFormatPr defaultRowHeight="15" x14ac:dyDescent="0.25"/>
  <cols>
    <col min="5" max="5" width="14.42578125" customWidth="1"/>
    <col min="11" max="11" width="9.28515625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1.2693875869717425E-2</v>
      </c>
      <c r="C2">
        <f>'Exp1'!AO7</f>
        <v>1.7523249542435925E-3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78.778145482390059</v>
      </c>
      <c r="C5">
        <f>C2/B2^2</f>
        <v>10.874922017092107</v>
      </c>
      <c r="E5">
        <f>B5*F1</f>
        <v>56.270103915992898</v>
      </c>
      <c r="F5">
        <f>((C5*F$1)^2+(G$1*B5)^2)^0.5</f>
        <v>7.808457219088055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134</v>
      </c>
      <c r="Q6" s="4" t="s">
        <v>4</v>
      </c>
    </row>
    <row r="7" spans="1:19" x14ac:dyDescent="0.25">
      <c r="J7" t="s">
        <v>46</v>
      </c>
      <c r="K7">
        <v>2</v>
      </c>
      <c r="L7">
        <f>Exp2_Act_C1!K7*'Exp2'!C2</f>
        <v>0.02</v>
      </c>
      <c r="O7" t="s">
        <v>79</v>
      </c>
      <c r="P7">
        <f>'Exp1'!AN12</f>
        <v>1.2693875869717425E-2</v>
      </c>
      <c r="Q7">
        <f>C2</f>
        <v>1.7523249542435925E-3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1.7461117260531914E-2</v>
      </c>
      <c r="F9">
        <f>F5/((1+E5)^2)</f>
        <v>2.3807253314284413E-3</v>
      </c>
      <c r="G9" s="3">
        <f>F9/E9</f>
        <v>0.13634438712634347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1.2089405590207072E-2</v>
      </c>
      <c r="Q10">
        <f>((L$9*P7)^2+(Q7*K$9)^2)^0.5</f>
        <v>1.6776156393147506E-3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1.2472226614665653E-2</v>
      </c>
      <c r="F13">
        <f>((F9*F$1)^2+(E9*G$1)^2)^0.5</f>
        <v>1.7096412123454845E-3</v>
      </c>
      <c r="G13" s="3">
        <f t="shared" si="0"/>
        <v>0.13707586184612597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0.98805500233138299</v>
      </c>
      <c r="K14">
        <f>Q10/((1+P10)^2)</f>
        <v>1.6377767766946176E-3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0.98752777338533437</v>
      </c>
      <c r="F16">
        <f>F13</f>
        <v>1.7096412123454845E-3</v>
      </c>
      <c r="G16" s="3">
        <f t="shared" si="0"/>
        <v>1.7312335494977322E-3</v>
      </c>
      <c r="O16" t="s">
        <v>123</v>
      </c>
      <c r="P16">
        <f>P15/P14</f>
        <v>0.95238095238095233</v>
      </c>
      <c r="Q16">
        <f>((Q15/P14)^2+((Q14*P15)/(P14^2))^2)^0.5</f>
        <v>1.3468700594029477E-2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0.94100476412512657</v>
      </c>
      <c r="L18">
        <f>((J14*Q$16)^2+(K14*P$16)^2)^0.5</f>
        <v>1.3398915253643694E-2</v>
      </c>
      <c r="M18" s="3">
        <f t="shared" ref="M18:M19" si="1">L18/K18</f>
        <v>1.4238945183344495E-2</v>
      </c>
    </row>
    <row r="19" spans="3:13" x14ac:dyDescent="0.25">
      <c r="C19" t="s">
        <v>87</v>
      </c>
      <c r="E19">
        <f>E16*E13</f>
        <v>1.2316670177938079E-2</v>
      </c>
      <c r="F19">
        <f>((F16*E13)^2+(E16*F13)^2)^0.5</f>
        <v>1.6884528266072065E-3</v>
      </c>
      <c r="G19" s="3">
        <f t="shared" si="0"/>
        <v>0.13708679393165893</v>
      </c>
      <c r="K19">
        <f>J15*P16</f>
        <v>0.81412803766051944</v>
      </c>
      <c r="L19">
        <f>((J15*Q$16)^2+(K15*P$16)^2)^0.5</f>
        <v>1.6583950140928189E-2</v>
      </c>
      <c r="M19" s="3">
        <f t="shared" si="1"/>
        <v>2.0370199002829915E-2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5.8995235874873431E-2</v>
      </c>
      <c r="L21">
        <f>L18</f>
        <v>1.3398915253643694E-2</v>
      </c>
      <c r="M21" s="3">
        <f>L21/K21</f>
        <v>0.22711859788241656</v>
      </c>
    </row>
    <row r="22" spans="3:13" x14ac:dyDescent="0.25">
      <c r="C22" t="s">
        <v>89</v>
      </c>
      <c r="E22">
        <f>E19+E13</f>
        <v>2.478889679260373E-2</v>
      </c>
      <c r="F22">
        <f>((F19^2+F13^2)^0.5)</f>
        <v>2.4028620481892013E-3</v>
      </c>
      <c r="G22" s="3">
        <f t="shared" si="0"/>
        <v>9.6932996586848674E-2</v>
      </c>
      <c r="K22">
        <f>1-K19</f>
        <v>0.18587196233948056</v>
      </c>
      <c r="L22">
        <f>L19</f>
        <v>1.6583950140928189E-2</v>
      </c>
      <c r="M22" s="3">
        <f t="shared" ref="M22" si="2">L22/K22</f>
        <v>8.9222440717760892E-2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5.5514798018941477E-2</v>
      </c>
      <c r="L24">
        <f>((L21*K18)^2+(K21*L18)^2)^0.5</f>
        <v>1.2633197668958198E-2</v>
      </c>
      <c r="M24" s="3">
        <f t="shared" ref="M24:M25" si="3">L24/K24</f>
        <v>0.22756450747866885</v>
      </c>
    </row>
    <row r="25" spans="3:13" x14ac:dyDescent="0.25">
      <c r="C25" t="s">
        <v>90</v>
      </c>
      <c r="E25">
        <f>1-E22</f>
        <v>0.97521110320739623</v>
      </c>
      <c r="F25">
        <f>F22</f>
        <v>2.4028620481892013E-3</v>
      </c>
      <c r="G25" s="3">
        <f t="shared" si="0"/>
        <v>2.4639404127848505E-3</v>
      </c>
      <c r="K25">
        <f>K22*K19</f>
        <v>0.15132357595555126</v>
      </c>
      <c r="L25">
        <f>((L22*K19)^2+(K22*L19)^2)^0.5</f>
        <v>1.3848867906085751E-2</v>
      </c>
      <c r="M25" s="3">
        <f t="shared" si="3"/>
        <v>9.1518243727954335E-2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0.99651956214406801</v>
      </c>
      <c r="L27">
        <f>((L24^2+L18^2)^0.5)</f>
        <v>1.841544496658434E-2</v>
      </c>
      <c r="M27" s="3">
        <f t="shared" ref="M27:M28" si="4">L27/K27</f>
        <v>1.8479762632017453E-2</v>
      </c>
    </row>
    <row r="28" spans="3:13" x14ac:dyDescent="0.25">
      <c r="C28" t="s">
        <v>92</v>
      </c>
      <c r="E28">
        <f>E13*E25</f>
        <v>1.216305387634074E-2</v>
      </c>
      <c r="F28">
        <f>((F25*E13)^2+(E25*F13)^2)^0.5</f>
        <v>1.6675304179704523E-3</v>
      </c>
      <c r="G28" s="3">
        <f t="shared" si="0"/>
        <v>0.13709800473827463</v>
      </c>
      <c r="K28">
        <f>K25+K19</f>
        <v>0.96545161361607068</v>
      </c>
      <c r="L28">
        <f>((L25^2+L19^2)^0.5)</f>
        <v>2.160598399881394E-2</v>
      </c>
      <c r="M28" s="3">
        <f t="shared" si="4"/>
        <v>2.2379147431210313E-2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3.4804378559319948E-3</v>
      </c>
      <c r="L30">
        <f>L27</f>
        <v>1.841544496658434E-2</v>
      </c>
      <c r="M30" s="3">
        <f t="shared" ref="M30:M31" si="5">L30/K30</f>
        <v>5.2911287972567562</v>
      </c>
    </row>
    <row r="31" spans="3:13" x14ac:dyDescent="0.25">
      <c r="C31" t="s">
        <v>91</v>
      </c>
      <c r="E31" s="6">
        <f>E28+E22</f>
        <v>3.6951950668944467E-2</v>
      </c>
      <c r="F31">
        <f>((F28^2)+F22^2)^0.5</f>
        <v>2.9247912263073951E-3</v>
      </c>
      <c r="G31" s="3">
        <f t="shared" si="0"/>
        <v>7.9151199689316484E-2</v>
      </c>
      <c r="K31">
        <f>1-K28</f>
        <v>3.4548386383929319E-2</v>
      </c>
      <c r="L31">
        <f>L28</f>
        <v>2.160598399881394E-2</v>
      </c>
      <c r="M31" s="3">
        <f t="shared" si="5"/>
        <v>0.62538330325216795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3.2751086036734481E-3</v>
      </c>
      <c r="L33">
        <f>((L30*K18)^2+(K30*L18)^2)^0.5</f>
        <v>1.7329084195377889E-2</v>
      </c>
      <c r="M33" s="3">
        <f t="shared" ref="M33:M34" si="6">L33/K33</f>
        <v>5.2911479564192563</v>
      </c>
    </row>
    <row r="34" spans="3:13" x14ac:dyDescent="0.25">
      <c r="C34" t="s">
        <v>93</v>
      </c>
      <c r="E34">
        <f>1-E31</f>
        <v>0.96304804933105559</v>
      </c>
      <c r="F34">
        <f>F31</f>
        <v>2.9247912263073951E-3</v>
      </c>
      <c r="G34" s="3">
        <f t="shared" si="0"/>
        <v>3.0370148491957274E-3</v>
      </c>
      <c r="K34">
        <f>K19*K31</f>
        <v>2.8126810011085787E-2</v>
      </c>
      <c r="L34">
        <f>((L31*K19)^2+(K31*L19)^2)^0.5</f>
        <v>1.7599366021865372E-2</v>
      </c>
      <c r="M34" s="3">
        <f t="shared" si="6"/>
        <v>0.62571496785198288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0.99979467074774142</v>
      </c>
      <c r="L36">
        <f>((L33^2)+L27^2)^0.5</f>
        <v>2.528686956441608E-2</v>
      </c>
      <c r="M36" s="3">
        <f t="shared" ref="M36:M37" si="7">L36/K36</f>
        <v>2.5292062764751645E-2</v>
      </c>
    </row>
    <row r="37" spans="3:13" x14ac:dyDescent="0.25">
      <c r="C37" t="s">
        <v>94</v>
      </c>
      <c r="E37">
        <f>E34*E13</f>
        <v>1.2011353512068633E-2</v>
      </c>
      <c r="F37">
        <f>((F34*E13)^2+(E34*F13)^2)^0.5</f>
        <v>1.6468706905610783E-3</v>
      </c>
      <c r="G37" s="3">
        <f t="shared" si="0"/>
        <v>0.13710950134856609</v>
      </c>
      <c r="K37">
        <f>K34+K28</f>
        <v>0.99357842362715643</v>
      </c>
      <c r="L37">
        <f>((L34^2)+L28^2)^0.5</f>
        <v>2.7866758493384075E-2</v>
      </c>
      <c r="M37" s="3">
        <f t="shared" si="7"/>
        <v>2.8046863569816376E-2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4.89633041810131E-2</v>
      </c>
      <c r="F40">
        <f>(F37^2+F31^2)^0.5</f>
        <v>3.3565736680302187E-3</v>
      </c>
      <c r="G40" s="3">
        <f t="shared" si="0"/>
        <v>6.8552842259608462E-2</v>
      </c>
      <c r="J40" t="s">
        <v>79</v>
      </c>
      <c r="K40">
        <f>K36*E40</f>
        <v>4.8953250582377504E-2</v>
      </c>
      <c r="L40">
        <f>((F40*K36)^2+(L36*E40)^2)^0.5</f>
        <v>3.5769991875862265E-3</v>
      </c>
      <c r="M40" s="3">
        <f>L40/K40</f>
        <v>7.3069697007493453E-2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0.98218185054633467</v>
      </c>
      <c r="L41">
        <f>((F41*K37)^2+(L37*E41)^2)^0.5</f>
        <v>3.3201036622038181E-2</v>
      </c>
      <c r="M41" s="3">
        <f>L41/K41</f>
        <v>3.3803349760098134E-2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0.23753632653680837</v>
      </c>
      <c r="I46" t="s">
        <v>132</v>
      </c>
      <c r="K46" s="3">
        <f>ABS(K40-K43)/K43</f>
        <v>0.93860889117055479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1.4956976708179431E-12</v>
      </c>
    </row>
    <row r="49" spans="2:9" x14ac:dyDescent="0.25">
      <c r="B49" t="s">
        <v>131</v>
      </c>
      <c r="H49" t="s">
        <v>97</v>
      </c>
      <c r="I49" s="3">
        <f>AVERAGE(K46,K47)</f>
        <v>0.46930444558602524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P7" sqref="P7:Q7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1.2693875869717425E-2</v>
      </c>
      <c r="C2">
        <f>'Exp1'!AO7</f>
        <v>1.7523249542435925E-3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78.778145482390059</v>
      </c>
      <c r="C5">
        <f>C2/B2^2</f>
        <v>10.874922017092107</v>
      </c>
      <c r="E5">
        <f>B5*F1</f>
        <v>56.270103915992898</v>
      </c>
      <c r="F5">
        <f>((C5*F$1)^2+(G$1*B5)^2)^0.5</f>
        <v>7.808457219088055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Exp2_Act_C2!K7*'Exp2'!C2</f>
        <v>0.02</v>
      </c>
      <c r="O7" t="s">
        <v>79</v>
      </c>
      <c r="P7">
        <f>'Exp1'!AN12</f>
        <v>1.2693875869717425E-2</v>
      </c>
      <c r="Q7">
        <f>'Exp1'!AO12</f>
        <v>1.7523249542435925E-3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0.73362743377730777</v>
      </c>
      <c r="Q8">
        <f>P8*0.1</f>
        <v>7.3362743377730785E-2</v>
      </c>
    </row>
    <row r="9" spans="1:19" x14ac:dyDescent="0.25">
      <c r="A9" t="s">
        <v>79</v>
      </c>
      <c r="E9">
        <f>(1/(1+E5))</f>
        <v>1.7461117260531914E-2</v>
      </c>
      <c r="F9">
        <f>F5/((1+E5)^2)</f>
        <v>2.3807253314284413E-3</v>
      </c>
      <c r="G9" s="3">
        <f>F9/E9</f>
        <v>0.13634438712634347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1.2089405590207072E-2</v>
      </c>
      <c r="Q10">
        <f>((L$9*P7)^2+(Q7*K$9)^2)^0.5</f>
        <v>1.6776156393147506E-3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1.2472226614665653E-2</v>
      </c>
      <c r="F13">
        <f>((F9*F$1)^2+(E9*G$1)^2)^0.5</f>
        <v>1.7096412123454845E-3</v>
      </c>
      <c r="G13" s="3">
        <f t="shared" si="0"/>
        <v>0.13707586184612597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0.98805500233138299</v>
      </c>
      <c r="K14">
        <f>Q10/((1+P10)^2)</f>
        <v>1.6377767766946176E-3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0.98752777338533437</v>
      </c>
      <c r="F16">
        <f>F13</f>
        <v>1.7096412123454845E-3</v>
      </c>
      <c r="G16" s="3">
        <f t="shared" si="0"/>
        <v>1.7312335494977322E-3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21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  <c r="S17" t="s">
        <v>137</v>
      </c>
    </row>
    <row r="18" spans="3:21" x14ac:dyDescent="0.25">
      <c r="G18" s="3"/>
      <c r="J18" t="s">
        <v>124</v>
      </c>
      <c r="K18">
        <f>J14*P16*P19</f>
        <v>0.87577602479372585</v>
      </c>
      <c r="L18">
        <f>((J14*Q$16)^2+(K14*P$16)^2)^0.5</f>
        <v>1.2789873651205347E-2</v>
      </c>
      <c r="M18" s="3">
        <f>L18/K18</f>
        <v>1.4604046341891792E-2</v>
      </c>
      <c r="P18" t="s">
        <v>136</v>
      </c>
      <c r="S18">
        <f>J14*P16*(1-P19)</f>
        <v>2.2455795507531452E-2</v>
      </c>
      <c r="T18">
        <f>((J14*Q$16)^2+(K14*P$16)^2)^0.5</f>
        <v>1.2789873651205347E-2</v>
      </c>
      <c r="U18">
        <f>L18/K18</f>
        <v>1.4604046341891792E-2</v>
      </c>
    </row>
    <row r="19" spans="3:21" x14ac:dyDescent="0.25">
      <c r="C19" t="s">
        <v>87</v>
      </c>
      <c r="E19">
        <f>E16*E13</f>
        <v>1.2316670177938079E-2</v>
      </c>
      <c r="F19">
        <f>((F16*E13)^2+(E16*F13)^2)^0.5</f>
        <v>1.6884528266072065E-3</v>
      </c>
      <c r="G19" s="3">
        <f t="shared" si="0"/>
        <v>0.13708679393165893</v>
      </c>
      <c r="K19">
        <f>J15*P16*P19</f>
        <v>0.52179160319980655</v>
      </c>
      <c r="L19">
        <f>((J15*Q$16)^2+(K15*P$16)^2)^0.5</f>
        <v>2.3484255625254448E-2</v>
      </c>
      <c r="M19" s="3">
        <f>L19/K19</f>
        <v>4.500696347208516E-2</v>
      </c>
      <c r="P19">
        <f>1.95/2</f>
        <v>0.97499999999999998</v>
      </c>
      <c r="S19">
        <f>J15*P16*(1-P19)</f>
        <v>1.3379271876918128E-2</v>
      </c>
      <c r="T19">
        <f>((J15*Q$16)^2+(K15*P$16)^2)^0.5</f>
        <v>2.3484255625254448E-2</v>
      </c>
      <c r="U19">
        <f>L19/K19</f>
        <v>4.500696347208516E-2</v>
      </c>
    </row>
    <row r="20" spans="3:21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21" x14ac:dyDescent="0.25">
      <c r="G21" s="3"/>
      <c r="J21" t="s">
        <v>88</v>
      </c>
      <c r="K21">
        <f>1-K18-S18</f>
        <v>0.1017681796987427</v>
      </c>
      <c r="L21">
        <f>L18</f>
        <v>1.2789873651205347E-2</v>
      </c>
      <c r="M21" s="3">
        <f>L21/K21</f>
        <v>0.12567654928157626</v>
      </c>
    </row>
    <row r="22" spans="3:21" x14ac:dyDescent="0.25">
      <c r="C22" t="s">
        <v>89</v>
      </c>
      <c r="E22">
        <f>E19+E13</f>
        <v>2.478889679260373E-2</v>
      </c>
      <c r="F22">
        <f>((F19^2+F13^2)^0.5)</f>
        <v>2.4028620481892013E-3</v>
      </c>
      <c r="G22" s="3">
        <f t="shared" si="0"/>
        <v>9.6932996586848674E-2</v>
      </c>
      <c r="K22">
        <f>1-K19-S19</f>
        <v>0.46482912492327533</v>
      </c>
      <c r="L22">
        <f>L19</f>
        <v>2.3484255625254448E-2</v>
      </c>
      <c r="M22" s="3">
        <f t="shared" ref="M22" si="1">L22/K22</f>
        <v>5.052234114876248E-2</v>
      </c>
    </row>
    <row r="23" spans="3:21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21" x14ac:dyDescent="0.25">
      <c r="G24" s="3"/>
      <c r="J24" t="s">
        <v>125</v>
      </c>
      <c r="K24">
        <f>K21*K18</f>
        <v>8.9126131867058436E-2</v>
      </c>
      <c r="L24">
        <f>((L21*K18)^2+(K21*L18)^2)^0.5</f>
        <v>1.1276436435473755E-2</v>
      </c>
      <c r="M24" s="3">
        <f t="shared" ref="M24:M25" si="2">L24/K24</f>
        <v>0.12652222416982953</v>
      </c>
    </row>
    <row r="25" spans="3:21" x14ac:dyDescent="0.25">
      <c r="C25" t="s">
        <v>90</v>
      </c>
      <c r="E25">
        <f>1-E22</f>
        <v>0.97521110320739623</v>
      </c>
      <c r="F25">
        <f>F22</f>
        <v>2.4028620481892013E-3</v>
      </c>
      <c r="G25" s="3">
        <f t="shared" si="0"/>
        <v>2.4639404127848505E-3</v>
      </c>
      <c r="K25">
        <f>K22*K19</f>
        <v>0.24254393430767898</v>
      </c>
      <c r="L25">
        <f>((L22*K19)^2+(K22*L19)^2)^0.5</f>
        <v>1.6410985229155947E-2</v>
      </c>
      <c r="M25" s="3">
        <f t="shared" si="2"/>
        <v>6.7661907423080717E-2</v>
      </c>
    </row>
    <row r="26" spans="3:21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21" x14ac:dyDescent="0.25">
      <c r="G27" s="3"/>
      <c r="J27" t="s">
        <v>89</v>
      </c>
      <c r="K27">
        <f>K24+K18</f>
        <v>0.96490215666078427</v>
      </c>
      <c r="L27">
        <f>((L24^2+L18^2)^0.5)</f>
        <v>1.7051067025176954E-2</v>
      </c>
      <c r="M27" s="3">
        <f t="shared" ref="M27:M28" si="3">L27/K27</f>
        <v>1.7671291236600824E-2</v>
      </c>
    </row>
    <row r="28" spans="3:21" x14ac:dyDescent="0.25">
      <c r="C28" t="s">
        <v>92</v>
      </c>
      <c r="E28">
        <f>E13*E25</f>
        <v>1.216305387634074E-2</v>
      </c>
      <c r="F28">
        <f>((F25*E13)^2+(E25*F13)^2)^0.5</f>
        <v>1.6675304179704523E-3</v>
      </c>
      <c r="G28" s="3">
        <f t="shared" si="0"/>
        <v>0.13709800473827463</v>
      </c>
      <c r="K28">
        <f>K25+K19</f>
        <v>0.76433553750748551</v>
      </c>
      <c r="L28">
        <f>((L25^2+L19^2)^0.5)</f>
        <v>2.8650143079291417E-2</v>
      </c>
      <c r="M28" s="3">
        <f t="shared" si="3"/>
        <v>3.7483724978587471E-2</v>
      </c>
    </row>
    <row r="29" spans="3:21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21" x14ac:dyDescent="0.25">
      <c r="G30" s="3"/>
      <c r="J30" t="s">
        <v>90</v>
      </c>
      <c r="K30">
        <f>1-K27</f>
        <v>3.5097843339215729E-2</v>
      </c>
      <c r="L30">
        <f>L27</f>
        <v>1.7051067025176954E-2</v>
      </c>
      <c r="M30" s="3">
        <f t="shared" ref="M30:M31" si="4">L30/K30</f>
        <v>0.48581523543714022</v>
      </c>
    </row>
    <row r="31" spans="3:21" x14ac:dyDescent="0.25">
      <c r="C31" t="s">
        <v>91</v>
      </c>
      <c r="E31" s="6">
        <f>E28+E22</f>
        <v>3.6951950668944467E-2</v>
      </c>
      <c r="F31">
        <f>((F28^2)+F22^2)^0.5</f>
        <v>2.9247912263073951E-3</v>
      </c>
      <c r="G31" s="3">
        <f t="shared" si="0"/>
        <v>7.9151199689316484E-2</v>
      </c>
      <c r="K31">
        <f>1-K28</f>
        <v>0.23566446249251449</v>
      </c>
      <c r="L31">
        <f>L28</f>
        <v>2.8650143079291417E-2</v>
      </c>
      <c r="M31" s="3">
        <f t="shared" si="4"/>
        <v>0.12157175832228605</v>
      </c>
    </row>
    <row r="32" spans="3:21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3.07378497184513E-2</v>
      </c>
      <c r="L33">
        <f>((L30*K18)^2+(K30*L18)^2)^0.5</f>
        <v>1.4939661299301299E-2</v>
      </c>
      <c r="M33" s="3">
        <f t="shared" ref="M33:M34" si="5">L33/K33</f>
        <v>0.48603469130546656</v>
      </c>
    </row>
    <row r="34" spans="3:13" x14ac:dyDescent="0.25">
      <c r="C34" t="s">
        <v>93</v>
      </c>
      <c r="E34">
        <f>1-E31</f>
        <v>0.96304804933105559</v>
      </c>
      <c r="F34">
        <f>F31</f>
        <v>2.9247912263073951E-3</v>
      </c>
      <c r="G34" s="3">
        <f t="shared" si="0"/>
        <v>3.0370148491957274E-3</v>
      </c>
      <c r="K34">
        <f>K19*K31</f>
        <v>0.12296773770118982</v>
      </c>
      <c r="L34">
        <f>((L31*K19)^2+(K31*L19)^2)^0.5</f>
        <v>1.5940963445173671E-2</v>
      </c>
      <c r="M34" s="3">
        <f t="shared" si="5"/>
        <v>0.1296353315363907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0.99564000637923555</v>
      </c>
      <c r="L36">
        <f>((L33^2)+L27^2)^0.5</f>
        <v>2.2670076454103939E-2</v>
      </c>
      <c r="M36" s="3">
        <f t="shared" ref="M36:M37" si="6">L36/K36</f>
        <v>2.276935067780813E-2</v>
      </c>
    </row>
    <row r="37" spans="3:13" x14ac:dyDescent="0.25">
      <c r="C37" t="s">
        <v>94</v>
      </c>
      <c r="E37">
        <f>E34*E13</f>
        <v>1.2011353512068633E-2</v>
      </c>
      <c r="F37">
        <f>((F34*E13)^2+(E34*F13)^2)^0.5</f>
        <v>1.6468706905610783E-3</v>
      </c>
      <c r="G37" s="3">
        <f t="shared" si="0"/>
        <v>0.13710950134856609</v>
      </c>
      <c r="K37">
        <f>K34+K28</f>
        <v>0.88730327520867536</v>
      </c>
      <c r="L37">
        <f>((L34^2)+L28^2)^0.5</f>
        <v>3.2786354082517823E-2</v>
      </c>
      <c r="M37" s="3">
        <f t="shared" si="6"/>
        <v>3.695056132279817E-2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4.89633041810131E-2</v>
      </c>
      <c r="F40">
        <f>(F37^2+F31^2)^0.5</f>
        <v>3.3565736680302187E-3</v>
      </c>
      <c r="G40" s="3">
        <f t="shared" si="0"/>
        <v>6.8552842259608462E-2</v>
      </c>
      <c r="J40" t="s">
        <v>79</v>
      </c>
      <c r="K40">
        <f>K36*E40</f>
        <v>4.8749824487132332E-2</v>
      </c>
      <c r="L40">
        <f>((F40*K36)^2+(L36*E40)^2)^0.5</f>
        <v>3.5214571662640563E-3</v>
      </c>
      <c r="M40" s="3">
        <f>L40/K40</f>
        <v>7.2235278861230684E-2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0.87712570252764577</v>
      </c>
      <c r="L41">
        <f>((F41*K37)^2+(L37*E41)^2)^0.5</f>
        <v>3.6391562548876155E-2</v>
      </c>
      <c r="M41" s="3">
        <f>L41/K41</f>
        <v>4.1489563518666978E-2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0.23753632653680837</v>
      </c>
      <c r="I46" t="s">
        <v>132</v>
      </c>
      <c r="K46" s="3">
        <f>ABS(K40-K43)/K43</f>
        <v>0.99642437525567973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8.7521641470748431E-12</v>
      </c>
    </row>
    <row r="49" spans="2:9" x14ac:dyDescent="0.25">
      <c r="B49" t="s">
        <v>131</v>
      </c>
      <c r="H49" t="s">
        <v>97</v>
      </c>
      <c r="I49" s="3">
        <f>AVERAGE(K46,K47)</f>
        <v>0.49821218763221592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S13" sqref="S1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1.2693875869717425E-2</v>
      </c>
      <c r="C2">
        <f>'Exp1'!AO7</f>
        <v>1.7523249542435925E-3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78.778145482390059</v>
      </c>
      <c r="C5">
        <f>C2/B2^2</f>
        <v>10.874922017092107</v>
      </c>
      <c r="E5">
        <f>B5*F1</f>
        <v>56.270103915992898</v>
      </c>
      <c r="F5">
        <f>((C5*F$1)^2+(G$1*B5)^2)^0.5</f>
        <v>7.808457219088055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Exp2_Act_C3!K7*'Exp2'!C2</f>
        <v>0.02</v>
      </c>
      <c r="O7" t="s">
        <v>79</v>
      </c>
      <c r="P7">
        <f>'Exp1'!AN12</f>
        <v>1.2693875869717425E-2</v>
      </c>
      <c r="Q7">
        <f>'Exp1'!AO12</f>
        <v>1.7523249542435925E-3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0.20287041525709198</v>
      </c>
      <c r="Q8">
        <f>P8*0.1</f>
        <v>2.0287041525709201E-2</v>
      </c>
    </row>
    <row r="9" spans="1:19" x14ac:dyDescent="0.25">
      <c r="A9" t="s">
        <v>79</v>
      </c>
      <c r="E9">
        <f>(1/(1+E5))</f>
        <v>1.7461117260531914E-2</v>
      </c>
      <c r="F9">
        <f>F5/((1+E5)^2)</f>
        <v>2.3807253314284413E-3</v>
      </c>
      <c r="G9" s="3">
        <f>F9/E9</f>
        <v>0.13634438712634347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1.2089405590207072E-2</v>
      </c>
      <c r="Q10">
        <f>((L$9*P7)^2+(Q7*K$9)^2)^0.5</f>
        <v>1.6776156393147506E-3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1.2472226614665653E-2</v>
      </c>
      <c r="F13">
        <f>((F9*F$1)^2+(E9*G$1)^2)^0.5</f>
        <v>1.7096412123454845E-3</v>
      </c>
      <c r="G13" s="3">
        <f t="shared" si="0"/>
        <v>0.13707586184612597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0.98805500233138299</v>
      </c>
      <c r="K14">
        <f>Q10/((1+P10)^2)</f>
        <v>1.6377767766946176E-3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0.98752777338533437</v>
      </c>
      <c r="F16">
        <f>F13</f>
        <v>1.7096412123454845E-3</v>
      </c>
      <c r="G16" s="3">
        <f t="shared" si="0"/>
        <v>1.7312335494977322E-3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0.89823182030125726</v>
      </c>
      <c r="L18">
        <f>((J14*Q$16)^2+(K14*P$16)^2)^0.5</f>
        <v>1.2789873651205347E-2</v>
      </c>
      <c r="M18" s="3">
        <f t="shared" ref="M18:M19" si="1">L18/K18</f>
        <v>1.4238945183344497E-2</v>
      </c>
    </row>
    <row r="19" spans="3:13" x14ac:dyDescent="0.25">
      <c r="C19" t="s">
        <v>87</v>
      </c>
      <c r="E19">
        <f>E16*E13</f>
        <v>1.2316670177938079E-2</v>
      </c>
      <c r="F19">
        <f>((F16*E13)^2+(E16*F13)^2)^0.5</f>
        <v>1.6884528266072065E-3</v>
      </c>
      <c r="G19" s="3">
        <f t="shared" si="0"/>
        <v>0.13708679393165893</v>
      </c>
      <c r="K19">
        <f>J15*P16</f>
        <v>0.76188681839819772</v>
      </c>
      <c r="L19">
        <f>((J15*Q$16)^2+(K15*P$16)^2)^0.5</f>
        <v>1.647225634110961E-2</v>
      </c>
      <c r="M19" s="3">
        <f t="shared" si="1"/>
        <v>2.1620345625274276E-2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0.10176817969874274</v>
      </c>
      <c r="L21">
        <f>L18</f>
        <v>1.2789873651205347E-2</v>
      </c>
      <c r="M21" s="3">
        <f>L21/K21</f>
        <v>0.12567654928157621</v>
      </c>
    </row>
    <row r="22" spans="3:13" x14ac:dyDescent="0.25">
      <c r="C22" t="s">
        <v>89</v>
      </c>
      <c r="E22">
        <f>E19+E13</f>
        <v>2.478889679260373E-2</v>
      </c>
      <c r="F22">
        <f>((F19^2+F13^2)^0.5)</f>
        <v>2.4028620481892013E-3</v>
      </c>
      <c r="G22" s="3">
        <f t="shared" si="0"/>
        <v>9.6932996586848674E-2</v>
      </c>
      <c r="K22">
        <f>1-K19</f>
        <v>0.23811318160180228</v>
      </c>
      <c r="L22">
        <f>L19</f>
        <v>1.647225634110961E-2</v>
      </c>
      <c r="M22" s="3">
        <f t="shared" ref="M22" si="2">L22/K22</f>
        <v>6.9178263170059345E-2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9.1411417299547146E-2</v>
      </c>
      <c r="L24">
        <f>((L21*K18)^2+(K21*L18)^2)^0.5</f>
        <v>1.1561771059718064E-2</v>
      </c>
      <c r="M24" s="3">
        <f t="shared" ref="M24:M25" si="3">L24/K24</f>
        <v>0.12648060167179292</v>
      </c>
    </row>
    <row r="25" spans="3:13" x14ac:dyDescent="0.25">
      <c r="C25" t="s">
        <v>90</v>
      </c>
      <c r="E25">
        <f>1-E22</f>
        <v>0.97521110320739623</v>
      </c>
      <c r="F25">
        <f>F22</f>
        <v>2.4028620481892013E-3</v>
      </c>
      <c r="G25" s="3">
        <f t="shared" si="0"/>
        <v>2.4639404127848505E-3</v>
      </c>
      <c r="K25">
        <f>K22*K19</f>
        <v>0.1814152943492694</v>
      </c>
      <c r="L25">
        <f>((L22*K19)^2+(K22*L19)^2)^0.5</f>
        <v>1.3148631415717546E-2</v>
      </c>
      <c r="M25" s="3">
        <f t="shared" si="3"/>
        <v>7.247807558277404E-2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0.98964323760080442</v>
      </c>
      <c r="L27">
        <f>((L24^2+L18^2)^0.5)</f>
        <v>1.7241096776340274E-2</v>
      </c>
      <c r="M27" s="3">
        <f t="shared" ref="M27:M28" si="4">L27/K27</f>
        <v>1.7421527396213939E-2</v>
      </c>
    </row>
    <row r="28" spans="3:13" x14ac:dyDescent="0.25">
      <c r="C28" t="s">
        <v>92</v>
      </c>
      <c r="E28">
        <f>E13*E25</f>
        <v>1.216305387634074E-2</v>
      </c>
      <c r="F28">
        <f>((F25*E13)^2+(E25*F13)^2)^0.5</f>
        <v>1.6675304179704523E-3</v>
      </c>
      <c r="G28" s="3">
        <f t="shared" si="0"/>
        <v>0.13709800473827463</v>
      </c>
      <c r="K28">
        <f>K25+K19</f>
        <v>0.94330211274746711</v>
      </c>
      <c r="L28">
        <f>((L25^2+L19^2)^0.5)</f>
        <v>2.1076568436859455E-2</v>
      </c>
      <c r="M28" s="3">
        <f t="shared" si="4"/>
        <v>2.234339153070666E-2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1.0356762399195585E-2</v>
      </c>
      <c r="L30">
        <f>L27</f>
        <v>1.7241096776340274E-2</v>
      </c>
      <c r="M30" s="3">
        <f t="shared" ref="M30:M31" si="5">L30/K30</f>
        <v>1.6647187713487952</v>
      </c>
    </row>
    <row r="31" spans="3:13" x14ac:dyDescent="0.25">
      <c r="C31" t="s">
        <v>91</v>
      </c>
      <c r="E31" s="6">
        <f>E28+E22</f>
        <v>3.6951950668944467E-2</v>
      </c>
      <c r="F31">
        <f>((F28^2)+F22^2)^0.5</f>
        <v>2.9247912263073951E-3</v>
      </c>
      <c r="G31" s="3">
        <f t="shared" si="0"/>
        <v>7.9151199689316484E-2</v>
      </c>
      <c r="K31">
        <f>1-K28</f>
        <v>5.6697887252532886E-2</v>
      </c>
      <c r="L31">
        <f>L28</f>
        <v>2.1076568436859455E-2</v>
      </c>
      <c r="M31" s="3">
        <f t="shared" si="5"/>
        <v>0.37173463524283074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4" x14ac:dyDescent="0.25">
      <c r="G33" s="3"/>
      <c r="J33" t="s">
        <v>92</v>
      </c>
      <c r="K33">
        <f>K18*K30</f>
        <v>9.3027735422570659E-3</v>
      </c>
      <c r="L33">
        <f>((L30*K18)^2+(K30*L18)^2)^0.5</f>
        <v>1.5487068227517812E-2</v>
      </c>
      <c r="M33" s="3">
        <f t="shared" ref="M33:M34" si="6">L33/K33</f>
        <v>1.6647796656738023</v>
      </c>
    </row>
    <row r="34" spans="3:14" x14ac:dyDescent="0.25">
      <c r="C34" t="s">
        <v>93</v>
      </c>
      <c r="E34">
        <f>1-E31</f>
        <v>0.96304804933105559</v>
      </c>
      <c r="F34">
        <f>F31</f>
        <v>2.9247912263073951E-3</v>
      </c>
      <c r="G34" s="3">
        <f t="shared" si="0"/>
        <v>3.0370148491957274E-3</v>
      </c>
      <c r="K34">
        <f>K19*K31</f>
        <v>4.3197372928732013E-2</v>
      </c>
      <c r="L34">
        <f>((L31*K19)^2+(K31*L19)^2)^0.5</f>
        <v>1.6085096102984552E-2</v>
      </c>
      <c r="M34" s="3">
        <f t="shared" si="6"/>
        <v>0.37236283163612982</v>
      </c>
    </row>
    <row r="35" spans="3:14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4" x14ac:dyDescent="0.25">
      <c r="G36" s="3"/>
      <c r="J36" t="s">
        <v>91</v>
      </c>
      <c r="K36" s="6">
        <f>K33+K27</f>
        <v>0.99894601114306147</v>
      </c>
      <c r="L36">
        <f>((L33^2)+L27^2)^0.5</f>
        <v>2.3175519418880835E-2</v>
      </c>
      <c r="M36" s="3">
        <f t="shared" ref="M36:M37" si="7">L36/K36</f>
        <v>2.319997193077716E-2</v>
      </c>
    </row>
    <row r="37" spans="3:14" x14ac:dyDescent="0.25">
      <c r="C37" t="s">
        <v>94</v>
      </c>
      <c r="E37">
        <f>E34*E13</f>
        <v>1.2011353512068633E-2</v>
      </c>
      <c r="F37">
        <f>((F34*E13)^2+(E34*F13)^2)^0.5</f>
        <v>1.6468706905610783E-3</v>
      </c>
      <c r="G37" s="3">
        <f t="shared" si="0"/>
        <v>0.13710950134856609</v>
      </c>
      <c r="K37">
        <f>K34+K28</f>
        <v>0.98649948567619916</v>
      </c>
      <c r="L37">
        <f>((L34^2)+L28^2)^0.5</f>
        <v>2.6513242987531136E-2</v>
      </c>
      <c r="M37" s="3">
        <f t="shared" si="7"/>
        <v>2.6876083943781836E-2</v>
      </c>
    </row>
    <row r="38" spans="3:14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4" x14ac:dyDescent="0.25">
      <c r="G39" s="3"/>
      <c r="I39" t="s">
        <v>126</v>
      </c>
    </row>
    <row r="40" spans="3:14" x14ac:dyDescent="0.25">
      <c r="C40" t="s">
        <v>95</v>
      </c>
      <c r="E40">
        <f>E37+E31</f>
        <v>4.89633041810131E-2</v>
      </c>
      <c r="F40">
        <f>(F37^2+F31^2)^0.5</f>
        <v>3.3565736680302187E-3</v>
      </c>
      <c r="G40" s="3">
        <f t="shared" si="0"/>
        <v>6.8552842259608462E-2</v>
      </c>
      <c r="J40" t="s">
        <v>79</v>
      </c>
      <c r="K40">
        <f>K36*E40</f>
        <v>4.8911697404007422E-2</v>
      </c>
      <c r="L40">
        <f>((F40*K36)^2+(L36*E40)^2)^0.5</f>
        <v>3.5398456419858445E-3</v>
      </c>
      <c r="M40" s="3">
        <f>L40/K40</f>
        <v>7.2372169232790079E-2</v>
      </c>
    </row>
    <row r="41" spans="3:14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0.97518410964210689</v>
      </c>
      <c r="L41">
        <f>((F41*K37)^2+(L37*E41)^2)^0.5</f>
        <v>3.2023534456754786E-2</v>
      </c>
      <c r="M41" s="3">
        <f>L41/K41</f>
        <v>3.2838449827189496E-2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-1.016578067244172</v>
      </c>
      <c r="I46" t="s">
        <v>132</v>
      </c>
      <c r="K46" s="3">
        <f>ABS(K40-K43)/K43</f>
        <v>0.99577100126428053</v>
      </c>
    </row>
    <row r="47" spans="3:14" x14ac:dyDescent="0.25">
      <c r="C47" t="s">
        <v>130</v>
      </c>
      <c r="E47" s="58">
        <f>ABS(E41-E44)/E44</f>
        <v>7.6669292303328104E-3</v>
      </c>
      <c r="I47" t="s">
        <v>133</v>
      </c>
      <c r="K47" s="58">
        <f>ABS(K41-K44)/K44</f>
        <v>6.8681027298883317E-11</v>
      </c>
    </row>
    <row r="49" spans="2:9" x14ac:dyDescent="0.25">
      <c r="B49" t="s">
        <v>131</v>
      </c>
      <c r="H49" t="s">
        <v>97</v>
      </c>
      <c r="I49" s="3">
        <f>AVERAGE(K46,K47)</f>
        <v>0.4978855006664808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Exp2_Act_C1!B2</f>
        <v>1.2693875869717425E-2</v>
      </c>
      <c r="C2">
        <f>Exp2_Act_C1!C2</f>
        <v>1.7523249542435925E-3</v>
      </c>
      <c r="I2" t="s">
        <v>96</v>
      </c>
      <c r="J2" t="s">
        <v>97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I3">
        <f>((E43-E40)/E40)</f>
        <v>0.30511744105820099</v>
      </c>
      <c r="J3">
        <f>AVERAGE(I3:I4)</f>
        <v>0.14949255407021006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  <c r="I4">
        <f>((E44-E41)/E41)</f>
        <v>-6.132332917780859E-3</v>
      </c>
    </row>
    <row r="5" spans="1:19" x14ac:dyDescent="0.25">
      <c r="A5" t="s">
        <v>79</v>
      </c>
      <c r="B5">
        <f>1/B2</f>
        <v>78.778145482390059</v>
      </c>
      <c r="C5">
        <f>C2/B2^2</f>
        <v>10.874922017092107</v>
      </c>
      <c r="E5">
        <f>B5*F1</f>
        <v>78.778145482390059</v>
      </c>
      <c r="F5">
        <f>((C5*F$1)^2+(G$1*B5)^2)^0.5</f>
        <v>10.903998981877153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Exp2_eq_V_p_sep_C1!K7*'Exp2'!C2</f>
        <v>0.02</v>
      </c>
      <c r="O7" t="s">
        <v>79</v>
      </c>
      <c r="P7">
        <f>Exp2_Act_C1!P7</f>
        <v>1.2693875869717425E-2</v>
      </c>
      <c r="Q7">
        <f>C2</f>
        <v>1.7523249542435925E-3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Exp2_Act_C1!P8</f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1.2534761167401872E-2</v>
      </c>
      <c r="F9">
        <f>F5/((1+E5)^2)</f>
        <v>1.7132389099918765E-3</v>
      </c>
      <c r="G9" s="3">
        <f>F9/E9</f>
        <v>0.13667902300742329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1.2089405590207072E-2</v>
      </c>
      <c r="Q10">
        <f>((L$9*P7)^2+(Q7*K$9)^2)^0.5</f>
        <v>1.6776156393147506E-3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1.2534761167401872E-2</v>
      </c>
      <c r="F13">
        <f>((F9*F$1)^2+(E9*G$1)^2)^0.5</f>
        <v>1.7179115926055394E-3</v>
      </c>
      <c r="G13" s="3">
        <f t="shared" si="0"/>
        <v>0.13705180096076913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0.98805500233138299</v>
      </c>
      <c r="K14">
        <f>Q10/((1+P10)^2)</f>
        <v>1.6377767766946176E-3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0.98746523883259818</v>
      </c>
      <c r="F16">
        <f>F13</f>
        <v>1.7179115926055394E-3</v>
      </c>
      <c r="G16" s="3">
        <f t="shared" si="0"/>
        <v>1.7397185491172225E-3</v>
      </c>
      <c r="O16" t="s">
        <v>123</v>
      </c>
      <c r="P16">
        <v>1</v>
      </c>
      <c r="Q16">
        <f>((Q15/P14)^2+((Q14*P15)/(P14^2))^2)^0.5</f>
        <v>1.3468700594029477E-2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0.98805500233138299</v>
      </c>
      <c r="L18">
        <f>((J14*Q$16)^2+(K14*P$16)^2)^0.5</f>
        <v>1.3408217852925767E-2</v>
      </c>
      <c r="M18" s="3">
        <f t="shared" ref="M18:M19" si="1">L18/K18</f>
        <v>1.3570315236791641E-2</v>
      </c>
    </row>
    <row r="19" spans="3:13" x14ac:dyDescent="0.25">
      <c r="C19" t="s">
        <v>87</v>
      </c>
      <c r="E19">
        <f>E16*E13</f>
        <v>1.2377640929878067E-2</v>
      </c>
      <c r="F19">
        <f>((F16*E13)^2+(E16*F13)^2)^0.5</f>
        <v>1.6965146480761295E-3</v>
      </c>
      <c r="G19" s="3">
        <f t="shared" si="0"/>
        <v>0.13706284240165317</v>
      </c>
      <c r="K19">
        <f>J15*P16</f>
        <v>0.85483443954354543</v>
      </c>
      <c r="L19">
        <f>((J15*Q$16)^2+(K15*P$16)^2)^0.5</f>
        <v>1.7018525774731827E-2</v>
      </c>
      <c r="M19" s="3">
        <f t="shared" si="1"/>
        <v>1.9908563562108215E-2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1.1944997668617008E-2</v>
      </c>
      <c r="L21">
        <f>L18</f>
        <v>1.3408217852925767E-2</v>
      </c>
      <c r="M21" s="3">
        <f>L21/K21</f>
        <v>1.1224964813641667</v>
      </c>
    </row>
    <row r="22" spans="3:13" x14ac:dyDescent="0.25">
      <c r="C22" t="s">
        <v>89</v>
      </c>
      <c r="E22">
        <f>E19+E13</f>
        <v>2.4912402097279941E-2</v>
      </c>
      <c r="F22">
        <f>((F19^2+F13^2)^0.5)</f>
        <v>2.4144113549984343E-3</v>
      </c>
      <c r="G22" s="3">
        <f t="shared" si="0"/>
        <v>9.6916039873250578E-2</v>
      </c>
      <c r="K22">
        <f>1-K19</f>
        <v>0.14516556045645457</v>
      </c>
      <c r="L22">
        <f>L19</f>
        <v>1.7018525774731827E-2</v>
      </c>
      <c r="M22" s="3">
        <f t="shared" ref="M22" si="2">L22/K22</f>
        <v>0.1172352844656766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1.1802314699313742E-2</v>
      </c>
      <c r="L24">
        <f>((L21*K18)^2+(K21*L18)^2)^0.5</f>
        <v>1.3249024812997208E-2</v>
      </c>
      <c r="M24" s="3">
        <f t="shared" ref="M24:M25" si="3">L24/K24</f>
        <v>1.1225785068896346</v>
      </c>
    </row>
    <row r="25" spans="3:13" x14ac:dyDescent="0.25">
      <c r="C25" t="s">
        <v>90</v>
      </c>
      <c r="E25">
        <f>1-E22</f>
        <v>0.97508759790272004</v>
      </c>
      <c r="F25">
        <f>F22</f>
        <v>2.4144113549984343E-3</v>
      </c>
      <c r="G25" s="3">
        <f t="shared" si="0"/>
        <v>2.4760968760052971E-3</v>
      </c>
      <c r="K25">
        <f>K22*K19</f>
        <v>0.124092520513818</v>
      </c>
      <c r="L25">
        <f>((L22*K19)^2+(K22*L19)^2)^0.5</f>
        <v>1.4756298032519538E-2</v>
      </c>
      <c r="M25" s="3">
        <f t="shared" si="3"/>
        <v>0.1189136780477949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0.99985731703069669</v>
      </c>
      <c r="L27">
        <f>((L24^2+L18^2)^0.5)</f>
        <v>1.8849853168842801E-2</v>
      </c>
      <c r="M27" s="3">
        <f t="shared" ref="M27:M28" si="4">L27/K27</f>
        <v>1.8852543105672036E-2</v>
      </c>
    </row>
    <row r="28" spans="3:13" x14ac:dyDescent="0.25">
      <c r="C28" t="s">
        <v>92</v>
      </c>
      <c r="E28">
        <f>E13*E25</f>
        <v>1.2222490157006187E-2</v>
      </c>
      <c r="F28">
        <f>((F25*E13)^2+(E25*F13)^2)^0.5</f>
        <v>1.6753876544221781E-3</v>
      </c>
      <c r="G28" s="3">
        <f t="shared" si="0"/>
        <v>0.13707416679421999</v>
      </c>
      <c r="K28">
        <f>K25+K19</f>
        <v>0.97892696005736346</v>
      </c>
      <c r="L28">
        <f>((L25^2+L19^2)^0.5)</f>
        <v>2.2525064953729912E-2</v>
      </c>
      <c r="M28" s="3">
        <f t="shared" si="4"/>
        <v>2.3009954647086214E-2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1.4268296930330937E-4</v>
      </c>
      <c r="L30">
        <f>L27</f>
        <v>1.8849853168842801E-2</v>
      </c>
      <c r="M30" s="3">
        <f t="shared" ref="M30:M31" si="5">L30/K30</f>
        <v>132.11004271135252</v>
      </c>
    </row>
    <row r="31" spans="3:13" x14ac:dyDescent="0.25">
      <c r="C31" t="s">
        <v>91</v>
      </c>
      <c r="E31" s="6">
        <f>E28+E22</f>
        <v>3.713489225428613E-2</v>
      </c>
      <c r="F31">
        <f>((F28^2)+F22^2)^0.5</f>
        <v>2.9387592592343497E-3</v>
      </c>
      <c r="G31" s="3">
        <f t="shared" si="0"/>
        <v>7.9137411766561847E-2</v>
      </c>
      <c r="K31">
        <f>1-K28</f>
        <v>2.107303994263654E-2</v>
      </c>
      <c r="L31">
        <f>L28</f>
        <v>2.2525064953729912E-2</v>
      </c>
      <c r="M31" s="3">
        <f t="shared" si="5"/>
        <v>1.0689043922967909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1.4097862156762998E-4</v>
      </c>
      <c r="L33">
        <f>((L30*K18)^2+(K30*L18)^2)^0.5</f>
        <v>1.8624691814945062E-2</v>
      </c>
      <c r="M33" s="3">
        <f t="shared" ref="M33:M34" si="6">L33/K33</f>
        <v>132.11004340832247</v>
      </c>
    </row>
    <row r="34" spans="3:13" x14ac:dyDescent="0.25">
      <c r="C34" t="s">
        <v>93</v>
      </c>
      <c r="E34">
        <f>1-E31</f>
        <v>0.96286510774571388</v>
      </c>
      <c r="F34">
        <f>F31</f>
        <v>2.9387592592343497E-3</v>
      </c>
      <c r="G34" s="3">
        <f t="shared" si="0"/>
        <v>3.0520986123535551E-3</v>
      </c>
      <c r="K34">
        <f>K19*K31</f>
        <v>1.8013960288842452E-2</v>
      </c>
      <c r="L34">
        <f>((L31*K19)^2+(K31*L19)^2)^0.5</f>
        <v>1.9258540783776673E-2</v>
      </c>
      <c r="M34" s="3">
        <f t="shared" si="6"/>
        <v>1.0690897767608099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0.99999829565226428</v>
      </c>
      <c r="L36">
        <f>((L33^2)+L27^2)^0.5</f>
        <v>2.6498983182164076E-2</v>
      </c>
      <c r="M36" s="3">
        <f t="shared" ref="M36:M37" si="7">L36/K36</f>
        <v>2.6499028345723034E-2</v>
      </c>
    </row>
    <row r="37" spans="3:13" x14ac:dyDescent="0.25">
      <c r="C37" t="s">
        <v>94</v>
      </c>
      <c r="E37">
        <f>E34*E13</f>
        <v>1.2069284162017194E-2</v>
      </c>
      <c r="F37">
        <f>((F34*E13)^2+(E34*F13)^2)^0.5</f>
        <v>1.6545272498697458E-3</v>
      </c>
      <c r="G37" s="3">
        <f t="shared" si="0"/>
        <v>0.13708578136528166</v>
      </c>
      <c r="K37">
        <f>K34+K28</f>
        <v>0.99694092034620596</v>
      </c>
      <c r="L37">
        <f>((L34^2)+L28^2)^0.5</f>
        <v>2.963561951925657E-2</v>
      </c>
      <c r="M37" s="3">
        <f t="shared" si="7"/>
        <v>2.9726555420119639E-2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4.9204176416303327E-2</v>
      </c>
      <c r="F40">
        <f>(F37^2+F31^2)^0.5</f>
        <v>3.3725015054551374E-3</v>
      </c>
      <c r="G40" s="3">
        <f t="shared" si="0"/>
        <v>6.8540960363228265E-2</v>
      </c>
      <c r="J40" t="s">
        <v>79</v>
      </c>
      <c r="K40" s="59">
        <f>K36*E40</f>
        <v>4.9204092555276663E-2</v>
      </c>
      <c r="L40" s="59">
        <f>((F40*K36)^2+(L36*E40)^2)^0.5</f>
        <v>3.6157682740872174E-3</v>
      </c>
      <c r="M40" s="3">
        <f>L40/K40</f>
        <v>7.348511244314089E-2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59">
        <f>E41*K37</f>
        <v>0.99690093983043115</v>
      </c>
      <c r="L41" s="59">
        <f>((F41*K37)^2+(L37*E41)^2)^0.5</f>
        <v>4.1720391167858209E-2</v>
      </c>
      <c r="M41" s="3">
        <f>L41/K41</f>
        <v>4.1850087105901095E-2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0.23378542915709485</v>
      </c>
      <c r="I46" t="s">
        <v>132</v>
      </c>
      <c r="K46" s="3">
        <f>ABS(K40-K43)/K43</f>
        <v>0.93829431621028059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1.4986114103430023E-2</v>
      </c>
    </row>
    <row r="49" spans="2:9" x14ac:dyDescent="0.25">
      <c r="B49" t="s">
        <v>131</v>
      </c>
      <c r="H49" t="s">
        <v>97</v>
      </c>
      <c r="I49" s="3">
        <f>AVERAGE(K46,K47)</f>
        <v>0.47664021515685528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B3" sqref="B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Exp2_Act_C2!B2</f>
        <v>1.2693875869717425E-2</v>
      </c>
      <c r="C2">
        <f>'Exp1'!W17</f>
        <v>4.9126211103254623E-2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78.778145482390059</v>
      </c>
      <c r="C5">
        <f>C2/B2^2</f>
        <v>304.87707970449446</v>
      </c>
      <c r="E5">
        <f>B5*F1</f>
        <v>78.778145482390059</v>
      </c>
      <c r="F5">
        <f>((C5*F$1)^2+(G$1*B5)^2)^0.5</f>
        <v>304.87811826049375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Exp2_Eq_V_P_Sep_C2!K7*'Exp2'!C2</f>
        <v>0.02</v>
      </c>
      <c r="O7" t="s">
        <v>79</v>
      </c>
      <c r="P7">
        <f>Exp2_Act_C2!P7</f>
        <v>1.2693875869717425E-2</v>
      </c>
      <c r="Q7">
        <f>Exp2_Act_C2!Q7</f>
        <v>1.7523249542435925E-3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Exp2_Act_C2!P8</f>
        <v>0.73362743377730777</v>
      </c>
      <c r="Q8">
        <f>Exp2_Act_C2!Q8</f>
        <v>7.3362743377730785E-2</v>
      </c>
    </row>
    <row r="9" spans="1:19" x14ac:dyDescent="0.25">
      <c r="A9" t="s">
        <v>79</v>
      </c>
      <c r="E9">
        <f>(1/(1+E5))</f>
        <v>1.2534761167401872E-2</v>
      </c>
      <c r="F9">
        <f>F5/((1+E5)^2)</f>
        <v>4.7902522356899777E-2</v>
      </c>
      <c r="G9" s="3">
        <f>F9/E9</f>
        <v>3.8215743975621925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1.2089405590207072E-2</v>
      </c>
      <c r="Q10">
        <f>((L$9*P7)^2+(Q7*K$9)^2)^0.5</f>
        <v>1.6776156393147506E-3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1.2534761167401872E-2</v>
      </c>
      <c r="F13">
        <f>((F9*F$1)^2+(E9*G$1)^2)^0.5</f>
        <v>4.7902689703508097E-2</v>
      </c>
      <c r="G13" s="3">
        <f t="shared" si="0"/>
        <v>3.8215877481642573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0.98805500233138299</v>
      </c>
      <c r="K14">
        <f>Q10/((1+P10)^2)</f>
        <v>1.6377767766946176E-3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0.98746523883259818</v>
      </c>
      <c r="F16">
        <f>F13</f>
        <v>4.7902689703508097E-2</v>
      </c>
      <c r="G16" s="3">
        <f t="shared" si="0"/>
        <v>4.8510760500430017E-2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0.98805500233138299</v>
      </c>
      <c r="L18">
        <f>((J14*Q$16)^2+(K14*P$16)^2)^0.5</f>
        <v>1.2808059703585952E-2</v>
      </c>
      <c r="M18" s="3">
        <f t="shared" ref="M18:M19" si="1">L18/K18</f>
        <v>1.2962901532166188E-2</v>
      </c>
    </row>
    <row r="19" spans="3:13" x14ac:dyDescent="0.25">
      <c r="C19" t="s">
        <v>87</v>
      </c>
      <c r="E19">
        <f>E16*E13</f>
        <v>1.2377640929878067E-2</v>
      </c>
      <c r="F19">
        <f>((F16*E13)^2+(E16*F13)^2)^0.5</f>
        <v>4.7306051786395645E-2</v>
      </c>
      <c r="G19" s="3">
        <f t="shared" si="0"/>
        <v>3.8218956305482079</v>
      </c>
      <c r="K19">
        <f>J15*P16</f>
        <v>0.58868796258439715</v>
      </c>
      <c r="L19">
        <f>((J15*Q$16)^2+(K15*P$16)^2)^0.5</f>
        <v>2.5598794639537247E-2</v>
      </c>
      <c r="M19" s="3">
        <f t="shared" si="1"/>
        <v>4.3484487991152496E-2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1.1944997668617008E-2</v>
      </c>
      <c r="L21">
        <f>L18</f>
        <v>1.2808059703585952E-2</v>
      </c>
      <c r="M21" s="3">
        <f>L21/K21</f>
        <v>1.072253009913636</v>
      </c>
    </row>
    <row r="22" spans="3:13" x14ac:dyDescent="0.25">
      <c r="C22" t="s">
        <v>89</v>
      </c>
      <c r="E22">
        <f>E19+E13</f>
        <v>2.4912402097279941E-2</v>
      </c>
      <c r="F22">
        <f>((F19^2+F13^2)^0.5)</f>
        <v>6.7324068626663736E-2</v>
      </c>
      <c r="G22" s="3">
        <f t="shared" si="0"/>
        <v>2.7024318395219908</v>
      </c>
      <c r="K22">
        <f>1-K19</f>
        <v>0.41131203741560285</v>
      </c>
      <c r="L22">
        <f>L19</f>
        <v>2.5598794639537247E-2</v>
      </c>
      <c r="M22" s="3">
        <f t="shared" ref="M22" si="2">L22/K22</f>
        <v>6.2236920660971091E-2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1.1802314699313742E-2</v>
      </c>
      <c r="L24">
        <f>((L21*K18)^2+(K21*L18)^2)^0.5</f>
        <v>1.2655992219139803E-2</v>
      </c>
      <c r="M24" s="3">
        <f t="shared" ref="M24:M25" si="3">L24/K24</f>
        <v>1.0723313639379315</v>
      </c>
    </row>
    <row r="25" spans="3:13" x14ac:dyDescent="0.25">
      <c r="C25" t="s">
        <v>90</v>
      </c>
      <c r="E25">
        <f>1-E22</f>
        <v>0.97508759790272004</v>
      </c>
      <c r="F25">
        <f>F22</f>
        <v>6.7324068626663736E-2</v>
      </c>
      <c r="G25" s="3">
        <f t="shared" si="0"/>
        <v>6.9044123596145202E-2</v>
      </c>
      <c r="K25">
        <f>K22*K19</f>
        <v>0.24213444529262856</v>
      </c>
      <c r="L25">
        <f>((L22*K19)^2+(K22*L19)^2)^0.5</f>
        <v>1.8383626207868972E-2</v>
      </c>
      <c r="M25" s="3">
        <f t="shared" si="3"/>
        <v>7.5923217721673888E-2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0.99985731703069669</v>
      </c>
      <c r="L27">
        <f>((L24^2+L18^2)^0.5)</f>
        <v>1.8006124858546035E-2</v>
      </c>
      <c r="M27" s="3">
        <f t="shared" ref="M27:M28" si="4">L27/K27</f>
        <v>1.8008694392535239E-2</v>
      </c>
    </row>
    <row r="28" spans="3:13" x14ac:dyDescent="0.25">
      <c r="C28" t="s">
        <v>92</v>
      </c>
      <c r="E28">
        <f>E13*E25</f>
        <v>1.2222490157006187E-2</v>
      </c>
      <c r="F28">
        <f>((F25*E13)^2+(E25*F13)^2)^0.5</f>
        <v>4.6716941249084307E-2</v>
      </c>
      <c r="G28" s="3">
        <f t="shared" si="0"/>
        <v>3.8222114028298217</v>
      </c>
      <c r="K28">
        <f>K25+K19</f>
        <v>0.83082240787702566</v>
      </c>
      <c r="L28">
        <f>((L25^2+L19^2)^0.5)</f>
        <v>3.1515964201462215E-2</v>
      </c>
      <c r="M28" s="3">
        <f t="shared" si="4"/>
        <v>3.7933454734320381E-2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1.4268296930330937E-4</v>
      </c>
      <c r="L30">
        <f>L27</f>
        <v>1.8006124858546035E-2</v>
      </c>
      <c r="M30" s="3">
        <f t="shared" ref="M30:M31" si="5">L30/K30</f>
        <v>126.19673494647692</v>
      </c>
    </row>
    <row r="31" spans="3:13" x14ac:dyDescent="0.25">
      <c r="C31" t="s">
        <v>91</v>
      </c>
      <c r="E31" s="6">
        <f>E28+E22</f>
        <v>3.713489225428613E-2</v>
      </c>
      <c r="F31">
        <f>((F28^2)+F22^2)^0.5</f>
        <v>8.1945120758457141E-2</v>
      </c>
      <c r="G31" s="3">
        <f t="shared" si="0"/>
        <v>2.2066879902956766</v>
      </c>
      <c r="K31">
        <f>1-K28</f>
        <v>0.16917759212297434</v>
      </c>
      <c r="L31">
        <f>L28</f>
        <v>3.1515964201462215E-2</v>
      </c>
      <c r="M31" s="3">
        <f t="shared" si="5"/>
        <v>0.18628923491565844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1.4097862156762998E-4</v>
      </c>
      <c r="L33">
        <f>((L30*K18)^2+(K30*L18)^2)^0.5</f>
        <v>1.7791041832949668E-2</v>
      </c>
      <c r="M33" s="3">
        <f t="shared" ref="M33:M34" si="6">L33/K33</f>
        <v>126.19673561225015</v>
      </c>
    </row>
    <row r="34" spans="3:13" x14ac:dyDescent="0.25">
      <c r="C34" t="s">
        <v>93</v>
      </c>
      <c r="E34">
        <f>1-E31</f>
        <v>0.96286510774571388</v>
      </c>
      <c r="F34">
        <f>F31</f>
        <v>8.1945120758457141E-2</v>
      </c>
      <c r="G34" s="3">
        <f t="shared" si="0"/>
        <v>8.5105504498246179E-2</v>
      </c>
      <c r="K34">
        <f>K19*K31</f>
        <v>9.9592812021807919E-2</v>
      </c>
      <c r="L34">
        <f>((L31*K19)^2+(K31*L19)^2)^0.5</f>
        <v>1.9051815931347187E-2</v>
      </c>
      <c r="M34" s="3">
        <f t="shared" si="6"/>
        <v>0.19129709809956361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0.99999829565226428</v>
      </c>
      <c r="L36">
        <f>((L33^2)+L27^2)^0.5</f>
        <v>2.5312876208035202E-2</v>
      </c>
      <c r="M36" s="3">
        <f t="shared" ref="M36:M37" si="7">L36/K36</f>
        <v>2.531291935005198E-2</v>
      </c>
    </row>
    <row r="37" spans="3:13" x14ac:dyDescent="0.25">
      <c r="C37" t="s">
        <v>94</v>
      </c>
      <c r="E37">
        <f>E34*E13</f>
        <v>1.2069284162017194E-2</v>
      </c>
      <c r="F37">
        <f>((F34*E13)^2+(E34*F13)^2)^0.5</f>
        <v>4.6135264351002951E-2</v>
      </c>
      <c r="G37" s="3">
        <f t="shared" si="0"/>
        <v>3.822535266523392</v>
      </c>
      <c r="K37">
        <f>K34+K28</f>
        <v>0.93041521989883358</v>
      </c>
      <c r="L37">
        <f>((L34^2)+L28^2)^0.5</f>
        <v>3.6826996752786972E-2</v>
      </c>
      <c r="M37" s="3">
        <f t="shared" si="7"/>
        <v>3.9581249280070105E-2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4.9204176416303327E-2</v>
      </c>
      <c r="F40">
        <f>(F37^2+F31^2)^0.5</f>
        <v>9.4039701365194933E-2</v>
      </c>
      <c r="G40" s="3">
        <f t="shared" si="0"/>
        <v>1.9112138077375844</v>
      </c>
      <c r="J40" t="s">
        <v>79</v>
      </c>
      <c r="K40" s="60">
        <f>K36*E40</f>
        <v>4.9204092555276663E-2</v>
      </c>
      <c r="L40" s="60">
        <f>((F40*K36)^2+(L36*E40)^2)^0.5</f>
        <v>9.4047788684920614E-2</v>
      </c>
      <c r="M40" s="3">
        <f>L40/K40</f>
        <v>1.9113814278612258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60">
        <f>E41*K37</f>
        <v>0.93037790727617253</v>
      </c>
      <c r="L41" s="60">
        <f>((F41*K37)^2+(L37*E41)^2)^0.5</f>
        <v>4.590485903324857E-2</v>
      </c>
      <c r="M41" s="3">
        <f>L41/K41</f>
        <v>4.9340014067662308E-2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0.23378542915709485</v>
      </c>
      <c r="I46" t="s">
        <v>132</v>
      </c>
      <c r="K46" s="3">
        <f>ABS(K40-K43)/K43</f>
        <v>0.9963910563224917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6.0712169992522998E-2</v>
      </c>
    </row>
    <row r="49" spans="2:9" x14ac:dyDescent="0.25">
      <c r="B49" t="s">
        <v>131</v>
      </c>
      <c r="H49" t="s">
        <v>97</v>
      </c>
      <c r="I49" s="3">
        <f>AVERAGE(K46,K47)</f>
        <v>0.52855161315750732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Exp2_Act_C3!B2</f>
        <v>1.2693875869717425E-2</v>
      </c>
      <c r="C2">
        <f>'Exp1'!W17</f>
        <v>4.9126211103254623E-2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78.778145482390059</v>
      </c>
      <c r="C5">
        <f>C2/B2^2</f>
        <v>304.87707970449446</v>
      </c>
      <c r="E5">
        <f>B5*F1</f>
        <v>78.778145482390059</v>
      </c>
      <c r="F5">
        <f>((C5*F$1)^2+(G$1*B5)^2)^0.5</f>
        <v>304.87811826049375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Exp2_Eq_V_P_Sep_C3!K7*'Exp2'!C2</f>
        <v>0.02</v>
      </c>
      <c r="O7" t="s">
        <v>79</v>
      </c>
      <c r="P7">
        <f>Exp2_Act_C3!P7</f>
        <v>1.2693875869717425E-2</v>
      </c>
      <c r="Q7">
        <f>Exp2_Act_C3!Q7</f>
        <v>1.7523249542435925E-3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Exp2_Act_C3!P8</f>
        <v>0.20287041525709198</v>
      </c>
      <c r="Q8">
        <f>Exp2_Act_C3!Q8</f>
        <v>2.0287041525709201E-2</v>
      </c>
    </row>
    <row r="9" spans="1:19" x14ac:dyDescent="0.25">
      <c r="A9" t="s">
        <v>79</v>
      </c>
      <c r="E9">
        <f>(1/(1+E5))</f>
        <v>1.2534761167401872E-2</v>
      </c>
      <c r="F9">
        <f>F5/((1+E5)^2)</f>
        <v>4.7902522356899777E-2</v>
      </c>
      <c r="G9" s="3">
        <f>F9/E9</f>
        <v>3.8215743975621925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1.2089405590207072E-2</v>
      </c>
      <c r="Q10">
        <f>((L$9*P7)^2+(Q7*K$9)^2)^0.5</f>
        <v>1.6776156393147506E-3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1.2534761167401872E-2</v>
      </c>
      <c r="F13">
        <f>((F9*F$1)^2+(E9*G$1)^2)^0.5</f>
        <v>4.7902689703508097E-2</v>
      </c>
      <c r="G13" s="3">
        <f t="shared" si="0"/>
        <v>3.8215877481642573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0.98805500233138299</v>
      </c>
      <c r="K14">
        <f>Q10/((1+P10)^2)</f>
        <v>1.6377767766946176E-3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0.98746523883259818</v>
      </c>
      <c r="F16">
        <f>F13</f>
        <v>4.7902689703508097E-2</v>
      </c>
      <c r="G16" s="3">
        <f t="shared" si="0"/>
        <v>4.8510760500430017E-2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0.98805500233138299</v>
      </c>
      <c r="L18">
        <f>((J14*Q$16)^2+(K14*P$16)^2)^0.5</f>
        <v>1.2808059703585952E-2</v>
      </c>
      <c r="M18" s="3">
        <f t="shared" ref="M18:M19" si="1">L18/K18</f>
        <v>1.2962901532166188E-2</v>
      </c>
    </row>
    <row r="19" spans="3:13" x14ac:dyDescent="0.25">
      <c r="C19" t="s">
        <v>87</v>
      </c>
      <c r="E19">
        <f>E16*E13</f>
        <v>1.2377640929878067E-2</v>
      </c>
      <c r="F19">
        <f>((F16*E13)^2+(E16*F13)^2)^0.5</f>
        <v>4.7306051786395645E-2</v>
      </c>
      <c r="G19" s="3">
        <f t="shared" si="0"/>
        <v>3.8218956305482079</v>
      </c>
      <c r="K19">
        <f>J15*P16</f>
        <v>0.83807550023801747</v>
      </c>
      <c r="L19">
        <f>((J15*Q$16)^2+(K15*P$16)^2)^0.5</f>
        <v>1.7433755276482697E-2</v>
      </c>
      <c r="M19" s="3">
        <f t="shared" si="1"/>
        <v>2.0802129726416565E-2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1.1944997668617008E-2</v>
      </c>
      <c r="L21">
        <f>L18</f>
        <v>1.2808059703585952E-2</v>
      </c>
      <c r="M21" s="3">
        <f>L21/K21</f>
        <v>1.072253009913636</v>
      </c>
    </row>
    <row r="22" spans="3:13" x14ac:dyDescent="0.25">
      <c r="C22" t="s">
        <v>89</v>
      </c>
      <c r="E22">
        <f>E19+E13</f>
        <v>2.4912402097279941E-2</v>
      </c>
      <c r="F22">
        <f>((F19^2+F13^2)^0.5)</f>
        <v>6.7324068626663736E-2</v>
      </c>
      <c r="G22" s="3">
        <f t="shared" si="0"/>
        <v>2.7024318395219908</v>
      </c>
      <c r="K22">
        <f>1-K19</f>
        <v>0.16192449976198253</v>
      </c>
      <c r="L22">
        <f>L19</f>
        <v>1.7433755276482697E-2</v>
      </c>
      <c r="M22" s="3">
        <f t="shared" ref="M22" si="2">L22/K22</f>
        <v>0.10766595111986804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1.1802314699313742E-2</v>
      </c>
      <c r="L24">
        <f>((L21*K18)^2+(K21*L18)^2)^0.5</f>
        <v>1.2655992219139803E-2</v>
      </c>
      <c r="M24" s="3">
        <f t="shared" ref="M24:M25" si="3">L24/K24</f>
        <v>1.0723313639379315</v>
      </c>
    </row>
    <row r="25" spans="3:13" x14ac:dyDescent="0.25">
      <c r="C25" t="s">
        <v>90</v>
      </c>
      <c r="E25">
        <f>1-E22</f>
        <v>0.97508759790272004</v>
      </c>
      <c r="F25">
        <f>F22</f>
        <v>6.7324068626663736E-2</v>
      </c>
      <c r="G25" s="3">
        <f t="shared" si="0"/>
        <v>6.9044123596145202E-2</v>
      </c>
      <c r="K25">
        <f>K22*K19</f>
        <v>0.13570495613881425</v>
      </c>
      <c r="L25">
        <f>((L22*K19)^2+(K22*L19)^2)^0.5</f>
        <v>1.4881015690163585E-2</v>
      </c>
      <c r="M25" s="3">
        <f t="shared" si="3"/>
        <v>0.10965712759187375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0.99985731703069669</v>
      </c>
      <c r="L27">
        <f>((L24^2+L18^2)^0.5)</f>
        <v>1.8006124858546035E-2</v>
      </c>
      <c r="M27" s="3">
        <f t="shared" ref="M27:M28" si="4">L27/K27</f>
        <v>1.8008694392535239E-2</v>
      </c>
    </row>
    <row r="28" spans="3:13" x14ac:dyDescent="0.25">
      <c r="C28" t="s">
        <v>92</v>
      </c>
      <c r="E28">
        <f>E13*E25</f>
        <v>1.2222490157006187E-2</v>
      </c>
      <c r="F28">
        <f>((F25*E13)^2+(E25*F13)^2)^0.5</f>
        <v>4.6716941249084307E-2</v>
      </c>
      <c r="G28" s="3">
        <f t="shared" si="0"/>
        <v>3.8222114028298217</v>
      </c>
      <c r="K28">
        <f>K25+K19</f>
        <v>0.97378045637683175</v>
      </c>
      <c r="L28">
        <f>((L25^2+L19^2)^0.5)</f>
        <v>2.292117909295207E-2</v>
      </c>
      <c r="M28" s="3">
        <f t="shared" si="4"/>
        <v>2.3538343723014783E-2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1.4268296930330937E-4</v>
      </c>
      <c r="L30">
        <f>L27</f>
        <v>1.8006124858546035E-2</v>
      </c>
      <c r="M30" s="3">
        <f t="shared" ref="M30:M31" si="5">L30/K30</f>
        <v>126.19673494647692</v>
      </c>
    </row>
    <row r="31" spans="3:13" x14ac:dyDescent="0.25">
      <c r="C31" t="s">
        <v>91</v>
      </c>
      <c r="E31" s="6">
        <f>E28+E22</f>
        <v>3.713489225428613E-2</v>
      </c>
      <c r="F31">
        <f>((F28^2)+F22^2)^0.5</f>
        <v>8.1945120758457141E-2</v>
      </c>
      <c r="G31" s="3">
        <f t="shared" si="0"/>
        <v>2.2066879902956766</v>
      </c>
      <c r="K31">
        <f>1-K28</f>
        <v>2.6219543623168251E-2</v>
      </c>
      <c r="L31">
        <f>L28</f>
        <v>2.292117909295207E-2</v>
      </c>
      <c r="M31" s="3">
        <f t="shared" si="5"/>
        <v>0.87420206172842518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4" x14ac:dyDescent="0.25">
      <c r="G33" s="3"/>
      <c r="J33" t="s">
        <v>92</v>
      </c>
      <c r="K33">
        <f>K18*K30</f>
        <v>1.4097862156762998E-4</v>
      </c>
      <c r="L33">
        <f>((L30*K18)^2+(K30*L18)^2)^0.5</f>
        <v>1.7791041832949668E-2</v>
      </c>
      <c r="M33" s="3">
        <f t="shared" ref="M33:M34" si="6">L33/K33</f>
        <v>126.19673561225015</v>
      </c>
    </row>
    <row r="34" spans="3:14" x14ac:dyDescent="0.25">
      <c r="C34" t="s">
        <v>93</v>
      </c>
      <c r="E34">
        <f>1-E31</f>
        <v>0.96286510774571388</v>
      </c>
      <c r="F34">
        <f>F31</f>
        <v>8.1945120758457141E-2</v>
      </c>
      <c r="G34" s="3">
        <f t="shared" si="0"/>
        <v>8.5105504498246179E-2</v>
      </c>
      <c r="K34">
        <f>K19*K31</f>
        <v>2.1973957137999253E-2</v>
      </c>
      <c r="L34">
        <f>((L31*K19)^2+(K31*L19)^2)^0.5</f>
        <v>1.9215116401277495E-2</v>
      </c>
      <c r="M34" s="3">
        <f t="shared" si="6"/>
        <v>0.8744495258912226</v>
      </c>
    </row>
    <row r="35" spans="3:14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4" x14ac:dyDescent="0.25">
      <c r="G36" s="3"/>
      <c r="J36" t="s">
        <v>91</v>
      </c>
      <c r="K36" s="6">
        <f>K33+K27</f>
        <v>0.99999829565226428</v>
      </c>
      <c r="L36">
        <f>((L33^2)+L27^2)^0.5</f>
        <v>2.5312876208035202E-2</v>
      </c>
      <c r="M36" s="3">
        <f t="shared" ref="M36:M37" si="7">L36/K36</f>
        <v>2.531291935005198E-2</v>
      </c>
    </row>
    <row r="37" spans="3:14" x14ac:dyDescent="0.25">
      <c r="C37" t="s">
        <v>94</v>
      </c>
      <c r="E37">
        <f>E34*E13</f>
        <v>1.2069284162017194E-2</v>
      </c>
      <c r="F37">
        <f>((F34*E13)^2+(E34*F13)^2)^0.5</f>
        <v>4.6135264351002951E-2</v>
      </c>
      <c r="G37" s="3">
        <f t="shared" si="0"/>
        <v>3.822535266523392</v>
      </c>
      <c r="K37">
        <f>K34+K28</f>
        <v>0.99575441351483096</v>
      </c>
      <c r="L37">
        <f>((L34^2)+L28^2)^0.5</f>
        <v>2.9909883806625299E-2</v>
      </c>
      <c r="M37" s="3">
        <f t="shared" si="7"/>
        <v>3.0037410229545335E-2</v>
      </c>
    </row>
    <row r="38" spans="3:14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4" x14ac:dyDescent="0.25">
      <c r="G39" s="3"/>
      <c r="I39" s="61" t="s">
        <v>126</v>
      </c>
      <c r="J39" s="61"/>
      <c r="K39" s="61"/>
      <c r="L39" s="61"/>
      <c r="M39" s="61"/>
    </row>
    <row r="40" spans="3:14" x14ac:dyDescent="0.25">
      <c r="C40" t="s">
        <v>95</v>
      </c>
      <c r="E40">
        <f>E37+E31</f>
        <v>4.9204176416303327E-2</v>
      </c>
      <c r="F40">
        <f>(F37^2+F31^2)^0.5</f>
        <v>9.4039701365194933E-2</v>
      </c>
      <c r="G40" s="3">
        <f t="shared" si="0"/>
        <v>1.9112138077375844</v>
      </c>
      <c r="I40" s="61"/>
      <c r="J40" s="61" t="s">
        <v>79</v>
      </c>
      <c r="K40" s="61">
        <f>K36*E40</f>
        <v>4.9204092555276663E-2</v>
      </c>
      <c r="L40" s="61">
        <f>((F40*K36)^2+(L36*E40)^2)^0.5</f>
        <v>9.4047788684920614E-2</v>
      </c>
      <c r="M40" s="62">
        <f>L40/K40</f>
        <v>1.9113814278612258</v>
      </c>
    </row>
    <row r="41" spans="3:14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I41" s="61"/>
      <c r="J41" s="61" t="s">
        <v>80</v>
      </c>
      <c r="K41" s="61">
        <f>E41*K37</f>
        <v>0.99571448058177059</v>
      </c>
      <c r="L41" s="61">
        <f>((F41*K37)^2+(L37*E41)^2)^0.5</f>
        <v>4.1891161472516557E-2</v>
      </c>
      <c r="M41" s="62">
        <f>L41/K41</f>
        <v>4.2071459529282547E-2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-1.0166596221183923</v>
      </c>
      <c r="I46" t="s">
        <v>132</v>
      </c>
      <c r="K46" s="3">
        <f>ABS(K40-K43)/K43</f>
        <v>0.99574572022128516</v>
      </c>
    </row>
    <row r="47" spans="3:14" x14ac:dyDescent="0.25">
      <c r="C47" t="s">
        <v>130</v>
      </c>
      <c r="E47" s="58">
        <f>ABS(E41-E44)/E44</f>
        <v>3.8071742468220736E-3</v>
      </c>
      <c r="I47" t="s">
        <v>133</v>
      </c>
      <c r="K47" s="58">
        <f>ABS(K41-K44)/K44</f>
        <v>2.1052815365895421E-2</v>
      </c>
    </row>
    <row r="49" spans="2:9" x14ac:dyDescent="0.25">
      <c r="B49" t="s">
        <v>131</v>
      </c>
      <c r="H49" t="s">
        <v>97</v>
      </c>
      <c r="I49" s="3">
        <f>AVERAGE(K46,K47)</f>
        <v>0.50839926779359024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Exp1</vt:lpstr>
      <vt:lpstr>Exp2</vt:lpstr>
      <vt:lpstr>Exp2_Act_C1</vt:lpstr>
      <vt:lpstr>Exp2_Act_C2</vt:lpstr>
      <vt:lpstr>Exp2_Act_C3</vt:lpstr>
      <vt:lpstr>Exp2_eq_V_p_sep_C1</vt:lpstr>
      <vt:lpstr>Exp2_Eq_V_P_Sep_C2</vt:lpstr>
      <vt:lpstr>Exp2_Eq_V_P_Sep_C3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2016-04-22T08:30:49Z</dcterms:modified>
</cp:coreProperties>
</file>