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School\Research\Mass_Spec\Instrument_Response\"/>
    </mc:Choice>
  </mc:AlternateContent>
  <bookViews>
    <workbookView xWindow="0" yWindow="0" windowWidth="28800" windowHeight="12435"/>
  </bookViews>
  <sheets>
    <sheet name="MassSpecRept" sheetId="2" r:id="rId1"/>
    <sheet name="Response_Functions" sheetId="5" r:id="rId2"/>
    <sheet name="Equation" sheetId="8" r:id="rId3"/>
    <sheet name="Standards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7" i="5" l="1"/>
  <c r="B387" i="5"/>
  <c r="F401" i="5"/>
  <c r="B400" i="5"/>
  <c r="B399" i="5"/>
  <c r="B401" i="5" l="1"/>
  <c r="G405" i="5" l="1"/>
  <c r="D401" i="5"/>
  <c r="E405" i="5" s="1"/>
  <c r="C405" i="5"/>
  <c r="F400" i="5"/>
  <c r="G404" i="5" s="1"/>
  <c r="D400" i="5"/>
  <c r="C404" i="5"/>
  <c r="F399" i="5"/>
  <c r="G403" i="5" s="1"/>
  <c r="D28" i="6"/>
  <c r="D27" i="6"/>
  <c r="D26" i="6"/>
  <c r="C28" i="6"/>
  <c r="D399" i="5"/>
  <c r="E403" i="5" s="1"/>
  <c r="C403" i="5"/>
  <c r="G408" i="5"/>
  <c r="E412" i="5" l="1"/>
  <c r="C408" i="5"/>
  <c r="E408" i="5" s="1"/>
  <c r="E404" i="5"/>
  <c r="E393" i="5"/>
  <c r="E390" i="5"/>
  <c r="E391" i="5"/>
  <c r="E392" i="5"/>
  <c r="C391" i="5"/>
  <c r="C392" i="5"/>
  <c r="C393" i="5"/>
  <c r="C390" i="5"/>
  <c r="E378" i="5"/>
  <c r="G378" i="5"/>
  <c r="E379" i="5"/>
  <c r="G379" i="5"/>
  <c r="E380" i="5"/>
  <c r="G380" i="5"/>
  <c r="C379" i="5"/>
  <c r="C380" i="5"/>
  <c r="C378" i="5"/>
  <c r="E357" i="5"/>
  <c r="E356" i="5"/>
  <c r="C356" i="5"/>
  <c r="E336" i="5"/>
  <c r="E334" i="5"/>
  <c r="C334" i="5"/>
  <c r="C336" i="5"/>
  <c r="G320" i="5"/>
  <c r="E320" i="5"/>
  <c r="C320" i="5"/>
  <c r="E303" i="5"/>
  <c r="E301" i="5"/>
  <c r="C301" i="5"/>
  <c r="C303" i="5"/>
  <c r="E279" i="5"/>
  <c r="E281" i="5"/>
  <c r="E282" i="5"/>
  <c r="C279" i="5"/>
  <c r="C281" i="5"/>
  <c r="C282" i="5"/>
  <c r="E259" i="5"/>
  <c r="C259" i="5"/>
  <c r="E240" i="5"/>
  <c r="E242" i="5"/>
  <c r="E243" i="5"/>
  <c r="C242" i="5"/>
  <c r="C243" i="5"/>
  <c r="C240" i="5"/>
  <c r="E214" i="5"/>
  <c r="G218" i="5"/>
  <c r="G217" i="5"/>
  <c r="G216" i="5"/>
  <c r="G215" i="5"/>
  <c r="G214" i="5"/>
  <c r="E218" i="5"/>
  <c r="E217" i="5"/>
  <c r="E216" i="5"/>
  <c r="E215" i="5"/>
  <c r="C217" i="5"/>
  <c r="C218" i="5"/>
  <c r="C215" i="5"/>
  <c r="C216" i="5"/>
  <c r="C214" i="5"/>
  <c r="C189" i="5"/>
  <c r="C187" i="5"/>
  <c r="C173" i="5"/>
  <c r="C174" i="5"/>
  <c r="C172" i="5"/>
  <c r="C145" i="5"/>
  <c r="C146" i="5"/>
  <c r="E146" i="5"/>
  <c r="E145" i="5"/>
  <c r="E138" i="5"/>
  <c r="C136" i="5"/>
  <c r="C137" i="5"/>
  <c r="C138" i="5"/>
  <c r="C135" i="5"/>
  <c r="E136" i="5"/>
  <c r="E137" i="5"/>
  <c r="E135" i="5"/>
  <c r="E121" i="5"/>
  <c r="D92" i="5"/>
  <c r="D68" i="5"/>
  <c r="C48" i="5"/>
  <c r="G7" i="5"/>
  <c r="G8" i="5"/>
  <c r="G6" i="5"/>
  <c r="E7" i="5"/>
  <c r="E8" i="5"/>
  <c r="E6" i="5"/>
  <c r="C7" i="5"/>
  <c r="C8" i="5"/>
  <c r="C6" i="5"/>
  <c r="G397" i="5"/>
  <c r="C397" i="5"/>
  <c r="G383" i="5"/>
  <c r="C383" i="5"/>
  <c r="E383" i="5"/>
  <c r="G372" i="5"/>
  <c r="G350" i="5"/>
  <c r="G322" i="5"/>
  <c r="C322" i="5"/>
  <c r="E322" i="5" s="1"/>
  <c r="G315" i="5"/>
  <c r="G290" i="5"/>
  <c r="C268" i="5"/>
  <c r="E268" i="5" s="1"/>
  <c r="C261" i="5"/>
  <c r="E261" i="5" s="1"/>
  <c r="G255" i="5"/>
  <c r="C233" i="5"/>
  <c r="E233" i="5" s="1"/>
  <c r="G224" i="5"/>
  <c r="C199" i="5"/>
  <c r="E199" i="5" s="1"/>
  <c r="G191" i="5"/>
  <c r="G175" i="5"/>
  <c r="C159" i="5"/>
  <c r="E159" i="5" s="1"/>
  <c r="C151" i="5"/>
  <c r="E151" i="5" s="1"/>
  <c r="G118" i="5"/>
  <c r="G100" i="5"/>
  <c r="C100" i="5"/>
  <c r="E100" i="5" s="1"/>
  <c r="C76" i="5"/>
  <c r="E76" i="5" s="1"/>
  <c r="C36" i="5"/>
  <c r="E36" i="5" s="1"/>
  <c r="G26" i="5"/>
  <c r="C26" i="5"/>
  <c r="E26" i="5" s="1"/>
  <c r="C18" i="5"/>
  <c r="E18" i="5" s="1"/>
  <c r="G18" i="5"/>
  <c r="E397" i="5" l="1"/>
  <c r="CO19" i="2"/>
  <c r="CJ27" i="2"/>
  <c r="CJ13" i="2"/>
  <c r="BB13" i="2"/>
  <c r="C177" i="5"/>
  <c r="C186" i="5" s="1"/>
  <c r="AH13" i="2" l="1"/>
  <c r="AI13" i="2"/>
  <c r="M17" i="2" l="1"/>
  <c r="K17" i="2"/>
  <c r="BJ25" i="2" l="1"/>
  <c r="D236" i="5" s="1"/>
  <c r="E241" i="5" s="1"/>
  <c r="BJ15" i="2"/>
  <c r="B236" i="5" l="1"/>
  <c r="D220" i="5"/>
  <c r="D212" i="5" s="1"/>
  <c r="B220" i="5"/>
  <c r="B212" i="5" s="1"/>
  <c r="BJ33" i="2"/>
  <c r="BJ13" i="2"/>
  <c r="D217" i="5"/>
  <c r="F217" i="5"/>
  <c r="H217" i="5"/>
  <c r="B217" i="5"/>
  <c r="D340" i="5"/>
  <c r="D341" i="5"/>
  <c r="B340" i="5"/>
  <c r="B341" i="5"/>
  <c r="D329" i="5"/>
  <c r="E337" i="5" s="1"/>
  <c r="B329" i="5"/>
  <c r="C337" i="5" s="1"/>
  <c r="D327" i="5"/>
  <c r="E335" i="5" s="1"/>
  <c r="B327" i="5"/>
  <c r="C335" i="5" s="1"/>
  <c r="CD25" i="2"/>
  <c r="D364" i="5" s="1"/>
  <c r="CD15" i="2"/>
  <c r="CB25" i="2"/>
  <c r="CB15" i="2"/>
  <c r="B363" i="5"/>
  <c r="B360" i="5"/>
  <c r="B353" i="5" s="1"/>
  <c r="D360" i="5"/>
  <c r="B361" i="5"/>
  <c r="B354" i="5" s="1"/>
  <c r="C358" i="5" s="1"/>
  <c r="D361" i="5"/>
  <c r="D354" i="5" s="1"/>
  <c r="E358" i="5" s="1"/>
  <c r="D359" i="5"/>
  <c r="B359" i="5"/>
  <c r="D363" i="5"/>
  <c r="B364" i="5"/>
  <c r="D348" i="5"/>
  <c r="B348" i="5"/>
  <c r="D347" i="5"/>
  <c r="D346" i="5"/>
  <c r="B347" i="5"/>
  <c r="B346" i="5"/>
  <c r="B344" i="5"/>
  <c r="B330" i="5" s="1"/>
  <c r="D344" i="5"/>
  <c r="D330" i="5" s="1"/>
  <c r="D343" i="5"/>
  <c r="D342" i="5"/>
  <c r="B343" i="5"/>
  <c r="B342" i="5"/>
  <c r="D312" i="5"/>
  <c r="D298" i="5" s="1"/>
  <c r="D311" i="5"/>
  <c r="D297" i="5" s="1"/>
  <c r="B312" i="5"/>
  <c r="B298" i="5"/>
  <c r="B311" i="5"/>
  <c r="B297" i="5"/>
  <c r="D309" i="5"/>
  <c r="D308" i="5"/>
  <c r="B309" i="5"/>
  <c r="B308" i="5"/>
  <c r="D276" i="5"/>
  <c r="BV25" i="2" s="1"/>
  <c r="D284" i="5"/>
  <c r="D294" i="5"/>
  <c r="E302" i="5" s="1"/>
  <c r="B288" i="5"/>
  <c r="B287" i="5"/>
  <c r="B286" i="5"/>
  <c r="B276" i="5"/>
  <c r="BV15" i="2" s="1"/>
  <c r="B275" i="5"/>
  <c r="B272" i="5"/>
  <c r="B270" i="5"/>
  <c r="C278" i="5" s="1"/>
  <c r="H38" i="8"/>
  <c r="G38" i="8"/>
  <c r="F38" i="8"/>
  <c r="E38" i="8"/>
  <c r="H37" i="8"/>
  <c r="G37" i="8"/>
  <c r="F37" i="8"/>
  <c r="E37" i="8"/>
  <c r="H36" i="8"/>
  <c r="G36" i="8"/>
  <c r="F36" i="8"/>
  <c r="E36" i="8"/>
  <c r="F35" i="8"/>
  <c r="E35" i="8"/>
  <c r="B35" i="8"/>
  <c r="A35" i="8"/>
  <c r="F34" i="8"/>
  <c r="E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BT15" i="2" l="1"/>
  <c r="B294" i="5" s="1"/>
  <c r="C302" i="5" s="1"/>
  <c r="C283" i="5"/>
  <c r="BX15" i="2"/>
  <c r="C305" i="5"/>
  <c r="BZ15" i="2"/>
  <c r="B325" i="5" s="1"/>
  <c r="C333" i="5" s="1"/>
  <c r="C306" i="5"/>
  <c r="BX25" i="2"/>
  <c r="E305" i="5"/>
  <c r="CF25" i="2"/>
  <c r="D365" i="5" s="1"/>
  <c r="E338" i="5"/>
  <c r="BP15" i="2"/>
  <c r="C280" i="5"/>
  <c r="BZ25" i="2"/>
  <c r="D325" i="5" s="1"/>
  <c r="E333" i="5" s="1"/>
  <c r="E306" i="5"/>
  <c r="CF15" i="2"/>
  <c r="C338" i="5"/>
  <c r="C357" i="5"/>
  <c r="C372" i="5"/>
  <c r="E372" i="5" s="1"/>
  <c r="C255" i="5"/>
  <c r="E255" i="5" s="1"/>
  <c r="C241" i="5"/>
  <c r="BN15" i="2"/>
  <c r="D286" i="5"/>
  <c r="BP25" i="2" s="1"/>
  <c r="D292" i="5" s="1"/>
  <c r="E300" i="5" s="1"/>
  <c r="D275" i="5"/>
  <c r="E283" i="5" s="1"/>
  <c r="C224" i="5"/>
  <c r="E224" i="5" s="1"/>
  <c r="B296" i="5"/>
  <c r="C304" i="5" s="1"/>
  <c r="B365" i="5"/>
  <c r="B324" i="5"/>
  <c r="C332" i="5" s="1"/>
  <c r="D324" i="5"/>
  <c r="E332" i="5" s="1"/>
  <c r="B292" i="5"/>
  <c r="C300" i="5" s="1"/>
  <c r="D296" i="5"/>
  <c r="E304" i="5" s="1"/>
  <c r="D288" i="5"/>
  <c r="D270" i="5"/>
  <c r="D287" i="5"/>
  <c r="D272" i="5"/>
  <c r="E280" i="5" s="1"/>
  <c r="D303" i="5"/>
  <c r="B303" i="5"/>
  <c r="D335" i="5"/>
  <c r="B335" i="5"/>
  <c r="D281" i="5"/>
  <c r="B281" i="5"/>
  <c r="S8" i="8"/>
  <c r="R8" i="8"/>
  <c r="Q8" i="8"/>
  <c r="P8" i="8"/>
  <c r="S7" i="8"/>
  <c r="R7" i="8"/>
  <c r="Q7" i="8"/>
  <c r="P7" i="8"/>
  <c r="S6" i="8"/>
  <c r="R6" i="8"/>
  <c r="Q6" i="8"/>
  <c r="P6" i="8"/>
  <c r="Q5" i="8"/>
  <c r="P5" i="8"/>
  <c r="M5" i="8"/>
  <c r="L5" i="8"/>
  <c r="Q4" i="8"/>
  <c r="P4" i="8"/>
  <c r="M4" i="8"/>
  <c r="L4" i="8"/>
  <c r="O3" i="8"/>
  <c r="N3" i="8"/>
  <c r="M3" i="8"/>
  <c r="L3" i="8"/>
  <c r="O2" i="8"/>
  <c r="N2" i="8"/>
  <c r="M2" i="8"/>
  <c r="L2" i="8"/>
  <c r="O1" i="8"/>
  <c r="N1" i="8"/>
  <c r="M1" i="8"/>
  <c r="L1" i="8"/>
  <c r="CR29" i="2"/>
  <c r="CR19" i="2"/>
  <c r="CQ29" i="2"/>
  <c r="CQ19" i="2"/>
  <c r="CP29" i="2"/>
  <c r="CP19" i="2"/>
  <c r="CO29" i="2"/>
  <c r="CJ33" i="2"/>
  <c r="CJ3" i="2"/>
  <c r="CN33" i="2"/>
  <c r="CN27" i="2"/>
  <c r="CN13" i="2"/>
  <c r="CK33" i="2"/>
  <c r="CK13" i="2"/>
  <c r="CK27" i="2"/>
  <c r="CC25" i="2"/>
  <c r="CC15" i="2"/>
  <c r="CA25" i="2"/>
  <c r="CA15" i="2"/>
  <c r="BU25" i="2"/>
  <c r="BU15" i="2"/>
  <c r="BS25" i="2"/>
  <c r="BS15" i="2"/>
  <c r="BR25" i="2"/>
  <c r="BR15" i="2"/>
  <c r="BQ15" i="2"/>
  <c r="BQ25" i="2"/>
  <c r="BO25" i="2"/>
  <c r="BO15" i="2"/>
  <c r="BY25" i="2"/>
  <c r="BW25" i="2"/>
  <c r="BW15" i="2"/>
  <c r="BY15" i="2"/>
  <c r="BY33" i="2"/>
  <c r="BW33" i="2"/>
  <c r="BY13" i="2"/>
  <c r="BW13" i="2"/>
  <c r="BM25" i="2"/>
  <c r="BM15" i="2"/>
  <c r="BE31" i="2"/>
  <c r="BE17" i="2"/>
  <c r="BL25" i="2"/>
  <c r="BL15" i="2"/>
  <c r="BH25" i="2"/>
  <c r="BH15" i="2"/>
  <c r="BK33" i="2"/>
  <c r="BK25" i="2"/>
  <c r="BK15" i="2"/>
  <c r="BK13" i="2"/>
  <c r="BJ17" i="2"/>
  <c r="BJ31" i="2"/>
  <c r="BH33" i="2"/>
  <c r="BI33" i="2"/>
  <c r="BI31" i="2"/>
  <c r="BI17" i="2"/>
  <c r="BI13" i="2"/>
  <c r="BH31" i="2"/>
  <c r="BH17" i="2"/>
  <c r="BH13" i="2"/>
  <c r="BG33" i="2"/>
  <c r="BG31" i="2"/>
  <c r="BG17" i="2"/>
  <c r="BG13" i="2"/>
  <c r="BF33" i="2"/>
  <c r="BF31" i="2"/>
  <c r="BF17" i="2"/>
  <c r="BF13" i="2"/>
  <c r="BD33" i="2"/>
  <c r="BD31" i="2"/>
  <c r="BD17" i="2"/>
  <c r="BD13" i="2"/>
  <c r="BB33" i="2"/>
  <c r="BB31" i="2"/>
  <c r="BB17" i="2"/>
  <c r="BB23" i="2"/>
  <c r="AZ23" i="2"/>
  <c r="AR23" i="2"/>
  <c r="AT23" i="2"/>
  <c r="AV23" i="2"/>
  <c r="B189" i="5"/>
  <c r="J194" i="5"/>
  <c r="AU23" i="2" s="1"/>
  <c r="B179" i="5" s="1"/>
  <c r="AS23" i="2"/>
  <c r="AU33" i="2"/>
  <c r="AU13" i="2"/>
  <c r="AS33" i="2"/>
  <c r="AS13" i="2"/>
  <c r="AW23" i="2"/>
  <c r="AX23" i="2"/>
  <c r="AQ23" i="2"/>
  <c r="AP23" i="2"/>
  <c r="AO23" i="2"/>
  <c r="AN23" i="2"/>
  <c r="AM23" i="2"/>
  <c r="AL23" i="2"/>
  <c r="AJ23" i="2"/>
  <c r="AE33" i="2"/>
  <c r="AE13" i="2"/>
  <c r="AG33" i="2"/>
  <c r="AG13" i="2"/>
  <c r="D131" i="5"/>
  <c r="AK33" i="2" s="1"/>
  <c r="B131" i="5"/>
  <c r="AM33" i="2"/>
  <c r="AM13" i="2"/>
  <c r="AN33" i="2"/>
  <c r="AN13" i="2"/>
  <c r="AL33" i="2"/>
  <c r="AL13" i="2"/>
  <c r="AJ33" i="2"/>
  <c r="AJ13" i="2"/>
  <c r="AI33" i="2"/>
  <c r="AH33" i="2"/>
  <c r="AF33" i="2"/>
  <c r="AF13" i="2"/>
  <c r="AD33" i="2"/>
  <c r="AD13" i="2"/>
  <c r="AF23" i="2"/>
  <c r="AA23" i="2"/>
  <c r="B102" i="5"/>
  <c r="B110" i="5"/>
  <c r="B109" i="5"/>
  <c r="B96" i="5"/>
  <c r="B95" i="5"/>
  <c r="X33" i="2"/>
  <c r="X13" i="2"/>
  <c r="V33" i="2"/>
  <c r="V13" i="2"/>
  <c r="U13" i="2"/>
  <c r="U33" i="2"/>
  <c r="T33" i="2"/>
  <c r="T13" i="2"/>
  <c r="S33" i="2"/>
  <c r="S13" i="2"/>
  <c r="R33" i="2"/>
  <c r="R13" i="2"/>
  <c r="P33" i="2"/>
  <c r="P13" i="2"/>
  <c r="H9" i="5"/>
  <c r="F9" i="5"/>
  <c r="D9" i="5"/>
  <c r="L31" i="2"/>
  <c r="L33" i="2"/>
  <c r="B9" i="5"/>
  <c r="K33" i="2"/>
  <c r="K31" i="2"/>
  <c r="K13" i="2"/>
  <c r="L17" i="2"/>
  <c r="L13" i="2"/>
  <c r="J31" i="2"/>
  <c r="J17" i="2"/>
  <c r="J13" i="2"/>
  <c r="I17" i="2"/>
  <c r="C118" i="5" l="1"/>
  <c r="E118" i="5" s="1"/>
  <c r="F108" i="5"/>
  <c r="BN25" i="2"/>
  <c r="E278" i="5"/>
  <c r="C191" i="5"/>
  <c r="E191" i="5" s="1"/>
  <c r="C188" i="5"/>
  <c r="C350" i="5"/>
  <c r="E350" i="5" s="1"/>
  <c r="C290" i="5"/>
  <c r="E290" i="5" s="1"/>
  <c r="AK13" i="2"/>
  <c r="C140" i="5"/>
  <c r="E140" i="5" s="1"/>
  <c r="C315" i="5"/>
  <c r="E315" i="5" s="1"/>
  <c r="B169" i="5"/>
  <c r="B168" i="5"/>
  <c r="B113" i="5"/>
  <c r="J33" i="2"/>
  <c r="R21" i="2"/>
  <c r="T21" i="2"/>
  <c r="B40" i="5"/>
  <c r="X21" i="2"/>
  <c r="V21" i="2"/>
  <c r="C175" i="5" l="1"/>
  <c r="E175" i="5" s="1"/>
  <c r="P21" i="2"/>
  <c r="C53" i="5"/>
  <c r="E53" i="5" s="1"/>
  <c r="AH23" i="2"/>
  <c r="AD23" i="2"/>
  <c r="AB23" i="2"/>
  <c r="Z23" i="2"/>
  <c r="T23" i="2"/>
  <c r="V23" i="2"/>
  <c r="X23" i="2"/>
  <c r="W23" i="2"/>
  <c r="AC23" i="2"/>
  <c r="Y23" i="2"/>
  <c r="U21" i="2"/>
  <c r="S21" i="2"/>
  <c r="Q21" i="2"/>
  <c r="O21" i="2"/>
  <c r="M31" i="2"/>
  <c r="M25" i="2"/>
  <c r="M15" i="2"/>
  <c r="C33" i="2"/>
  <c r="C13" i="2"/>
  <c r="G21" i="2"/>
  <c r="F21" i="2"/>
  <c r="N21" i="2"/>
  <c r="I31" i="2"/>
</calcChain>
</file>

<file path=xl/sharedStrings.xml><?xml version="1.0" encoding="utf-8"?>
<sst xmlns="http://schemas.openxmlformats.org/spreadsheetml/2006/main" count="1406" uniqueCount="344">
  <si>
    <t>Mass</t>
  </si>
  <si>
    <t>Element and natural abundance %</t>
  </si>
  <si>
    <t>Zn</t>
  </si>
  <si>
    <t>Ga</t>
  </si>
  <si>
    <t>Se</t>
  </si>
  <si>
    <t>Rb</t>
  </si>
  <si>
    <t>Kr</t>
  </si>
  <si>
    <t>Y</t>
  </si>
  <si>
    <t>Zr</t>
  </si>
  <si>
    <t>Nb</t>
  </si>
  <si>
    <t>Pd</t>
  </si>
  <si>
    <t>Sn</t>
  </si>
  <si>
    <t>Xe</t>
  </si>
  <si>
    <t>Ce</t>
  </si>
  <si>
    <t>Sm</t>
  </si>
  <si>
    <t>Dy</t>
  </si>
  <si>
    <t>U</t>
  </si>
  <si>
    <t>Ge</t>
  </si>
  <si>
    <t>Sr</t>
  </si>
  <si>
    <t>Mo</t>
  </si>
  <si>
    <t>Rh</t>
  </si>
  <si>
    <t>Ag</t>
  </si>
  <si>
    <t>In</t>
  </si>
  <si>
    <t>Sb</t>
  </si>
  <si>
    <t>I</t>
  </si>
  <si>
    <t>Ba</t>
  </si>
  <si>
    <t>Pr</t>
  </si>
  <si>
    <t>Eu</t>
  </si>
  <si>
    <t>Tb</t>
  </si>
  <si>
    <t>Ru</t>
  </si>
  <si>
    <t>Cd</t>
  </si>
  <si>
    <t>Te</t>
  </si>
  <si>
    <t>Cs</t>
  </si>
  <si>
    <t>La</t>
  </si>
  <si>
    <t>Nd</t>
  </si>
  <si>
    <t>Gd</t>
  </si>
  <si>
    <r>
      <t xml:space="preserve">Mass spectra for samples and standards - </t>
    </r>
    <r>
      <rPr>
        <b/>
        <u/>
        <sz val="11"/>
        <color theme="1"/>
        <rFont val="Calibri"/>
        <family val="2"/>
        <scheme val="minor"/>
      </rPr>
      <t>blank subtracted</t>
    </r>
  </si>
  <si>
    <t>Each cell contains the mean cps from 5 scans of diluted solution</t>
  </si>
  <si>
    <t>Presented in the order run</t>
  </si>
  <si>
    <t>MSCS-M 11.48 ppb</t>
  </si>
  <si>
    <t>MS-B 10.19 ppb</t>
  </si>
  <si>
    <t>Custom mix - see chart for concs</t>
  </si>
  <si>
    <t>239Pu std see chart for concs</t>
  </si>
  <si>
    <t>MS-D 9.60 ppb</t>
  </si>
  <si>
    <t>MS-C 10.00 ppb</t>
  </si>
  <si>
    <t>Natural U std see chart for concs</t>
  </si>
  <si>
    <t>Elements in multi standards - all have natural isotopic abundances except for 239Pu standard</t>
  </si>
  <si>
    <t>MS-B</t>
  </si>
  <si>
    <t>Sc</t>
  </si>
  <si>
    <t>Ho</t>
  </si>
  <si>
    <t>Er</t>
  </si>
  <si>
    <t>Tm</t>
  </si>
  <si>
    <t>Yb</t>
  </si>
  <si>
    <t>Lu</t>
  </si>
  <si>
    <t>Th</t>
  </si>
  <si>
    <t>all at 10.19 ppb</t>
  </si>
  <si>
    <t>MSCS-M</t>
  </si>
  <si>
    <t>Li</t>
  </si>
  <si>
    <t>Be</t>
  </si>
  <si>
    <t>B</t>
  </si>
  <si>
    <t>Na</t>
  </si>
  <si>
    <t>Mg</t>
  </si>
  <si>
    <t>Al</t>
  </si>
  <si>
    <t>Ca</t>
  </si>
  <si>
    <t>V</t>
  </si>
  <si>
    <t>Cr</t>
  </si>
  <si>
    <t>Mn</t>
  </si>
  <si>
    <t>Fe</t>
  </si>
  <si>
    <t>Co</t>
  </si>
  <si>
    <t>Ni</t>
  </si>
  <si>
    <t>Cu</t>
  </si>
  <si>
    <t>As</t>
  </si>
  <si>
    <t>Tl</t>
  </si>
  <si>
    <t>Pb</t>
  </si>
  <si>
    <t>Bi</t>
  </si>
  <si>
    <t>all at 11.48 ppb</t>
  </si>
  <si>
    <t>plus:</t>
  </si>
  <si>
    <t>Conc. (ppb) Sc</t>
  </si>
  <si>
    <t>Conc. (ppb) In</t>
  </si>
  <si>
    <t>MS-C</t>
  </si>
  <si>
    <t>Hf</t>
  </si>
  <si>
    <t>Ir</t>
  </si>
  <si>
    <t>Pt</t>
  </si>
  <si>
    <t>Au</t>
  </si>
  <si>
    <t>all at 10.00 ppb</t>
  </si>
  <si>
    <t>MS-D</t>
  </si>
  <si>
    <t>Si</t>
  </si>
  <si>
    <t>P</t>
  </si>
  <si>
    <t>S</t>
  </si>
  <si>
    <t>Ti</t>
  </si>
  <si>
    <t>Ta</t>
  </si>
  <si>
    <t>W</t>
  </si>
  <si>
    <t>Re</t>
  </si>
  <si>
    <t>all at 9.60 ppb</t>
  </si>
  <si>
    <t>Conc. (ppb) of Na</t>
  </si>
  <si>
    <t>Conc. (ppb) of Mg</t>
  </si>
  <si>
    <t>Conc. (ppb) of Al</t>
  </si>
  <si>
    <t>Conc. (ppb) of K</t>
  </si>
  <si>
    <t>Conc. (ppb) of Ca</t>
  </si>
  <si>
    <t>Conc. (ppb) of Mn</t>
  </si>
  <si>
    <t>Conc. (ppb) of Fe</t>
  </si>
  <si>
    <t>Conc. (ppb) of Ga</t>
  </si>
  <si>
    <t>Conc. (ppb) of Rb</t>
  </si>
  <si>
    <t>Conc. (ppb) of Sr</t>
  </si>
  <si>
    <t>Conc. (ppb) of Y</t>
  </si>
  <si>
    <t>Conc. (ppb) of Ba</t>
  </si>
  <si>
    <t>Conc. (ppb) of Cs</t>
  </si>
  <si>
    <t>Custom Mix</t>
  </si>
  <si>
    <t>Conc. (ppb) of 238Pu</t>
  </si>
  <si>
    <t>Conc. (ppb) of 239Pu</t>
  </si>
  <si>
    <t>Conc. (ppb) of 240Pu</t>
  </si>
  <si>
    <t>Conc. (ppb) of 241Pu</t>
  </si>
  <si>
    <t>Conc. (ppb) of 241Am</t>
  </si>
  <si>
    <t>Conc. (ppb) of 242Pu</t>
  </si>
  <si>
    <t>239Pu standard</t>
  </si>
  <si>
    <t>Conc. (ppb) of 232Th</t>
  </si>
  <si>
    <t>Conc. (ppb) of 234U</t>
  </si>
  <si>
    <t>Conc. (ppb) of 235U</t>
  </si>
  <si>
    <t>Conc. (ppb) of 238U</t>
  </si>
  <si>
    <t>Natural U standard + Th</t>
  </si>
  <si>
    <t>Typical mass spectrum of instrument blank</t>
  </si>
  <si>
    <t>Blank wash</t>
  </si>
  <si>
    <t>Instrument Response (ppb/cps)</t>
  </si>
  <si>
    <t>]</t>
  </si>
  <si>
    <t>Estimated</t>
  </si>
  <si>
    <t>Ru Response Estimate (ppb/cps) (eq)</t>
  </si>
  <si>
    <t>From Pd</t>
  </si>
  <si>
    <t xml:space="preserve">Extrapolated </t>
  </si>
  <si>
    <t>Estimated From Mo</t>
  </si>
  <si>
    <t>Estimate From Linear Fit</t>
  </si>
  <si>
    <t>Estimated From Estimated Zr</t>
  </si>
  <si>
    <t>Y Response MS-B 1 (ppb/cps)</t>
  </si>
  <si>
    <t>Y Response MS-B 2 (ppb/cps)</t>
  </si>
  <si>
    <t>Y Response Custom 1 (ppb/cps)</t>
  </si>
  <si>
    <t>Y Response Custom 2 (ppb/cps)</t>
  </si>
  <si>
    <t>Nb Response MS-D (ppb/cps)</t>
  </si>
  <si>
    <t>Extrapolated</t>
  </si>
  <si>
    <t>Sr Response MSCS-M 1 (ppb/cps)</t>
  </si>
  <si>
    <t>Sr Response MSCS-M 2 (ppb/cps)</t>
  </si>
  <si>
    <t>Sr Response Custom 1 (ppb/cps)</t>
  </si>
  <si>
    <t>Sr Response Custom 2 (ppb/cps)</t>
  </si>
  <si>
    <t>Eq a</t>
  </si>
  <si>
    <t>Eq b</t>
  </si>
  <si>
    <t>Rb Response Custom 1 (ppb/cps)</t>
  </si>
  <si>
    <t>Rb Response Custom 2 (ppb/cps)</t>
  </si>
  <si>
    <t>38 - Strontium</t>
  </si>
  <si>
    <t>37 - Rubidium</t>
  </si>
  <si>
    <t>Estimate Using Sr Response MSCS-M 1 and 2 at mass 87</t>
  </si>
  <si>
    <t>Estimate Using Avg 1 Sr Response MSCS-M 1 and 2 at mass 87</t>
  </si>
  <si>
    <t>Estimate Using Avg 2 Sr Response MSCS-M 1 and 2 at mass 87</t>
  </si>
  <si>
    <t xml:space="preserve"> 39 - Yttrium</t>
  </si>
  <si>
    <t>estimate</t>
  </si>
  <si>
    <t>Zr Response MS-D (ppb/cps)</t>
  </si>
  <si>
    <t>Mo Response MSCS - M 1 (ppb/cps)</t>
  </si>
  <si>
    <t>Mo Response MSCS - M 2 (ppb/cps)</t>
  </si>
  <si>
    <t>42 - Molybdenum</t>
  </si>
  <si>
    <t>Mo Response MS-D (ppb/cps)</t>
  </si>
  <si>
    <t>Estimated from Zr</t>
  </si>
  <si>
    <t>41 - Niobium</t>
  </si>
  <si>
    <t>44 - Ruthenium</t>
  </si>
  <si>
    <t>Estimate from Ru</t>
  </si>
  <si>
    <t>Estimate from linear extrap</t>
  </si>
  <si>
    <t>46 - Palladium</t>
  </si>
  <si>
    <t>Ru Response MS - C (ppb/cps)</t>
  </si>
  <si>
    <t>Pd Response MS - C (ppb/cps)</t>
  </si>
  <si>
    <t>Rh Response MS - C (ppb/cps)</t>
  </si>
  <si>
    <t>45 - Rhodium</t>
  </si>
  <si>
    <t>48 - Cadmium</t>
  </si>
  <si>
    <t>Cd Response MSCS - M 1 (ppb/cps)</t>
  </si>
  <si>
    <t>Cd Response MSCS - M 2 (ppb/cps)</t>
  </si>
  <si>
    <t>Low Prob</t>
  </si>
  <si>
    <t>In Response MSCS - M 1 (ppb/cps)</t>
  </si>
  <si>
    <t>49 - Indium</t>
  </si>
  <si>
    <t>Used Cd Extrapolated Data</t>
  </si>
  <si>
    <t>In Response MSCS - M 2 (ppb/cps)</t>
  </si>
  <si>
    <t>Ag Response MSCS - M 1 (ppb/cps)</t>
  </si>
  <si>
    <t>47 - Silver</t>
  </si>
  <si>
    <t>Sn Response MS - C (ppb/cps)</t>
  </si>
  <si>
    <t>50 - Tin</t>
  </si>
  <si>
    <t>Te Response MS - C (ppb/cps)</t>
  </si>
  <si>
    <t>52 Tellurium</t>
  </si>
  <si>
    <t>51 - Antimony</t>
  </si>
  <si>
    <t>Sb Response MSCS - M 1 (ppb/cps)</t>
  </si>
  <si>
    <t>Sb Response MSCS - M 2 (ppb/cps)</t>
  </si>
  <si>
    <t>Sb Response MS -C (ppb/cps)</t>
  </si>
  <si>
    <t>MS - C Averaged from others</t>
  </si>
  <si>
    <t>Used MS - C value below - Extremely Variable</t>
  </si>
  <si>
    <t>MS - C (Made Up)</t>
  </si>
  <si>
    <t>Eq used points (125-130)</t>
  </si>
  <si>
    <t>From Linear Fit</t>
  </si>
  <si>
    <t>Used Linear Fit</t>
  </si>
  <si>
    <t>Blank Wash had some iodine contamination</t>
  </si>
  <si>
    <t>Ba Response MSCS - M 1 (ppb/cps)</t>
  </si>
  <si>
    <t>Ba Response MSCS - M 2 (ppb/cps)</t>
  </si>
  <si>
    <t>Ba Response Custom 1 (ppb/cps)</t>
  </si>
  <si>
    <t>Ba Response Custom 2 (ppb/cps)</t>
  </si>
  <si>
    <t>56 Barium</t>
  </si>
  <si>
    <t>53 Iodine</t>
  </si>
  <si>
    <t>La Response MSCS - M 1 (ppb/cps)</t>
  </si>
  <si>
    <t>La Response MSCS - M 2 (ppb/cps)</t>
  </si>
  <si>
    <t>La Response MS - B 1 (ppb/cps)</t>
  </si>
  <si>
    <t>La Response MS - B 2 (ppb/cps)</t>
  </si>
  <si>
    <t>57 - Lanthanum</t>
  </si>
  <si>
    <t>58 - Cerium</t>
  </si>
  <si>
    <t>Ce Response MS - B 1 (ppb/cps)</t>
  </si>
  <si>
    <t>Ce Response MS - B 2 (ppb/cps)</t>
  </si>
  <si>
    <t>Cs Response Custom 1 (ppb/cps)</t>
  </si>
  <si>
    <t>Cs Response Custom 2 (ppb/cps)</t>
  </si>
  <si>
    <t>55 - Cesium</t>
  </si>
  <si>
    <t>Pr Response MS - B 1 (ppb/cps)</t>
  </si>
  <si>
    <t>Pr Response MS - B 2 (ppb/cps)</t>
  </si>
  <si>
    <t>59 - Praseodymium</t>
  </si>
  <si>
    <t>60 - Neodymium</t>
  </si>
  <si>
    <t>Nd Response MS - B 1 (ppb/cps)</t>
  </si>
  <si>
    <t>Nd Response MS - B 2 (ppb/cps)</t>
  </si>
  <si>
    <t>62 - Samarium</t>
  </si>
  <si>
    <t>Sm Response MS - B 1 (ppb/cps)</t>
  </si>
  <si>
    <t>Sm Response MS - B 2 (ppb/cps)</t>
  </si>
  <si>
    <t>63 - Europium</t>
  </si>
  <si>
    <t>Eu Response MS - B 1 (ppb/cps)</t>
  </si>
  <si>
    <t>Eu Response MS - B 2 (ppb/cps)</t>
  </si>
  <si>
    <t>Eu Response MSCS - M 1 (ppb/cps)</t>
  </si>
  <si>
    <t>Eu Response MSCS - M 2 (ppb/cps)</t>
  </si>
  <si>
    <t>M2</t>
  </si>
  <si>
    <t>64 - Gadolinium</t>
  </si>
  <si>
    <t>Gd Response MS - B 1 (ppb/cps)</t>
  </si>
  <si>
    <t>Gd Response MS - B 2 (ppb/cps)</t>
  </si>
  <si>
    <t>66 - Dysprosium</t>
  </si>
  <si>
    <t>Dy Response MS - B 1 (ppb/cps)</t>
  </si>
  <si>
    <t>Dy Response MS - B 2 (ppb/cps)</t>
  </si>
  <si>
    <t>U Response MSCS - M 1 (ppb/cps)</t>
  </si>
  <si>
    <t>U Response MSCS - M 2 (ppb/cps)</t>
  </si>
  <si>
    <t>U Response Natural (ppb/cps)</t>
  </si>
  <si>
    <t>92 - Uranium</t>
  </si>
  <si>
    <t>% abundance</t>
  </si>
  <si>
    <t>94 - Plutonium</t>
  </si>
  <si>
    <t>Pu</t>
  </si>
  <si>
    <t>Pu Response Pu STD 1 (ppb/cps)</t>
  </si>
  <si>
    <t>Pu Response Pu STD 2 (ppb/cps)</t>
  </si>
  <si>
    <t>b1</t>
  </si>
  <si>
    <t>b2</t>
  </si>
  <si>
    <t>M1</t>
  </si>
  <si>
    <t>C144</t>
  </si>
  <si>
    <t>=</t>
  </si>
  <si>
    <t>ppb Sm</t>
  </si>
  <si>
    <t>% Sm 144</t>
  </si>
  <si>
    <t>X Sm 144</t>
  </si>
  <si>
    <t>(cps/ppb)</t>
  </si>
  <si>
    <t>+</t>
  </si>
  <si>
    <t>ppb Nd</t>
  </si>
  <si>
    <t>% Nd 144</t>
  </si>
  <si>
    <t>X Nd 144</t>
  </si>
  <si>
    <t>C148</t>
  </si>
  <si>
    <t>ppbSm</t>
  </si>
  <si>
    <t>%Sm148</t>
  </si>
  <si>
    <t>X Sm 148</t>
  </si>
  <si>
    <t>% Nd 148</t>
  </si>
  <si>
    <t>X Nd 148</t>
  </si>
  <si>
    <t>C150</t>
  </si>
  <si>
    <t>%Sm150</t>
  </si>
  <si>
    <t>X Sm 150</t>
  </si>
  <si>
    <t>% Nd 150</t>
  </si>
  <si>
    <t>X Nd 150</t>
  </si>
  <si>
    <t>C152</t>
  </si>
  <si>
    <t>%Sm152</t>
  </si>
  <si>
    <t>X Sm 152</t>
  </si>
  <si>
    <t>% Gd 152</t>
  </si>
  <si>
    <t>ppb Gd</t>
  </si>
  <si>
    <t>X Gd 152</t>
  </si>
  <si>
    <t>C154</t>
  </si>
  <si>
    <t>%Sm154</t>
  </si>
  <si>
    <t>X Sm 154</t>
  </si>
  <si>
    <t>% Gd 154</t>
  </si>
  <si>
    <t>X Gd 154</t>
  </si>
  <si>
    <t>C156</t>
  </si>
  <si>
    <t>% Gd 156</t>
  </si>
  <si>
    <t>X Gd 156</t>
  </si>
  <si>
    <t>ppb Dy</t>
  </si>
  <si>
    <t>% Dy 156</t>
  </si>
  <si>
    <t>X Dy 156</t>
  </si>
  <si>
    <t>C158</t>
  </si>
  <si>
    <t>% Gd 158</t>
  </si>
  <si>
    <t>X Gd 158</t>
  </si>
  <si>
    <t>% Dy 158</t>
  </si>
  <si>
    <t>X Dy 158</t>
  </si>
  <si>
    <t>C160</t>
  </si>
  <si>
    <t>% Gd 160</t>
  </si>
  <si>
    <t>X Gd 160</t>
  </si>
  <si>
    <t>% Dy 160</t>
  </si>
  <si>
    <t>X Dy 160</t>
  </si>
  <si>
    <t>x1</t>
  </si>
  <si>
    <t>x2</t>
  </si>
  <si>
    <t>Sm a</t>
  </si>
  <si>
    <t>Sm b</t>
  </si>
  <si>
    <t>Nd a</t>
  </si>
  <si>
    <t>Nd b</t>
  </si>
  <si>
    <t>Gd a</t>
  </si>
  <si>
    <t>Gd b</t>
  </si>
  <si>
    <t>Dy a</t>
  </si>
  <si>
    <t>Dy b</t>
  </si>
  <si>
    <t>A</t>
  </si>
  <si>
    <t>x</t>
  </si>
  <si>
    <t>b</t>
  </si>
  <si>
    <t>*</t>
  </si>
  <si>
    <t>From 8 by 8</t>
  </si>
  <si>
    <t>From Graph</t>
  </si>
  <si>
    <t>From Neodymium Estimates</t>
  </si>
  <si>
    <t>Grom points 144 -150</t>
  </si>
  <si>
    <t>8 by 8</t>
  </si>
  <si>
    <t>points 144 - 150</t>
  </si>
  <si>
    <t>From Sm Estimates</t>
  </si>
  <si>
    <t>From linear Fit (152,154,155,157)</t>
  </si>
  <si>
    <t>Linear fit (152,154,155,157)</t>
  </si>
  <si>
    <t>From Gd Estimate</t>
  </si>
  <si>
    <t xml:space="preserve">Assuming Dysprosium at Mass 156 is negligible </t>
  </si>
  <si>
    <t>Sm estimate</t>
  </si>
  <si>
    <t>Assuming La 138=0</t>
  </si>
  <si>
    <t>Small amount</t>
  </si>
  <si>
    <t>Assuming MSCS - M responses for La 139</t>
  </si>
  <si>
    <t>Used Response Functions From Ce 138</t>
  </si>
  <si>
    <t>E1</t>
  </si>
  <si>
    <t>a1</t>
  </si>
  <si>
    <t>E2</t>
  </si>
  <si>
    <t>a2</t>
  </si>
  <si>
    <t>CPS1</t>
  </si>
  <si>
    <t>CPS2</t>
  </si>
  <si>
    <t>CPS3</t>
  </si>
  <si>
    <t>CPS4</t>
  </si>
  <si>
    <t>Ag Response MSCS - M 2 (ppb/cps)</t>
  </si>
  <si>
    <t>te</t>
  </si>
  <si>
    <t>40 - Zirconium</t>
  </si>
  <si>
    <t>Elements</t>
  </si>
  <si>
    <t>at ppb</t>
  </si>
  <si>
    <t>Error due to low a1 value</t>
  </si>
  <si>
    <t>with high a2 value</t>
  </si>
  <si>
    <t>Plot % Change (max to min)</t>
  </si>
  <si>
    <t>Delta AMU</t>
  </si>
  <si>
    <t>% Change per AMU</t>
  </si>
  <si>
    <t>± Abs</t>
  </si>
  <si>
    <t>±  %</t>
  </si>
  <si>
    <t>± %</t>
  </si>
  <si>
    <t>± % Max</t>
  </si>
  <si>
    <t>Luz Romero &lt;lromero@tamu.edu&gt;</t>
  </si>
  <si>
    <t>Atom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</si>
</sst>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E+00"/>
    <numFmt numFmtId="165" formatCode="0.00000E+00"/>
    <numFmt numFmtId="166" formatCode="0.000E+00"/>
    <numFmt numFmtId="167" formatCode="0.000000E+00"/>
    <numFmt numFmtId="168" formatCode="0.0000000E+00"/>
    <numFmt numFmtId="169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hair">
        <color auto="1"/>
      </diagonal>
    </border>
    <border diagonalDown="1">
      <left/>
      <right/>
      <top/>
      <bottom/>
      <diagonal style="hair">
        <color auto="1"/>
      </diagonal>
    </border>
  </borders>
  <cellStyleXfs count="4">
    <xf numFmtId="0" fontId="0" fillId="0" borderId="0"/>
    <xf numFmtId="0" fontId="2" fillId="0" borderId="8"/>
    <xf numFmtId="0" fontId="3" fillId="0" borderId="11" applyFont="0"/>
    <xf numFmtId="0" fontId="6" fillId="4" borderId="1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/>
    </xf>
    <xf numFmtId="0" fontId="6" fillId="0" borderId="0" xfId="1" applyFont="1" applyBorder="1" applyAlignment="1">
      <alignment horizontal="center" wrapText="1"/>
    </xf>
    <xf numFmtId="0" fontId="0" fillId="0" borderId="0" xfId="0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 wrapText="1"/>
    </xf>
    <xf numFmtId="2" fontId="6" fillId="0" borderId="8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6" fillId="0" borderId="8" xfId="1" applyFont="1"/>
    <xf numFmtId="0" fontId="6" fillId="0" borderId="8" xfId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0" xfId="0" applyFont="1" applyFill="1" applyAlignment="1">
      <alignment horizontal="center"/>
    </xf>
    <xf numFmtId="0" fontId="0" fillId="6" borderId="0" xfId="0" applyFill="1"/>
    <xf numFmtId="0" fontId="0" fillId="0" borderId="8" xfId="0" applyBorder="1"/>
    <xf numFmtId="0" fontId="0" fillId="0" borderId="0" xfId="0" applyBorder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9" xfId="0" applyBorder="1"/>
    <xf numFmtId="0" fontId="0" fillId="0" borderId="4" xfId="0" applyBorder="1"/>
    <xf numFmtId="0" fontId="0" fillId="0" borderId="9" xfId="0" applyBorder="1" applyAlignment="1">
      <alignment wrapText="1"/>
    </xf>
    <xf numFmtId="11" fontId="0" fillId="5" borderId="0" xfId="0" applyNumberFormat="1" applyFill="1"/>
    <xf numFmtId="0" fontId="0" fillId="7" borderId="0" xfId="0" applyFill="1"/>
    <xf numFmtId="164" fontId="0" fillId="4" borderId="0" xfId="0" applyNumberFormat="1" applyFill="1"/>
    <xf numFmtId="0" fontId="0" fillId="4" borderId="0" xfId="0" applyFill="1"/>
    <xf numFmtId="0" fontId="2" fillId="0" borderId="8" xfId="1"/>
    <xf numFmtId="0" fontId="0" fillId="0" borderId="11" xfId="2" applyFont="1"/>
    <xf numFmtId="0" fontId="6" fillId="4" borderId="10" xfId="3"/>
    <xf numFmtId="0" fontId="0" fillId="8" borderId="0" xfId="0" applyFill="1"/>
    <xf numFmtId="0" fontId="0" fillId="7" borderId="0" xfId="0" applyFill="1" applyAlignment="1">
      <alignment wrapText="1"/>
    </xf>
    <xf numFmtId="0" fontId="6" fillId="0" borderId="11" xfId="2" applyFont="1"/>
    <xf numFmtId="0" fontId="0" fillId="0" borderId="0" xfId="0" applyFont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2" xfId="0" applyBorder="1"/>
    <xf numFmtId="11" fontId="0" fillId="8" borderId="0" xfId="0" applyNumberFormat="1" applyFill="1"/>
    <xf numFmtId="164" fontId="0" fillId="0" borderId="0" xfId="0" applyNumberFormat="1"/>
    <xf numFmtId="164" fontId="0" fillId="0" borderId="0" xfId="0" applyNumberFormat="1" applyBorder="1"/>
    <xf numFmtId="0" fontId="7" fillId="0" borderId="0" xfId="0" applyFont="1" applyAlignment="1">
      <alignment wrapText="1"/>
    </xf>
    <xf numFmtId="11" fontId="0" fillId="0" borderId="0" xfId="0" applyNumberFormat="1" applyBorder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Font="1" applyFill="1" applyAlignment="1">
      <alignment horizontal="center"/>
    </xf>
    <xf numFmtId="11" fontId="7" fillId="0" borderId="0" xfId="0" applyNumberFormat="1" applyFont="1" applyAlignment="1">
      <alignment wrapText="1"/>
    </xf>
    <xf numFmtId="166" fontId="0" fillId="0" borderId="0" xfId="0" applyNumberFormat="1"/>
    <xf numFmtId="11" fontId="1" fillId="0" borderId="0" xfId="0" applyNumberFormat="1" applyFont="1" applyFill="1"/>
    <xf numFmtId="11" fontId="0" fillId="0" borderId="0" xfId="0" applyNumberFormat="1" applyFill="1"/>
    <xf numFmtId="11" fontId="0" fillId="4" borderId="0" xfId="0" applyNumberFormat="1" applyFill="1"/>
    <xf numFmtId="167" fontId="0" fillId="8" borderId="0" xfId="0" applyNumberFormat="1" applyFill="1"/>
    <xf numFmtId="168" fontId="0" fillId="0" borderId="0" xfId="0" applyNumberFormat="1"/>
    <xf numFmtId="11" fontId="0" fillId="6" borderId="0" xfId="0" applyNumberFormat="1" applyFill="1"/>
    <xf numFmtId="11" fontId="0" fillId="6" borderId="0" xfId="0" applyNumberFormat="1" applyFont="1" applyFill="1"/>
    <xf numFmtId="11" fontId="0" fillId="0" borderId="0" xfId="0" applyNumberFormat="1" applyFont="1" applyFill="1"/>
    <xf numFmtId="10" fontId="0" fillId="0" borderId="0" xfId="0" applyNumberFormat="1"/>
    <xf numFmtId="0" fontId="2" fillId="0" borderId="12" xfId="1" applyBorder="1"/>
    <xf numFmtId="10" fontId="2" fillId="0" borderId="13" xfId="1" applyNumberFormat="1" applyBorder="1"/>
    <xf numFmtId="10" fontId="0" fillId="0" borderId="13" xfId="0" applyNumberFormat="1" applyBorder="1"/>
    <xf numFmtId="10" fontId="0" fillId="0" borderId="0" xfId="0" applyNumberFormat="1" applyFont="1"/>
    <xf numFmtId="9" fontId="0" fillId="0" borderId="0" xfId="0" applyNumberFormat="1"/>
    <xf numFmtId="11" fontId="6" fillId="0" borderId="8" xfId="1" applyNumberFormat="1" applyFont="1"/>
    <xf numFmtId="169" fontId="0" fillId="0" borderId="0" xfId="0" applyNumberFormat="1"/>
    <xf numFmtId="0" fontId="8" fillId="0" borderId="0" xfId="0" applyFont="1"/>
    <xf numFmtId="167" fontId="0" fillId="0" borderId="0" xfId="0" applyNumberFormat="1"/>
    <xf numFmtId="0" fontId="0" fillId="0" borderId="11" xfId="2" applyFont="1" applyFill="1"/>
    <xf numFmtId="166" fontId="0" fillId="0" borderId="0" xfId="0" applyNumberFormat="1" applyFill="1"/>
    <xf numFmtId="0" fontId="6" fillId="0" borderId="10" xfId="3" applyFill="1"/>
    <xf numFmtId="0" fontId="2" fillId="0" borderId="8" xfId="1" applyFill="1"/>
    <xf numFmtId="0" fontId="6" fillId="0" borderId="0" xfId="1" applyFont="1" applyFill="1" applyBorder="1" applyAlignment="1">
      <alignment horizontal="center" wrapText="1"/>
    </xf>
    <xf numFmtId="169" fontId="0" fillId="0" borderId="0" xfId="0" applyNumberFormat="1" applyFill="1"/>
    <xf numFmtId="0" fontId="2" fillId="0" borderId="12" xfId="1" applyFill="1" applyBorder="1"/>
    <xf numFmtId="10" fontId="2" fillId="0" borderId="13" xfId="1" applyNumberFormat="1" applyFill="1" applyBorder="1"/>
    <xf numFmtId="0" fontId="0" fillId="0" borderId="13" xfId="0" applyFill="1" applyBorder="1"/>
    <xf numFmtId="10" fontId="0" fillId="0" borderId="13" xfId="0" applyNumberFormat="1" applyFill="1" applyBorder="1"/>
    <xf numFmtId="0" fontId="0" fillId="0" borderId="2" xfId="0" applyFill="1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7" fillId="0" borderId="14" xfId="0" applyFont="1" applyFill="1" applyBorder="1" applyAlignment="1">
      <alignment wrapText="1"/>
    </xf>
    <xf numFmtId="0" fontId="0" fillId="0" borderId="15" xfId="0" applyFill="1" applyBorder="1"/>
    <xf numFmtId="11" fontId="0" fillId="0" borderId="15" xfId="0" applyNumberFormat="1" applyFill="1" applyBorder="1"/>
    <xf numFmtId="164" fontId="0" fillId="0" borderId="15" xfId="0" applyNumberFormat="1" applyFill="1" applyBorder="1"/>
    <xf numFmtId="10" fontId="0" fillId="0" borderId="15" xfId="0" applyNumberFormat="1" applyFill="1" applyBorder="1"/>
  </cellXfs>
  <cellStyles count="4">
    <cellStyle name="Bad" xfId="3" builtinId="27" customBuiltin="1"/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55125937289649"/>
          <c:y val="5.1103368176538912E-2"/>
          <c:w val="0.48616416983662331"/>
          <c:h val="0.74260949088680983"/>
        </c:manualLayout>
      </c:layout>
      <c:scatterChart>
        <c:scatterStyle val="lineMarker"/>
        <c:varyColors val="0"/>
        <c:ser>
          <c:idx val="0"/>
          <c:order val="0"/>
          <c:tx>
            <c:v>44 - Ruthenium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20638374477543"/>
                  <c:y val="3.4930999478723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Response_Functions!$C$83:$C$88</c:f>
                <c:numCache>
                  <c:formatCode>General</c:formatCode>
                  <c:ptCount val="6"/>
                  <c:pt idx="0">
                    <c:v>2.9933000000000002E-7</c:v>
                  </c:pt>
                  <c:pt idx="1">
                    <c:v>3.7235999999999998E-7</c:v>
                  </c:pt>
                  <c:pt idx="2">
                    <c:v>2.1981999999999999E-7</c:v>
                  </c:pt>
                  <c:pt idx="3">
                    <c:v>2.0234E-7</c:v>
                  </c:pt>
                  <c:pt idx="4">
                    <c:v>1.8224E-7</c:v>
                  </c:pt>
                  <c:pt idx="5">
                    <c:v>1.6173999999999999E-7</c:v>
                  </c:pt>
                </c:numCache>
              </c:numRef>
            </c:plus>
            <c:minus>
              <c:numRef>
                <c:f>Response_Functions!$C$83:$C$88</c:f>
                <c:numCache>
                  <c:formatCode>General</c:formatCode>
                  <c:ptCount val="6"/>
                  <c:pt idx="0">
                    <c:v>2.9933000000000002E-7</c:v>
                  </c:pt>
                  <c:pt idx="1">
                    <c:v>3.7235999999999998E-7</c:v>
                  </c:pt>
                  <c:pt idx="2">
                    <c:v>2.1981999999999999E-7</c:v>
                  </c:pt>
                  <c:pt idx="3">
                    <c:v>2.0234E-7</c:v>
                  </c:pt>
                  <c:pt idx="4">
                    <c:v>1.8224E-7</c:v>
                  </c:pt>
                  <c:pt idx="5">
                    <c:v>1.6173999999999999E-7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Response_Functions!$A$83:$A$88</c:f>
              <c:numCache>
                <c:formatCode>General</c:formatCode>
                <c:ptCount val="6"/>
                <c:pt idx="0">
                  <c:v>96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</c:numCache>
            </c:numRef>
          </c:xVal>
          <c:yVal>
            <c:numRef>
              <c:f>Response_Functions!$B$83:$B$88</c:f>
              <c:numCache>
                <c:formatCode>General</c:formatCode>
                <c:ptCount val="6"/>
                <c:pt idx="0">
                  <c:v>2.9467144665595781E-5</c:v>
                </c:pt>
                <c:pt idx="1">
                  <c:v>2.6786379340969126E-5</c:v>
                </c:pt>
                <c:pt idx="2">
                  <c:v>2.6176861213810384E-5</c:v>
                </c:pt>
                <c:pt idx="3">
                  <c:v>2.4307693732319047E-5</c:v>
                </c:pt>
                <c:pt idx="4">
                  <c:v>2.2884529172945602E-5</c:v>
                </c:pt>
                <c:pt idx="5" formatCode="0.00E+00">
                  <c:v>2.1426000000000001E-5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04416"/>
        <c:axId val="4297312"/>
      </c:scatterChart>
      <c:valAx>
        <c:axId val="370304416"/>
        <c:scaling>
          <c:orientation val="minMax"/>
          <c:max val="102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12"/>
        <c:crosses val="autoZero"/>
        <c:crossBetween val="midCat"/>
        <c:majorUnit val="1"/>
      </c:valAx>
      <c:valAx>
        <c:axId val="4297312"/>
        <c:scaling>
          <c:orientation val="minMax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0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2913072744634"/>
          <c:y val="0.3658529269207203"/>
          <c:w val="0.32075640644323034"/>
          <c:h val="0.1567955225109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60 - Neodymium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Response_Functions!$C$270:$C$276</c:f>
                <c:numCache>
                  <c:formatCode>General</c:formatCode>
                  <c:ptCount val="7"/>
                  <c:pt idx="0">
                    <c:v>8.5699000000000005E-8</c:v>
                  </c:pt>
                  <c:pt idx="1">
                    <c:v>8.2608999999999995E-8</c:v>
                  </c:pt>
                  <c:pt idx="2">
                    <c:v>8.0100999999999997E-8</c:v>
                  </c:pt>
                  <c:pt idx="3">
                    <c:v>8.4835000000000005E-8</c:v>
                  </c:pt>
                  <c:pt idx="4">
                    <c:v>7.9677000000000006E-8</c:v>
                  </c:pt>
                  <c:pt idx="5">
                    <c:v>1.7651000000000001E-7</c:v>
                  </c:pt>
                  <c:pt idx="6">
                    <c:v>1.3608000000000001E-7</c:v>
                  </c:pt>
                </c:numCache>
              </c:numRef>
            </c:plus>
            <c:minus>
              <c:numRef>
                <c:f>Response_Functions!$C$270:$C$276</c:f>
                <c:numCache>
                  <c:formatCode>General</c:formatCode>
                  <c:ptCount val="7"/>
                  <c:pt idx="0">
                    <c:v>8.5699000000000005E-8</c:v>
                  </c:pt>
                  <c:pt idx="1">
                    <c:v>8.2608999999999995E-8</c:v>
                  </c:pt>
                  <c:pt idx="2">
                    <c:v>8.0100999999999997E-8</c:v>
                  </c:pt>
                  <c:pt idx="3">
                    <c:v>8.4835000000000005E-8</c:v>
                  </c:pt>
                  <c:pt idx="4">
                    <c:v>7.9677000000000006E-8</c:v>
                  </c:pt>
                  <c:pt idx="5">
                    <c:v>1.7651000000000001E-7</c:v>
                  </c:pt>
                  <c:pt idx="6">
                    <c:v>1.3608000000000001E-7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Response_Functions!$A$270:$A$276</c:f>
              <c:numCache>
                <c:formatCode>General</c:formatCode>
                <c:ptCount val="7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148</c:v>
                </c:pt>
                <c:pt idx="6">
                  <c:v>150</c:v>
                </c:pt>
              </c:numCache>
            </c:numRef>
          </c:xVal>
          <c:yVal>
            <c:numRef>
              <c:f>Response_Functions!$B$270:$B$276</c:f>
              <c:numCache>
                <c:formatCode>General</c:formatCode>
                <c:ptCount val="7"/>
                <c:pt idx="0">
                  <c:v>1.0937674203747295E-5</c:v>
                </c:pt>
                <c:pt idx="1">
                  <c:v>1.0864424275876918E-5</c:v>
                </c:pt>
                <c:pt idx="2">
                  <c:v>1.0815039452887618E-5</c:v>
                </c:pt>
                <c:pt idx="3">
                  <c:v>1.0788611985249001E-5</c:v>
                </c:pt>
                <c:pt idx="4">
                  <c:v>1.072465392755541E-5</c:v>
                </c:pt>
                <c:pt idx="5">
                  <c:v>1.0577838997663276E-5</c:v>
                </c:pt>
                <c:pt idx="6">
                  <c:v>1.0463098238919852E-5</c:v>
                </c:pt>
              </c:numCache>
            </c:numRef>
          </c:yVal>
          <c:smooth val="0"/>
        </c:ser>
        <c:ser>
          <c:idx val="1"/>
          <c:order val="1"/>
          <c:tx>
            <c:v>60 - Neodymium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Response_Functions!$E$270:$E$276</c:f>
                <c:numCache>
                  <c:formatCode>General</c:formatCode>
                  <c:ptCount val="7"/>
                  <c:pt idx="0">
                    <c:v>8.2634999999999998E-8</c:v>
                  </c:pt>
                  <c:pt idx="1">
                    <c:v>7.8636000000000003E-8</c:v>
                  </c:pt>
                  <c:pt idx="2">
                    <c:v>7.7192999999999995E-8</c:v>
                  </c:pt>
                  <c:pt idx="3">
                    <c:v>8.0571000000000001E-8</c:v>
                  </c:pt>
                  <c:pt idx="4">
                    <c:v>7.7200000000000003E-8</c:v>
                  </c:pt>
                  <c:pt idx="5">
                    <c:v>1.6128E-7</c:v>
                  </c:pt>
                  <c:pt idx="6">
                    <c:v>1.2253E-7</c:v>
                  </c:pt>
                </c:numCache>
              </c:numRef>
            </c:plus>
            <c:minus>
              <c:numRef>
                <c:f>Response_Functions!$E$270:$E$276</c:f>
                <c:numCache>
                  <c:formatCode>General</c:formatCode>
                  <c:ptCount val="7"/>
                  <c:pt idx="0">
                    <c:v>8.2634999999999998E-8</c:v>
                  </c:pt>
                  <c:pt idx="1">
                    <c:v>7.8636000000000003E-8</c:v>
                  </c:pt>
                  <c:pt idx="2">
                    <c:v>7.7192999999999995E-8</c:v>
                  </c:pt>
                  <c:pt idx="3">
                    <c:v>8.0571000000000001E-8</c:v>
                  </c:pt>
                  <c:pt idx="4">
                    <c:v>7.7200000000000003E-8</c:v>
                  </c:pt>
                  <c:pt idx="5">
                    <c:v>1.6128E-7</c:v>
                  </c:pt>
                  <c:pt idx="6">
                    <c:v>1.2253E-7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Response_Functions!$A$270:$A$276</c:f>
              <c:numCache>
                <c:formatCode>General</c:formatCode>
                <c:ptCount val="7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148</c:v>
                </c:pt>
                <c:pt idx="6">
                  <c:v>150</c:v>
                </c:pt>
              </c:numCache>
            </c:numRef>
          </c:xVal>
          <c:yVal>
            <c:numRef>
              <c:f>Response_Functions!$D$270:$D$276</c:f>
              <c:numCache>
                <c:formatCode>General</c:formatCode>
                <c:ptCount val="7"/>
                <c:pt idx="0">
                  <c:v>1.0515382E-5</c:v>
                </c:pt>
                <c:pt idx="1">
                  <c:v>1.0377112955923771E-5</c:v>
                </c:pt>
                <c:pt idx="2">
                  <c:v>1.0433282E-5</c:v>
                </c:pt>
                <c:pt idx="3">
                  <c:v>1.0295039168304666E-5</c:v>
                </c:pt>
                <c:pt idx="4">
                  <c:v>1.0408289670514218E-5</c:v>
                </c:pt>
                <c:pt idx="5">
                  <c:v>1.0269082E-5</c:v>
                </c:pt>
                <c:pt idx="6">
                  <c:v>9.7060326878135408E-6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93936"/>
        <c:axId val="395394496"/>
      </c:scatterChart>
      <c:valAx>
        <c:axId val="3953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4496"/>
        <c:crosses val="autoZero"/>
        <c:crossBetween val="midCat"/>
      </c:valAx>
      <c:valAx>
        <c:axId val="3953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62 - Samarium MS - B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Response_Functions!$E$292:$E$298</c:f>
                <c:numCache>
                  <c:formatCode>General</c:formatCode>
                  <c:ptCount val="7"/>
                  <c:pt idx="0">
                    <c:v>6.3303999999999996E-7</c:v>
                  </c:pt>
                  <c:pt idx="1">
                    <c:v>7.8541000000000002E-8</c:v>
                  </c:pt>
                  <c:pt idx="2">
                    <c:v>9.1158000000000001E-8</c:v>
                  </c:pt>
                  <c:pt idx="3">
                    <c:v>7.8953999999999993E-8</c:v>
                  </c:pt>
                  <c:pt idx="4">
                    <c:v>1.0916000000000001E-7</c:v>
                  </c:pt>
                  <c:pt idx="5">
                    <c:v>7.5063000000000002E-8</c:v>
                  </c:pt>
                  <c:pt idx="6">
                    <c:v>7.5686999999999995E-8</c:v>
                  </c:pt>
                </c:numCache>
              </c:numRef>
            </c:plus>
            <c:minus>
              <c:numRef>
                <c:f>Response_Functions!$E$292:$E$298</c:f>
                <c:numCache>
                  <c:formatCode>General</c:formatCode>
                  <c:ptCount val="7"/>
                  <c:pt idx="0">
                    <c:v>6.3303999999999996E-7</c:v>
                  </c:pt>
                  <c:pt idx="1">
                    <c:v>7.8541000000000002E-8</c:v>
                  </c:pt>
                  <c:pt idx="2">
                    <c:v>9.1158000000000001E-8</c:v>
                  </c:pt>
                  <c:pt idx="3">
                    <c:v>7.8953999999999993E-8</c:v>
                  </c:pt>
                  <c:pt idx="4">
                    <c:v>1.0916000000000001E-7</c:v>
                  </c:pt>
                  <c:pt idx="5">
                    <c:v>7.5063000000000002E-8</c:v>
                  </c:pt>
                  <c:pt idx="6">
                    <c:v>7.5686999999999995E-8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Response_Functions!$A$292:$A$298</c:f>
              <c:numCache>
                <c:formatCode>General</c:formatCode>
                <c:ptCount val="7"/>
                <c:pt idx="0">
                  <c:v>144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</c:numCache>
            </c:numRef>
          </c:xVal>
          <c:yVal>
            <c:numRef>
              <c:f>Response_Functions!$D$292:$D$298</c:f>
              <c:numCache>
                <c:formatCode>General</c:formatCode>
                <c:ptCount val="7"/>
                <c:pt idx="0" formatCode="0.00E+00">
                  <c:v>1.0733575154350286E-5</c:v>
                </c:pt>
                <c:pt idx="1">
                  <c:v>1.050020361368229E-5</c:v>
                </c:pt>
                <c:pt idx="2" formatCode="0.0000000E+00">
                  <c:v>1.0643538812233694E-5</c:v>
                </c:pt>
                <c:pt idx="3">
                  <c:v>1.0500882345002041E-5</c:v>
                </c:pt>
                <c:pt idx="4">
                  <c:v>1.0516696103393728E-5</c:v>
                </c:pt>
                <c:pt idx="5" formatCode="0.00000E+00">
                  <c:v>1.0392852536192114E-5</c:v>
                </c:pt>
                <c:pt idx="6" formatCode="0.00000E+00">
                  <c:v>1.0271886148419345E-5</c:v>
                </c:pt>
              </c:numCache>
            </c:numRef>
          </c:yVal>
          <c:smooth val="0"/>
        </c:ser>
        <c:ser>
          <c:idx val="1"/>
          <c:order val="1"/>
          <c:tx>
            <c:v>62 Samarium MS - 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Response_Functions!$C$292:$C$298</c:f>
                <c:numCache>
                  <c:formatCode>General</c:formatCode>
                  <c:ptCount val="7"/>
                  <c:pt idx="0">
                    <c:v>6.6977000000000005E-7</c:v>
                  </c:pt>
                  <c:pt idx="1">
                    <c:v>8.1599000000000002E-8</c:v>
                  </c:pt>
                  <c:pt idx="2">
                    <c:v>9.6714000000000002E-8</c:v>
                  </c:pt>
                  <c:pt idx="3">
                    <c:v>8.378E-8</c:v>
                  </c:pt>
                  <c:pt idx="4">
                    <c:v>1.1208E-7</c:v>
                  </c:pt>
                  <c:pt idx="5">
                    <c:v>7.8161999999999995E-8</c:v>
                  </c:pt>
                  <c:pt idx="6">
                    <c:v>7.9156999999999999E-8</c:v>
                  </c:pt>
                </c:numCache>
              </c:numRef>
            </c:plus>
            <c:minus>
              <c:numRef>
                <c:f>Response_Functions!$C$292:$C$298</c:f>
                <c:numCache>
                  <c:formatCode>General</c:formatCode>
                  <c:ptCount val="7"/>
                  <c:pt idx="0">
                    <c:v>6.6977000000000005E-7</c:v>
                  </c:pt>
                  <c:pt idx="1">
                    <c:v>8.1599000000000002E-8</c:v>
                  </c:pt>
                  <c:pt idx="2">
                    <c:v>9.6714000000000002E-8</c:v>
                  </c:pt>
                  <c:pt idx="3">
                    <c:v>8.378E-8</c:v>
                  </c:pt>
                  <c:pt idx="4">
                    <c:v>1.1208E-7</c:v>
                  </c:pt>
                  <c:pt idx="5">
                    <c:v>7.8161999999999995E-8</c:v>
                  </c:pt>
                  <c:pt idx="6">
                    <c:v>7.9156999999999999E-8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Response_Functions!$A$292:$A$298</c:f>
              <c:numCache>
                <c:formatCode>General</c:formatCode>
                <c:ptCount val="7"/>
                <c:pt idx="0">
                  <c:v>144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</c:numCache>
            </c:numRef>
          </c:xVal>
          <c:yVal>
            <c:numRef>
              <c:f>Response_Functions!$B$292:$B$298</c:f>
              <c:numCache>
                <c:formatCode>General</c:formatCode>
                <c:ptCount val="7"/>
                <c:pt idx="0">
                  <c:v>1.1187757224552104E-5</c:v>
                </c:pt>
                <c:pt idx="1">
                  <c:v>1.0884432609381889E-5</c:v>
                </c:pt>
                <c:pt idx="2">
                  <c:v>1.0995015238285821E-5</c:v>
                </c:pt>
                <c:pt idx="3">
                  <c:v>1.1100931866008549E-5</c:v>
                </c:pt>
                <c:pt idx="4">
                  <c:v>1.0901100202055012E-5</c:v>
                </c:pt>
                <c:pt idx="5">
                  <c:v>1.080878624187457E-5</c:v>
                </c:pt>
                <c:pt idx="6">
                  <c:v>1.0718019585198509E-5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97856"/>
        <c:axId val="395398416"/>
      </c:scatterChart>
      <c:valAx>
        <c:axId val="3953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8416"/>
        <c:crosses val="autoZero"/>
        <c:crossBetween val="midCat"/>
      </c:valAx>
      <c:valAx>
        <c:axId val="395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64 - Gadolinium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Response_Functions!$C$324:$C$330</c:f>
                <c:numCache>
                  <c:formatCode>General</c:formatCode>
                  <c:ptCount val="7"/>
                  <c:pt idx="0">
                    <c:v>9.9663999999999996E-7</c:v>
                  </c:pt>
                  <c:pt idx="1">
                    <c:v>8.2991000000000005E-7</c:v>
                  </c:pt>
                  <c:pt idx="2">
                    <c:v>8.0764999999999996E-8</c:v>
                  </c:pt>
                  <c:pt idx="3">
                    <c:v>8.6940999999999997E-8</c:v>
                  </c:pt>
                  <c:pt idx="4">
                    <c:v>7.8557999999999994E-8</c:v>
                  </c:pt>
                  <c:pt idx="5">
                    <c:v>8.1899999999999999E-8</c:v>
                  </c:pt>
                  <c:pt idx="6">
                    <c:v>8.6122999999999996E-8</c:v>
                  </c:pt>
                </c:numCache>
              </c:numRef>
            </c:plus>
            <c:minus>
              <c:numRef>
                <c:f>Response_Functions!$C$324:$C$330</c:f>
                <c:numCache>
                  <c:formatCode>General</c:formatCode>
                  <c:ptCount val="7"/>
                  <c:pt idx="0">
                    <c:v>9.9663999999999996E-7</c:v>
                  </c:pt>
                  <c:pt idx="1">
                    <c:v>8.2991000000000005E-7</c:v>
                  </c:pt>
                  <c:pt idx="2">
                    <c:v>8.0764999999999996E-8</c:v>
                  </c:pt>
                  <c:pt idx="3">
                    <c:v>8.6940999999999997E-8</c:v>
                  </c:pt>
                  <c:pt idx="4">
                    <c:v>7.8557999999999994E-8</c:v>
                  </c:pt>
                  <c:pt idx="5">
                    <c:v>8.1899999999999999E-8</c:v>
                  </c:pt>
                  <c:pt idx="6">
                    <c:v>8.6122999999999996E-8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Response_Functions!$A$324:$A$330</c:f>
              <c:numCache>
                <c:formatCode>General</c:formatCode>
                <c:ptCount val="7"/>
                <c:pt idx="0">
                  <c:v>152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160</c:v>
                </c:pt>
              </c:numCache>
            </c:numRef>
          </c:xVal>
          <c:yVal>
            <c:numRef>
              <c:f>Response_Functions!$B$324:$B$330</c:f>
              <c:numCache>
                <c:formatCode>General</c:formatCode>
                <c:ptCount val="7"/>
                <c:pt idx="0">
                  <c:v>1.0514585475003793E-5</c:v>
                </c:pt>
                <c:pt idx="1">
                  <c:v>1.0780299947630339E-5</c:v>
                </c:pt>
                <c:pt idx="2">
                  <c:v>1.0771613257858045E-5</c:v>
                </c:pt>
                <c:pt idx="3">
                  <c:v>1.1013500864335813E-5</c:v>
                </c:pt>
                <c:pt idx="4">
                  <c:v>1.0528136846534731E-5</c:v>
                </c:pt>
                <c:pt idx="5">
                  <c:v>1.1239224410523449E-5</c:v>
                </c:pt>
                <c:pt idx="6">
                  <c:v>1.1481310640920646E-5</c:v>
                </c:pt>
              </c:numCache>
            </c:numRef>
          </c:yVal>
          <c:smooth val="0"/>
        </c:ser>
        <c:ser>
          <c:idx val="1"/>
          <c:order val="1"/>
          <c:tx>
            <c:v>64 - Gadolinium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Response_Functions!$E$324:$E$330</c:f>
                <c:numCache>
                  <c:formatCode>General</c:formatCode>
                  <c:ptCount val="7"/>
                  <c:pt idx="0">
                    <c:v>1.018E-6</c:v>
                  </c:pt>
                  <c:pt idx="1">
                    <c:v>8.4582000000000004E-7</c:v>
                  </c:pt>
                  <c:pt idx="2">
                    <c:v>7.5167000000000001E-8</c:v>
                  </c:pt>
                  <c:pt idx="3">
                    <c:v>8.0121000000000007E-8</c:v>
                  </c:pt>
                  <c:pt idx="4">
                    <c:v>7.3155999999999997E-8</c:v>
                  </c:pt>
                  <c:pt idx="5">
                    <c:v>7.7378999999999994E-8</c:v>
                  </c:pt>
                  <c:pt idx="6">
                    <c:v>8.4676999999999998E-8</c:v>
                  </c:pt>
                </c:numCache>
              </c:numRef>
            </c:plus>
            <c:minus>
              <c:numRef>
                <c:f>Response_Functions!$E$324:$E$330</c:f>
                <c:numCache>
                  <c:formatCode>General</c:formatCode>
                  <c:ptCount val="7"/>
                  <c:pt idx="0">
                    <c:v>1.018E-6</c:v>
                  </c:pt>
                  <c:pt idx="1">
                    <c:v>8.4582000000000004E-7</c:v>
                  </c:pt>
                  <c:pt idx="2">
                    <c:v>7.5167000000000001E-8</c:v>
                  </c:pt>
                  <c:pt idx="3">
                    <c:v>8.0121000000000007E-8</c:v>
                  </c:pt>
                  <c:pt idx="4">
                    <c:v>7.3155999999999997E-8</c:v>
                  </c:pt>
                  <c:pt idx="5">
                    <c:v>7.7378999999999994E-8</c:v>
                  </c:pt>
                  <c:pt idx="6">
                    <c:v>8.4676999999999998E-8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Response_Functions!$A$324:$A$330</c:f>
              <c:numCache>
                <c:formatCode>General</c:formatCode>
                <c:ptCount val="7"/>
                <c:pt idx="0">
                  <c:v>152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160</c:v>
                </c:pt>
              </c:numCache>
            </c:numRef>
          </c:xVal>
          <c:yVal>
            <c:numRef>
              <c:f>Response_Functions!$D$324:$D$330</c:f>
              <c:numCache>
                <c:formatCode>General</c:formatCode>
                <c:ptCount val="7"/>
                <c:pt idx="0">
                  <c:v>1.0435283498438151E-5</c:v>
                </c:pt>
                <c:pt idx="1">
                  <c:v>1.0668179958331799E-5</c:v>
                </c:pt>
                <c:pt idx="2">
                  <c:v>1.0067035245704227E-5</c:v>
                </c:pt>
                <c:pt idx="3">
                  <c:v>1.0242075440956102E-5</c:v>
                </c:pt>
                <c:pt idx="4">
                  <c:v>9.8422047832299953E-6</c:v>
                </c:pt>
                <c:pt idx="5">
                  <c:v>1.0596821052923017E-5</c:v>
                </c:pt>
                <c:pt idx="6">
                  <c:v>1.1249950241947503E-5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48576"/>
        <c:axId val="397049136"/>
      </c:scatterChart>
      <c:valAx>
        <c:axId val="3970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49136"/>
        <c:crosses val="autoZero"/>
        <c:crossBetween val="midCat"/>
      </c:valAx>
      <c:valAx>
        <c:axId val="397049136"/>
        <c:scaling>
          <c:orientation val="minMax"/>
          <c:min val="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66 - Dysprosium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Response_Functions!$C$352:$C$354</c:f>
                <c:numCache>
                  <c:formatCode>General</c:formatCode>
                  <c:ptCount val="3"/>
                  <c:pt idx="0">
                    <c:v>2.7739999999999999E-5</c:v>
                  </c:pt>
                  <c:pt idx="1">
                    <c:v>2.5820999999999999E-5</c:v>
                  </c:pt>
                  <c:pt idx="2">
                    <c:v>3.6997999999999998E-7</c:v>
                  </c:pt>
                </c:numCache>
              </c:numRef>
            </c:plus>
            <c:minus>
              <c:numRef>
                <c:f>Response_Functions!$C$352:$C$354</c:f>
                <c:numCache>
                  <c:formatCode>General</c:formatCode>
                  <c:ptCount val="3"/>
                  <c:pt idx="0">
                    <c:v>2.7739999999999999E-5</c:v>
                  </c:pt>
                  <c:pt idx="1">
                    <c:v>2.5820999999999999E-5</c:v>
                  </c:pt>
                  <c:pt idx="2">
                    <c:v>3.6997999999999998E-7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Response_Functions!$A$352:$A$354</c:f>
              <c:numCache>
                <c:formatCode>General</c:formatCode>
                <c:ptCount val="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</c:numCache>
            </c:numRef>
          </c:xVal>
          <c:yVal>
            <c:numRef>
              <c:f>Response_Functions!$B$352:$B$354</c:f>
              <c:numCache>
                <c:formatCode>General</c:formatCode>
                <c:ptCount val="3"/>
                <c:pt idx="0" formatCode="0.00E+00">
                  <c:v>1.102E-5</c:v>
                </c:pt>
                <c:pt idx="1">
                  <c:v>1.7332491592007708E-5</c:v>
                </c:pt>
                <c:pt idx="2">
                  <c:v>7.7857916733744045E-6</c:v>
                </c:pt>
              </c:numCache>
            </c:numRef>
          </c:yVal>
          <c:smooth val="0"/>
        </c:ser>
        <c:ser>
          <c:idx val="1"/>
          <c:order val="1"/>
          <c:tx>
            <c:v>66 - Dysprosium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Response_Functions!$E$352:$E$354</c:f>
                <c:numCache>
                  <c:formatCode>General</c:formatCode>
                  <c:ptCount val="3"/>
                  <c:pt idx="0">
                    <c:v>2.5820999999999999E-5</c:v>
                  </c:pt>
                  <c:pt idx="1">
                    <c:v>1.9246000000000002E-6</c:v>
                  </c:pt>
                  <c:pt idx="2">
                    <c:v>2.7589999999999998E-7</c:v>
                  </c:pt>
                </c:numCache>
              </c:numRef>
            </c:plus>
            <c:minus>
              <c:numRef>
                <c:f>Response_Functions!$E$352:$E$354</c:f>
                <c:numCache>
                  <c:formatCode>General</c:formatCode>
                  <c:ptCount val="3"/>
                  <c:pt idx="0">
                    <c:v>2.5820999999999999E-5</c:v>
                  </c:pt>
                  <c:pt idx="1">
                    <c:v>1.9246000000000002E-6</c:v>
                  </c:pt>
                  <c:pt idx="2">
                    <c:v>2.7589999999999998E-7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Response_Functions!$A$352:$A$354</c:f>
              <c:numCache>
                <c:formatCode>General</c:formatCode>
                <c:ptCount val="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</c:numCache>
            </c:numRef>
          </c:xVal>
          <c:yVal>
            <c:numRef>
              <c:f>Response_Functions!$D$352:$D$354</c:f>
              <c:numCache>
                <c:formatCode>0.00E+00</c:formatCode>
                <c:ptCount val="3"/>
                <c:pt idx="0">
                  <c:v>1.0271E-5</c:v>
                </c:pt>
                <c:pt idx="1">
                  <c:v>1.0606000000000001E-6</c:v>
                </c:pt>
                <c:pt idx="2" formatCode="General">
                  <c:v>6.6442074069403478E-6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52496"/>
        <c:axId val="397053056"/>
      </c:scatterChart>
      <c:valAx>
        <c:axId val="397052496"/>
        <c:scaling>
          <c:orientation val="minMax"/>
          <c:max val="161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3056"/>
        <c:crosses val="autoZero"/>
        <c:crossBetween val="midCat"/>
      </c:valAx>
      <c:valAx>
        <c:axId val="3970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(ppm/cps)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58 - Cerium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Response_Functions!$C$235:$C$238</c:f>
                <c:numCache>
                  <c:formatCode>General</c:formatCode>
                  <c:ptCount val="4"/>
                  <c:pt idx="0">
                    <c:v>2.8437E-7</c:v>
                  </c:pt>
                  <c:pt idx="1">
                    <c:v>3.2399999999999999E-7</c:v>
                  </c:pt>
                  <c:pt idx="2">
                    <c:v>8.4117999999999999E-8</c:v>
                  </c:pt>
                  <c:pt idx="3">
                    <c:v>2.5502999999999997E-7</c:v>
                  </c:pt>
                </c:numCache>
              </c:numRef>
            </c:plus>
            <c:minus>
              <c:numRef>
                <c:f>Response_Functions!$C$235:$C$238</c:f>
                <c:numCache>
                  <c:formatCode>General</c:formatCode>
                  <c:ptCount val="4"/>
                  <c:pt idx="0">
                    <c:v>2.8437E-7</c:v>
                  </c:pt>
                  <c:pt idx="1">
                    <c:v>3.2399999999999999E-7</c:v>
                  </c:pt>
                  <c:pt idx="2">
                    <c:v>8.4117999999999999E-8</c:v>
                  </c:pt>
                  <c:pt idx="3">
                    <c:v>2.5502999999999997E-7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Response_Functions!$A$235:$A$238</c:f>
              <c:numCache>
                <c:formatCode>General</c:formatCode>
                <c:ptCount val="4"/>
                <c:pt idx="0">
                  <c:v>136</c:v>
                </c:pt>
                <c:pt idx="1">
                  <c:v>138</c:v>
                </c:pt>
                <c:pt idx="2">
                  <c:v>140</c:v>
                </c:pt>
                <c:pt idx="3">
                  <c:v>142</c:v>
                </c:pt>
              </c:numCache>
            </c:numRef>
          </c:xVal>
          <c:yVal>
            <c:numRef>
              <c:f>Response_Functions!$B$235:$B$238</c:f>
              <c:numCache>
                <c:formatCode>General</c:formatCode>
                <c:ptCount val="4"/>
                <c:pt idx="0">
                  <c:v>1.1208854587832373E-5</c:v>
                </c:pt>
                <c:pt idx="1">
                  <c:v>1.2232773432395395E-5</c:v>
                </c:pt>
                <c:pt idx="2">
                  <c:v>1.184988032653669E-5</c:v>
                </c:pt>
                <c:pt idx="3">
                  <c:v>1.2054921112994076E-5</c:v>
                </c:pt>
              </c:numCache>
            </c:numRef>
          </c:yVal>
          <c:smooth val="0"/>
        </c:ser>
        <c:ser>
          <c:idx val="1"/>
          <c:order val="1"/>
          <c:tx>
            <c:v>58 - Cerium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Response_Functions!$E$235:$E$238</c:f>
                <c:numCache>
                  <c:formatCode>General</c:formatCode>
                  <c:ptCount val="4"/>
                  <c:pt idx="0">
                    <c:v>2.9248999999999999E-7</c:v>
                  </c:pt>
                  <c:pt idx="1">
                    <c:v>2.9970000000000002E-7</c:v>
                  </c:pt>
                  <c:pt idx="2">
                    <c:v>8.0327000000000002E-8</c:v>
                  </c:pt>
                  <c:pt idx="3">
                    <c:v>2.2851E-7</c:v>
                  </c:pt>
                </c:numCache>
              </c:numRef>
            </c:plus>
            <c:minus>
              <c:numRef>
                <c:f>Response_Functions!$E$235:$E$238</c:f>
                <c:numCache>
                  <c:formatCode>General</c:formatCode>
                  <c:ptCount val="4"/>
                  <c:pt idx="0">
                    <c:v>2.9248999999999999E-7</c:v>
                  </c:pt>
                  <c:pt idx="1">
                    <c:v>2.9970000000000002E-7</c:v>
                  </c:pt>
                  <c:pt idx="2">
                    <c:v>8.0327000000000002E-8</c:v>
                  </c:pt>
                  <c:pt idx="3">
                    <c:v>2.2851E-7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Response_Functions!$A$235:$A$238</c:f>
              <c:numCache>
                <c:formatCode>General</c:formatCode>
                <c:ptCount val="4"/>
                <c:pt idx="0">
                  <c:v>136</c:v>
                </c:pt>
                <c:pt idx="1">
                  <c:v>138</c:v>
                </c:pt>
                <c:pt idx="2">
                  <c:v>140</c:v>
                </c:pt>
                <c:pt idx="3">
                  <c:v>142</c:v>
                </c:pt>
              </c:numCache>
            </c:numRef>
          </c:xVal>
          <c:yVal>
            <c:numRef>
              <c:f>Response_Functions!$D$235:$D$238</c:f>
              <c:numCache>
                <c:formatCode>General</c:formatCode>
                <c:ptCount val="4"/>
                <c:pt idx="0">
                  <c:v>1.1426398031300387E-5</c:v>
                </c:pt>
                <c:pt idx="1">
                  <c:v>1.116302616249068E-5</c:v>
                </c:pt>
                <c:pt idx="2">
                  <c:v>1.1322345679241876E-5</c:v>
                </c:pt>
                <c:pt idx="3">
                  <c:v>1.1172269767816761E-5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56416"/>
        <c:axId val="397056976"/>
      </c:scatterChart>
      <c:valAx>
        <c:axId val="3970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6976"/>
        <c:crosses val="autoZero"/>
        <c:crossBetween val="midCat"/>
      </c:valAx>
      <c:valAx>
        <c:axId val="397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 Response (ppb/cps)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5467923066994"/>
          <c:y val="5.0925925925925923E-2"/>
          <c:w val="0.4688399810679402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46 - Palladium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135493309237984E-2"/>
                  <c:y val="0.10365230387868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Response_Functions!$C$102:$C$107</c:f>
                <c:numCache>
                  <c:formatCode>General</c:formatCode>
                  <c:ptCount val="6"/>
                  <c:pt idx="0">
                    <c:v>1.0485E-5</c:v>
                  </c:pt>
                  <c:pt idx="1">
                    <c:v>5.3316999999999995E-7</c:v>
                  </c:pt>
                  <c:pt idx="2">
                    <c:v>1.8190999999999999E-7</c:v>
                  </c:pt>
                  <c:pt idx="3">
                    <c:v>1.7197E-7</c:v>
                  </c:pt>
                  <c:pt idx="4">
                    <c:v>1.3847E-7</c:v>
                  </c:pt>
                  <c:pt idx="5">
                    <c:v>1.2785E-7</c:v>
                  </c:pt>
                </c:numCache>
              </c:numRef>
            </c:plus>
            <c:minus>
              <c:numRef>
                <c:f>Response_Functions!$C$102:$C$107</c:f>
                <c:numCache>
                  <c:formatCode>General</c:formatCode>
                  <c:ptCount val="6"/>
                  <c:pt idx="0">
                    <c:v>1.0485E-5</c:v>
                  </c:pt>
                  <c:pt idx="1">
                    <c:v>5.3316999999999995E-7</c:v>
                  </c:pt>
                  <c:pt idx="2">
                    <c:v>1.8190999999999999E-7</c:v>
                  </c:pt>
                  <c:pt idx="3">
                    <c:v>1.7197E-7</c:v>
                  </c:pt>
                  <c:pt idx="4">
                    <c:v>1.3847E-7</c:v>
                  </c:pt>
                  <c:pt idx="5">
                    <c:v>1.2785E-7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Response_Functions!$A$102:$A$107</c:f>
              <c:numCache>
                <c:formatCode>General</c:formatCode>
                <c:ptCount val="6"/>
                <c:pt idx="0">
                  <c:v>102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</c:numCache>
            </c:numRef>
          </c:xVal>
          <c:yVal>
            <c:numRef>
              <c:f>Response_Functions!$B$102:$B$107</c:f>
              <c:numCache>
                <c:formatCode>General</c:formatCode>
                <c:ptCount val="6"/>
                <c:pt idx="0">
                  <c:v>2.9387599999999983E-5</c:v>
                </c:pt>
                <c:pt idx="1">
                  <c:v>2.6731440458648408E-5</c:v>
                </c:pt>
                <c:pt idx="2">
                  <c:v>2.3392168180575388E-5</c:v>
                </c:pt>
                <c:pt idx="3">
                  <c:v>2.2533653306263264E-5</c:v>
                </c:pt>
                <c:pt idx="4">
                  <c:v>1.8351792628904698E-5</c:v>
                </c:pt>
                <c:pt idx="5">
                  <c:v>1.6022836643625863E-5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20192"/>
        <c:axId val="366219632"/>
      </c:scatterChart>
      <c:valAx>
        <c:axId val="3662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19632"/>
        <c:crosses val="autoZero"/>
        <c:crossBetween val="midCat"/>
      </c:valAx>
      <c:valAx>
        <c:axId val="366219632"/>
        <c:scaling>
          <c:orientation val="minMax"/>
          <c:max val="3.9000000000000013E-5"/>
          <c:min val="1.400000000000000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5462097550306211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40 - Zirconium MS - D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Response_Functions!$C$38:$C$42</c:f>
                <c:numCache>
                  <c:formatCode>General</c:formatCode>
                  <c:ptCount val="5"/>
                  <c:pt idx="0">
                    <c:v>2.0484E-7</c:v>
                  </c:pt>
                  <c:pt idx="1">
                    <c:v>2.3010999999999999E-7</c:v>
                  </c:pt>
                  <c:pt idx="2">
                    <c:v>2.6012999999999999E-7</c:v>
                  </c:pt>
                  <c:pt idx="3">
                    <c:v>2.1797000000000001E-7</c:v>
                  </c:pt>
                  <c:pt idx="4">
                    <c:v>9.1060999999999997E-7</c:v>
                  </c:pt>
                </c:numCache>
              </c:numRef>
            </c:plus>
            <c:minus>
              <c:numRef>
                <c:f>Response_Functions!$C$38:$C$42</c:f>
                <c:numCache>
                  <c:formatCode>General</c:formatCode>
                  <c:ptCount val="5"/>
                  <c:pt idx="0">
                    <c:v>2.0484E-7</c:v>
                  </c:pt>
                  <c:pt idx="1">
                    <c:v>2.3010999999999999E-7</c:v>
                  </c:pt>
                  <c:pt idx="2">
                    <c:v>2.6012999999999999E-7</c:v>
                  </c:pt>
                  <c:pt idx="3">
                    <c:v>2.1797000000000001E-7</c:v>
                  </c:pt>
                  <c:pt idx="4">
                    <c:v>9.1060999999999997E-7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Response_Functions!$A$38:$A$42</c:f>
              <c:numCache>
                <c:formatCode>General</c:formatCode>
                <c:ptCount val="5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</c:numCache>
            </c:numRef>
          </c:xVal>
          <c:yVal>
            <c:numRef>
              <c:f>Response_Functions!$B$38:$B$42</c:f>
              <c:numCache>
                <c:formatCode>General</c:formatCode>
                <c:ptCount val="5"/>
                <c:pt idx="0">
                  <c:v>2.6991458934477839E-5</c:v>
                </c:pt>
                <c:pt idx="1">
                  <c:v>2.6301087283510251E-5</c:v>
                </c:pt>
                <c:pt idx="2">
                  <c:v>2.5400160000000005E-5</c:v>
                </c:pt>
                <c:pt idx="3">
                  <c:v>2.3948358788453312E-5</c:v>
                </c:pt>
                <c:pt idx="4">
                  <c:v>2.1776969775354431E-5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10896"/>
        <c:axId val="370229840"/>
      </c:scatterChart>
      <c:valAx>
        <c:axId val="2168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29840"/>
        <c:crosses val="autoZero"/>
        <c:crossBetween val="midCat"/>
        <c:majorUnit val="1"/>
      </c:valAx>
      <c:valAx>
        <c:axId val="370229840"/>
        <c:scaling>
          <c:orientation val="minMax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82022593402151"/>
          <c:y val="0.32735808023996998"/>
          <c:w val="0.2801797740659786"/>
          <c:h val="0.196365926986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51186242344706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42 - Molybdenum MS - 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Response_Functions!$G$55:$G$61</c:f>
                <c:numCache>
                  <c:formatCode>General</c:formatCode>
                  <c:ptCount val="7"/>
                  <c:pt idx="0">
                    <c:v>4.4512E-7</c:v>
                  </c:pt>
                  <c:pt idx="1">
                    <c:v>6.0134999999999997E-7</c:v>
                  </c:pt>
                  <c:pt idx="2">
                    <c:v>2.3739999999999999E-7</c:v>
                  </c:pt>
                  <c:pt idx="3">
                    <c:v>2.3398999999999999E-7</c:v>
                  </c:pt>
                  <c:pt idx="4">
                    <c:v>2.2772E-7</c:v>
                  </c:pt>
                  <c:pt idx="5">
                    <c:v>1.9544000000000001E-7</c:v>
                  </c:pt>
                  <c:pt idx="6">
                    <c:v>1.9490999999999999E-7</c:v>
                  </c:pt>
                </c:numCache>
              </c:numRef>
            </c:plus>
            <c:minus>
              <c:numRef>
                <c:f>Response_Functions!$G$55:$G$61</c:f>
                <c:numCache>
                  <c:formatCode>General</c:formatCode>
                  <c:ptCount val="7"/>
                  <c:pt idx="0">
                    <c:v>4.4512E-7</c:v>
                  </c:pt>
                  <c:pt idx="1">
                    <c:v>6.0134999999999997E-7</c:v>
                  </c:pt>
                  <c:pt idx="2">
                    <c:v>2.3739999999999999E-7</c:v>
                  </c:pt>
                  <c:pt idx="3">
                    <c:v>2.3398999999999999E-7</c:v>
                  </c:pt>
                  <c:pt idx="4">
                    <c:v>2.2772E-7</c:v>
                  </c:pt>
                  <c:pt idx="5">
                    <c:v>1.9544000000000001E-7</c:v>
                  </c:pt>
                  <c:pt idx="6">
                    <c:v>1.9490999999999999E-7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Response_Functions!$F$55:$F$61</c:f>
              <c:numCache>
                <c:formatCode>General</c:formatCode>
                <c:ptCount val="7"/>
                <c:pt idx="0">
                  <c:v>3.0907135177387148E-5</c:v>
                </c:pt>
                <c:pt idx="1">
                  <c:v>2.9019200000000005E-5</c:v>
                </c:pt>
                <c:pt idx="2">
                  <c:v>2.7971454591775478E-5</c:v>
                </c:pt>
                <c:pt idx="3">
                  <c:v>2.678279999999999E-5</c:v>
                </c:pt>
                <c:pt idx="4">
                  <c:v>2.5473615302840944E-5</c:v>
                </c:pt>
                <c:pt idx="5">
                  <c:v>2.4667457650726227E-5</c:v>
                </c:pt>
                <c:pt idx="6">
                  <c:v>2.2318025098121774E-5</c:v>
                </c:pt>
              </c:numCache>
            </c:numRef>
          </c:yVal>
          <c:smooth val="0"/>
        </c:ser>
        <c:ser>
          <c:idx val="1"/>
          <c:order val="1"/>
          <c:tx>
            <c:v>42 - Molybdenum MSCS - 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Response_Functions!$C$55:$C$61</c:f>
                <c:numCache>
                  <c:formatCode>General</c:formatCode>
                  <c:ptCount val="7"/>
                  <c:pt idx="0">
                    <c:v>2.8710999999999998E-7</c:v>
                  </c:pt>
                  <c:pt idx="1">
                    <c:v>2.8037000000000002E-7</c:v>
                  </c:pt>
                  <c:pt idx="2">
                    <c:v>2.5400999999999998E-7</c:v>
                  </c:pt>
                  <c:pt idx="3">
                    <c:v>2.3678999999999999E-7</c:v>
                  </c:pt>
                  <c:pt idx="4">
                    <c:v>2.4196999999999999E-7</c:v>
                  </c:pt>
                  <c:pt idx="5">
                    <c:v>1.9782999999999999E-7</c:v>
                  </c:pt>
                  <c:pt idx="6">
                    <c:v>2.0755E-7</c:v>
                  </c:pt>
                </c:numCache>
              </c:numRef>
            </c:plus>
            <c:minus>
              <c:numRef>
                <c:f>Response_Functions!$C$55:$C$61</c:f>
                <c:numCache>
                  <c:formatCode>General</c:formatCode>
                  <c:ptCount val="7"/>
                  <c:pt idx="0">
                    <c:v>2.8710999999999998E-7</c:v>
                  </c:pt>
                  <c:pt idx="1">
                    <c:v>2.8037000000000002E-7</c:v>
                  </c:pt>
                  <c:pt idx="2">
                    <c:v>2.5400999999999998E-7</c:v>
                  </c:pt>
                  <c:pt idx="3">
                    <c:v>2.3678999999999999E-7</c:v>
                  </c:pt>
                  <c:pt idx="4">
                    <c:v>2.4196999999999999E-7</c:v>
                  </c:pt>
                  <c:pt idx="5">
                    <c:v>1.9782999999999999E-7</c:v>
                  </c:pt>
                  <c:pt idx="6">
                    <c:v>2.0755E-7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Response_Functions!$B$55:$B$61</c:f>
              <c:numCache>
                <c:formatCode>General</c:formatCode>
                <c:ptCount val="7"/>
                <c:pt idx="0">
                  <c:v>3.5641895637903889E-5</c:v>
                </c:pt>
                <c:pt idx="1">
                  <c:v>3.2471980341287574E-5</c:v>
                </c:pt>
                <c:pt idx="2">
                  <c:v>3.2346063747169129E-5</c:v>
                </c:pt>
                <c:pt idx="3">
                  <c:v>3.0584347879419794E-5</c:v>
                </c:pt>
                <c:pt idx="4">
                  <c:v>2.8860637401157962E-5</c:v>
                </c:pt>
                <c:pt idx="5">
                  <c:v>2.6992592667658885E-5</c:v>
                </c:pt>
                <c:pt idx="6">
                  <c:v>2.5371044910938207E-5</c:v>
                </c:pt>
              </c:numCache>
            </c:numRef>
          </c:yVal>
          <c:smooth val="0"/>
        </c:ser>
        <c:ser>
          <c:idx val="2"/>
          <c:order val="2"/>
          <c:tx>
            <c:v>42 - Molybdenum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Response_Functions!$E$55:$E$61</c:f>
                <c:numCache>
                  <c:formatCode>General</c:formatCode>
                  <c:ptCount val="7"/>
                  <c:pt idx="0">
                    <c:v>2.244E-7</c:v>
                  </c:pt>
                  <c:pt idx="1">
                    <c:v>2.2721000000000001E-7</c:v>
                  </c:pt>
                  <c:pt idx="2">
                    <c:v>1.9343999999999999E-7</c:v>
                  </c:pt>
                  <c:pt idx="3">
                    <c:v>1.86E-7</c:v>
                  </c:pt>
                  <c:pt idx="4">
                    <c:v>1.92E-7</c:v>
                  </c:pt>
                  <c:pt idx="5">
                    <c:v>1.5892E-7</c:v>
                  </c:pt>
                  <c:pt idx="6">
                    <c:v>1.5811E-7</c:v>
                  </c:pt>
                </c:numCache>
              </c:numRef>
            </c:plus>
            <c:minus>
              <c:numRef>
                <c:f>Response_Functions!$E$55:$E$61</c:f>
                <c:numCache>
                  <c:formatCode>General</c:formatCode>
                  <c:ptCount val="7"/>
                  <c:pt idx="0">
                    <c:v>2.244E-7</c:v>
                  </c:pt>
                  <c:pt idx="1">
                    <c:v>2.2721000000000001E-7</c:v>
                  </c:pt>
                  <c:pt idx="2">
                    <c:v>1.9343999999999999E-7</c:v>
                  </c:pt>
                  <c:pt idx="3">
                    <c:v>1.86E-7</c:v>
                  </c:pt>
                  <c:pt idx="4">
                    <c:v>1.92E-7</c:v>
                  </c:pt>
                  <c:pt idx="5">
                    <c:v>1.5892E-7</c:v>
                  </c:pt>
                  <c:pt idx="6">
                    <c:v>1.5811E-7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Response_Functions!$D$55:$D$61</c:f>
              <c:numCache>
                <c:formatCode>General</c:formatCode>
                <c:ptCount val="7"/>
                <c:pt idx="0">
                  <c:v>2.8765488006219012E-5</c:v>
                </c:pt>
                <c:pt idx="1">
                  <c:v>2.723261820889949E-5</c:v>
                </c:pt>
                <c:pt idx="2">
                  <c:v>2.5425550089119419E-5</c:v>
                </c:pt>
                <c:pt idx="3">
                  <c:v>2.4668408564655274E-5</c:v>
                </c:pt>
                <c:pt idx="4">
                  <c:v>2.3707375637586854E-5</c:v>
                </c:pt>
                <c:pt idx="5">
                  <c:v>2.2052627154373581E-5</c:v>
                </c:pt>
                <c:pt idx="6">
                  <c:v>2.006188107582337E-5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70832"/>
        <c:axId val="394371392"/>
      </c:scatterChart>
      <c:valAx>
        <c:axId val="3943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1392"/>
        <c:crosses val="autoZero"/>
        <c:crossBetween val="midCat"/>
      </c:valAx>
      <c:valAx>
        <c:axId val="394371392"/>
        <c:scaling>
          <c:orientation val="minMax"/>
          <c:min val="1.9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02606967987359"/>
          <c:y val="0.36085834725204802"/>
          <c:w val="0.28297375536287706"/>
          <c:h val="0.20494873109990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9382914580653"/>
          <c:y val="4.9886621315192746E-2"/>
          <c:w val="0.41189022854441465"/>
          <c:h val="0.70369262963751156"/>
        </c:manualLayout>
      </c:layout>
      <c:scatterChart>
        <c:scatterStyle val="lineMarker"/>
        <c:varyColors val="0"/>
        <c:ser>
          <c:idx val="0"/>
          <c:order val="0"/>
          <c:tx>
            <c:v>38 - Strontium MSCS - M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Response_Functions!$C$2:$C$4</c:f>
                <c:numCache>
                  <c:formatCode>General</c:formatCode>
                  <c:ptCount val="3"/>
                  <c:pt idx="0">
                    <c:v>1.9016999999999999E-7</c:v>
                  </c:pt>
                  <c:pt idx="1">
                    <c:v>2.1243999999999999E-7</c:v>
                  </c:pt>
                  <c:pt idx="2">
                    <c:v>1.7079999999999999E-7</c:v>
                  </c:pt>
                </c:numCache>
              </c:numRef>
            </c:plus>
            <c:minus>
              <c:numRef>
                <c:f>Response_Functions!$C$2:$C$4</c:f>
                <c:numCache>
                  <c:formatCode>General</c:formatCode>
                  <c:ptCount val="3"/>
                  <c:pt idx="0">
                    <c:v>1.9016999999999999E-7</c:v>
                  </c:pt>
                  <c:pt idx="1">
                    <c:v>2.1243999999999999E-7</c:v>
                  </c:pt>
                  <c:pt idx="2">
                    <c:v>1.7079999999999999E-7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Response_Functions!$B$2:$B$4</c:f>
              <c:numCache>
                <c:formatCode>0.00000E+00</c:formatCode>
                <c:ptCount val="3"/>
                <c:pt idx="0" formatCode="General">
                  <c:v>2.353581101620872E-5</c:v>
                </c:pt>
                <c:pt idx="1">
                  <c:v>2.4599959836800267E-5</c:v>
                </c:pt>
                <c:pt idx="2" formatCode="General">
                  <c:v>2.5018747862363668E-5</c:v>
                </c:pt>
              </c:numCache>
            </c:numRef>
          </c:yVal>
          <c:smooth val="0"/>
        </c:ser>
        <c:ser>
          <c:idx val="1"/>
          <c:order val="1"/>
          <c:tx>
            <c:v>38 - Strontium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Response_Functions!$E$2:$E$4</c:f>
                <c:numCache>
                  <c:formatCode>General</c:formatCode>
                  <c:ptCount val="3"/>
                  <c:pt idx="0">
                    <c:v>1.5253E-7</c:v>
                  </c:pt>
                  <c:pt idx="1">
                    <c:v>1.6348000000000001E-7</c:v>
                  </c:pt>
                  <c:pt idx="2">
                    <c:v>1.3454000000000001E-7</c:v>
                  </c:pt>
                </c:numCache>
              </c:numRef>
            </c:plus>
            <c:minus>
              <c:numRef>
                <c:f>Response_Functions!$E$2:$E$4</c:f>
                <c:numCache>
                  <c:formatCode>General</c:formatCode>
                  <c:ptCount val="3"/>
                  <c:pt idx="0">
                    <c:v>1.5253E-7</c:v>
                  </c:pt>
                  <c:pt idx="1">
                    <c:v>1.6348000000000001E-7</c:v>
                  </c:pt>
                  <c:pt idx="2">
                    <c:v>1.3454000000000001E-7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Response_Functions!$D$2:$D$4</c:f>
              <c:numCache>
                <c:formatCode>General</c:formatCode>
                <c:ptCount val="3"/>
                <c:pt idx="0">
                  <c:v>1.9428764845842166E-5</c:v>
                </c:pt>
                <c:pt idx="1">
                  <c:v>1.9746092185452076E-5</c:v>
                </c:pt>
                <c:pt idx="2">
                  <c:v>1.9823566157714151E-5</c:v>
                </c:pt>
              </c:numCache>
            </c:numRef>
          </c:yVal>
          <c:smooth val="0"/>
        </c:ser>
        <c:ser>
          <c:idx val="2"/>
          <c:order val="2"/>
          <c:tx>
            <c:v>38 - Strontium Custom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Response_Functions!$G$2:$G$4</c:f>
                <c:numCache>
                  <c:formatCode>General</c:formatCode>
                  <c:ptCount val="3"/>
                  <c:pt idx="0">
                    <c:v>2.0577E-7</c:v>
                  </c:pt>
                  <c:pt idx="1">
                    <c:v>7.5499000000000001E-7</c:v>
                  </c:pt>
                  <c:pt idx="2">
                    <c:v>1.7364000000000001E-7</c:v>
                  </c:pt>
                </c:numCache>
              </c:numRef>
            </c:plus>
            <c:minus>
              <c:numRef>
                <c:f>Response_Functions!$G$2:$G$4</c:f>
                <c:numCache>
                  <c:formatCode>General</c:formatCode>
                  <c:ptCount val="3"/>
                  <c:pt idx="0">
                    <c:v>2.0577E-7</c:v>
                  </c:pt>
                  <c:pt idx="1">
                    <c:v>7.5499000000000001E-7</c:v>
                  </c:pt>
                  <c:pt idx="2">
                    <c:v>1.7364000000000001E-7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Response_Functions!$F$2:$F$4</c:f>
              <c:numCache>
                <c:formatCode>0.00E+00</c:formatCode>
                <c:ptCount val="3"/>
                <c:pt idx="0" formatCode="General">
                  <c:v>2.2128952513694301E-5</c:v>
                </c:pt>
                <c:pt idx="1">
                  <c:v>2.2200000000000001E-5</c:v>
                </c:pt>
                <c:pt idx="2" formatCode="General">
                  <c:v>2.1955098917916703E-5</c:v>
                </c:pt>
              </c:numCache>
            </c:numRef>
          </c:yVal>
          <c:smooth val="0"/>
        </c:ser>
        <c:ser>
          <c:idx val="3"/>
          <c:order val="3"/>
          <c:tx>
            <c:v>38 - Strontium Custom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Response_Functions!$I$2:$I$4</c:f>
                <c:numCache>
                  <c:formatCode>General</c:formatCode>
                  <c:ptCount val="3"/>
                  <c:pt idx="0">
                    <c:v>1.7679999999999999E-7</c:v>
                  </c:pt>
                  <c:pt idx="1">
                    <c:v>5.2536000000000004E-7</c:v>
                  </c:pt>
                  <c:pt idx="2">
                    <c:v>1.5526E-7</c:v>
                  </c:pt>
                </c:numCache>
              </c:numRef>
            </c:plus>
            <c:minus>
              <c:numRef>
                <c:f>Response_Functions!$I$2:$I$4</c:f>
                <c:numCache>
                  <c:formatCode>General</c:formatCode>
                  <c:ptCount val="3"/>
                  <c:pt idx="0">
                    <c:v>1.7679999999999999E-7</c:v>
                  </c:pt>
                  <c:pt idx="1">
                    <c:v>5.2536000000000004E-7</c:v>
                  </c:pt>
                  <c:pt idx="2">
                    <c:v>1.5526E-7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Response_Functions!$H$2:$H$4</c:f>
              <c:numCache>
                <c:formatCode>General</c:formatCode>
                <c:ptCount val="3"/>
                <c:pt idx="0">
                  <c:v>1.9386449701220263E-5</c:v>
                </c:pt>
                <c:pt idx="1">
                  <c:v>1.9746092185452076E-5</c:v>
                </c:pt>
                <c:pt idx="2">
                  <c:v>1.9682182471682226E-5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75872"/>
        <c:axId val="394376432"/>
      </c:scatterChart>
      <c:valAx>
        <c:axId val="394375872"/>
        <c:scaling>
          <c:orientation val="minMax"/>
          <c:max val="89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6432"/>
        <c:crosses val="autoZero"/>
        <c:crossBetween val="midCat"/>
        <c:majorUnit val="1"/>
      </c:valAx>
      <c:valAx>
        <c:axId val="394376432"/>
        <c:scaling>
          <c:orientation val="minMax"/>
          <c:max val="2.550000000000001E-5"/>
          <c:min val="1.9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5795139265622"/>
          <c:y val="0.27437534593890045"/>
          <c:w val="0.29784255108579061"/>
          <c:h val="0.32470514441465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4648991688538932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48 - Cadmium MSCS - M 1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Response_Functions!$C$126:$C$133</c:f>
                <c:numCache>
                  <c:formatCode>General</c:formatCode>
                  <c:ptCount val="8"/>
                  <c:pt idx="0">
                    <c:v>5.0370000000000004E-7</c:v>
                  </c:pt>
                  <c:pt idx="1">
                    <c:v>4.3785000000000002E-7</c:v>
                  </c:pt>
                  <c:pt idx="2">
                    <c:v>1.7343000000000001E-7</c:v>
                  </c:pt>
                  <c:pt idx="3">
                    <c:v>1.5781999999999999E-7</c:v>
                  </c:pt>
                  <c:pt idx="4">
                    <c:v>1.4196000000000001E-7</c:v>
                  </c:pt>
                  <c:pt idx="5">
                    <c:v>1.9562E-7</c:v>
                  </c:pt>
                  <c:pt idx="6">
                    <c:v>1.3288999999999999E-7</c:v>
                  </c:pt>
                  <c:pt idx="7">
                    <c:v>1.2473999999999999E-7</c:v>
                  </c:pt>
                </c:numCache>
              </c:numRef>
            </c:plus>
            <c:minus>
              <c:numRef>
                <c:f>Response_Functions!$C$126:$C$133</c:f>
                <c:numCache>
                  <c:formatCode>General</c:formatCode>
                  <c:ptCount val="8"/>
                  <c:pt idx="0">
                    <c:v>5.0370000000000004E-7</c:v>
                  </c:pt>
                  <c:pt idx="1">
                    <c:v>4.3785000000000002E-7</c:v>
                  </c:pt>
                  <c:pt idx="2">
                    <c:v>1.7343000000000001E-7</c:v>
                  </c:pt>
                  <c:pt idx="3">
                    <c:v>1.5781999999999999E-7</c:v>
                  </c:pt>
                  <c:pt idx="4">
                    <c:v>1.4196000000000001E-7</c:v>
                  </c:pt>
                  <c:pt idx="5">
                    <c:v>1.9562E-7</c:v>
                  </c:pt>
                  <c:pt idx="6">
                    <c:v>1.3288999999999999E-7</c:v>
                  </c:pt>
                  <c:pt idx="7">
                    <c:v>1.2473999999999999E-7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Response_Functions!$A$126:$A$133</c:f>
              <c:numCache>
                <c:formatCode>General</c:formatCode>
                <c:ptCount val="8"/>
                <c:pt idx="0">
                  <c:v>106</c:v>
                </c:pt>
                <c:pt idx="1">
                  <c:v>108</c:v>
                </c:pt>
                <c:pt idx="2">
                  <c:v>110</c:v>
                </c:pt>
                <c:pt idx="3">
                  <c:v>111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116</c:v>
                </c:pt>
              </c:numCache>
            </c:numRef>
          </c:xVal>
          <c:yVal>
            <c:numRef>
              <c:f>Response_Functions!$B$126:$B$133</c:f>
              <c:numCache>
                <c:formatCode>General</c:formatCode>
                <c:ptCount val="8"/>
                <c:pt idx="0">
                  <c:v>3.1168278294715083E-5</c:v>
                </c:pt>
                <c:pt idx="1">
                  <c:v>2.5538913773796191E-5</c:v>
                </c:pt>
                <c:pt idx="2">
                  <c:v>2.2459102670935487E-5</c:v>
                </c:pt>
                <c:pt idx="3">
                  <c:v>2.0710783070107492E-5</c:v>
                </c:pt>
                <c:pt idx="4">
                  <c:v>1.9852254240810681E-5</c:v>
                </c:pt>
                <c:pt idx="5" formatCode="0.00E+00">
                  <c:v>1.9219199999999994E-5</c:v>
                </c:pt>
                <c:pt idx="6">
                  <c:v>1.8853012076842368E-5</c:v>
                </c:pt>
                <c:pt idx="7">
                  <c:v>1.5798424442237999E-5</c:v>
                </c:pt>
              </c:numCache>
            </c:numRef>
          </c:yVal>
          <c:smooth val="0"/>
        </c:ser>
        <c:ser>
          <c:idx val="1"/>
          <c:order val="1"/>
          <c:tx>
            <c:v>48 - Cadmium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Response_Functions!$E$126:$E$133</c:f>
                <c:numCache>
                  <c:formatCode>General</c:formatCode>
                  <c:ptCount val="8"/>
                  <c:pt idx="0">
                    <c:v>3.9841999999999999E-7</c:v>
                  </c:pt>
                  <c:pt idx="1">
                    <c:v>3.3761999999999998E-7</c:v>
                  </c:pt>
                  <c:pt idx="2">
                    <c:v>1.4418000000000001E-7</c:v>
                  </c:pt>
                  <c:pt idx="3">
                    <c:v>1.3553E-7</c:v>
                  </c:pt>
                  <c:pt idx="4">
                    <c:v>1.2263999999999999E-7</c:v>
                  </c:pt>
                  <c:pt idx="5">
                    <c:v>1.7018999999999999E-7</c:v>
                  </c:pt>
                  <c:pt idx="6">
                    <c:v>1.1637E-7</c:v>
                  </c:pt>
                  <c:pt idx="7">
                    <c:v>1.0771E-7</c:v>
                  </c:pt>
                </c:numCache>
              </c:numRef>
            </c:plus>
            <c:minus>
              <c:numRef>
                <c:f>Response_Functions!$E$126:$E$133</c:f>
                <c:numCache>
                  <c:formatCode>General</c:formatCode>
                  <c:ptCount val="8"/>
                  <c:pt idx="0">
                    <c:v>3.9841999999999999E-7</c:v>
                  </c:pt>
                  <c:pt idx="1">
                    <c:v>3.3761999999999998E-7</c:v>
                  </c:pt>
                  <c:pt idx="2">
                    <c:v>1.4418000000000001E-7</c:v>
                  </c:pt>
                  <c:pt idx="3">
                    <c:v>1.3553E-7</c:v>
                  </c:pt>
                  <c:pt idx="4">
                    <c:v>1.2263999999999999E-7</c:v>
                  </c:pt>
                  <c:pt idx="5">
                    <c:v>1.7018999999999999E-7</c:v>
                  </c:pt>
                  <c:pt idx="6">
                    <c:v>1.1637E-7</c:v>
                  </c:pt>
                  <c:pt idx="7">
                    <c:v>1.0771E-7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Response_Functions!$A$126:$A$133</c:f>
              <c:numCache>
                <c:formatCode>General</c:formatCode>
                <c:ptCount val="8"/>
                <c:pt idx="0">
                  <c:v>106</c:v>
                </c:pt>
                <c:pt idx="1">
                  <c:v>108</c:v>
                </c:pt>
                <c:pt idx="2">
                  <c:v>110</c:v>
                </c:pt>
                <c:pt idx="3">
                  <c:v>111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116</c:v>
                </c:pt>
              </c:numCache>
            </c:numRef>
          </c:xVal>
          <c:yVal>
            <c:numRef>
              <c:f>Response_Functions!$D$126:$D$133</c:f>
              <c:numCache>
                <c:formatCode>General</c:formatCode>
                <c:ptCount val="8"/>
                <c:pt idx="0">
                  <c:v>2.6392357803125887E-5</c:v>
                </c:pt>
                <c:pt idx="1">
                  <c:v>2.126403769469627E-5</c:v>
                </c:pt>
                <c:pt idx="2">
                  <c:v>1.9053493753556293E-5</c:v>
                </c:pt>
                <c:pt idx="3">
                  <c:v>1.8068638792486091E-5</c:v>
                </c:pt>
                <c:pt idx="4">
                  <c:v>1.7306601141934645E-5</c:v>
                </c:pt>
                <c:pt idx="5" formatCode="0.00E+00">
                  <c:v>1.6711599999999998E-5</c:v>
                </c:pt>
                <c:pt idx="6">
                  <c:v>1.6623063643747749E-5</c:v>
                </c:pt>
                <c:pt idx="7">
                  <c:v>1.3891443272120761E-5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79792"/>
        <c:axId val="394380352"/>
      </c:scatterChart>
      <c:valAx>
        <c:axId val="394379792"/>
        <c:scaling>
          <c:orientation val="minMax"/>
          <c:max val="117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0352"/>
        <c:crosses val="autoZero"/>
        <c:crossBetween val="midCat"/>
        <c:majorUnit val="2"/>
      </c:valAx>
      <c:valAx>
        <c:axId val="394380352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50 - Tin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Response_Functions!$C$161:$C$170</c:f>
                <c:numCache>
                  <c:formatCode>General</c:formatCode>
                  <c:ptCount val="10"/>
                  <c:pt idx="0">
                    <c:v>1.6408E-7</c:v>
                  </c:pt>
                  <c:pt idx="1">
                    <c:v>1.7823E-7</c:v>
                  </c:pt>
                  <c:pt idx="2">
                    <c:v>2.2828999999999999E-7</c:v>
                  </c:pt>
                  <c:pt idx="3">
                    <c:v>8.8682E-8</c:v>
                  </c:pt>
                  <c:pt idx="4">
                    <c:v>9.3396999999999999E-8</c:v>
                  </c:pt>
                  <c:pt idx="5">
                    <c:v>8.5746000000000006E-8</c:v>
                  </c:pt>
                  <c:pt idx="6">
                    <c:v>9.3232999999999998E-8</c:v>
                  </c:pt>
                  <c:pt idx="7">
                    <c:v>8.6070000000000002E-8</c:v>
                  </c:pt>
                  <c:pt idx="8">
                    <c:v>1.0348E-7</c:v>
                  </c:pt>
                  <c:pt idx="9">
                    <c:v>1.0206E-7</c:v>
                  </c:pt>
                </c:numCache>
              </c:numRef>
            </c:plus>
            <c:minus>
              <c:numRef>
                <c:f>Response_Functions!$C$161:$C$170</c:f>
                <c:numCache>
                  <c:formatCode>General</c:formatCode>
                  <c:ptCount val="10"/>
                  <c:pt idx="0">
                    <c:v>1.6408E-7</c:v>
                  </c:pt>
                  <c:pt idx="1">
                    <c:v>1.7823E-7</c:v>
                  </c:pt>
                  <c:pt idx="2">
                    <c:v>2.2828999999999999E-7</c:v>
                  </c:pt>
                  <c:pt idx="3">
                    <c:v>8.8682E-8</c:v>
                  </c:pt>
                  <c:pt idx="4">
                    <c:v>9.3396999999999999E-8</c:v>
                  </c:pt>
                  <c:pt idx="5">
                    <c:v>8.5746000000000006E-8</c:v>
                  </c:pt>
                  <c:pt idx="6">
                    <c:v>9.3232999999999998E-8</c:v>
                  </c:pt>
                  <c:pt idx="7">
                    <c:v>8.6070000000000002E-8</c:v>
                  </c:pt>
                  <c:pt idx="8">
                    <c:v>1.0348E-7</c:v>
                  </c:pt>
                  <c:pt idx="9">
                    <c:v>1.0206E-7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Response_Functions!$A$161:$A$170</c:f>
              <c:numCache>
                <c:formatCode>General</c:formatCode>
                <c:ptCount val="10"/>
                <c:pt idx="0">
                  <c:v>112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122</c:v>
                </c:pt>
                <c:pt idx="9">
                  <c:v>124</c:v>
                </c:pt>
              </c:numCache>
            </c:numRef>
          </c:xVal>
          <c:yVal>
            <c:numRef>
              <c:f>Response_Functions!$B$161:$B$170</c:f>
              <c:numCache>
                <c:formatCode>General</c:formatCode>
                <c:ptCount val="10"/>
                <c:pt idx="0">
                  <c:v>1.2329547187846371E-5</c:v>
                </c:pt>
                <c:pt idx="1">
                  <c:v>1.1788114008923246E-5</c:v>
                </c:pt>
                <c:pt idx="2">
                  <c:v>1.1560064736362522E-5</c:v>
                </c:pt>
                <c:pt idx="3">
                  <c:v>1.1643714508292503E-5</c:v>
                </c:pt>
                <c:pt idx="4">
                  <c:v>1.1577727708125483E-5</c:v>
                </c:pt>
                <c:pt idx="5">
                  <c:v>1.158487499384165E-5</c:v>
                </c:pt>
                <c:pt idx="6">
                  <c:v>1.1689921763259351E-5</c:v>
                </c:pt>
                <c:pt idx="7" formatCode="0.00000E+00">
                  <c:v>1.1755210180595706E-5</c:v>
                </c:pt>
                <c:pt idx="8" formatCode="0.00000E+00">
                  <c:v>1.1703094232123653E-5</c:v>
                </c:pt>
                <c:pt idx="9" formatCode="0.00000E+00">
                  <c:v>1.1863E-5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83152"/>
        <c:axId val="394383712"/>
      </c:scatterChart>
      <c:valAx>
        <c:axId val="394383152"/>
        <c:scaling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3712"/>
        <c:crosses val="autoZero"/>
        <c:crossBetween val="midCat"/>
        <c:majorUnit val="2"/>
      </c:valAx>
      <c:valAx>
        <c:axId val="3943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52 - Tellurium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Response_Functions!$C$177:$C$184</c:f>
                <c:numCache>
                  <c:formatCode>General</c:formatCode>
                  <c:ptCount val="8"/>
                  <c:pt idx="0">
                    <c:v>7.1500000000000003E-5</c:v>
                  </c:pt>
                  <c:pt idx="1">
                    <c:v>8.5590000000000006E-6</c:v>
                  </c:pt>
                  <c:pt idx="2">
                    <c:v>6.9642999999999997E-5</c:v>
                  </c:pt>
                  <c:pt idx="3">
                    <c:v>4.9007000000000004E-6</c:v>
                  </c:pt>
                  <c:pt idx="4">
                    <c:v>9.0605999999999995E-7</c:v>
                  </c:pt>
                  <c:pt idx="5">
                    <c:v>6.7428999999999998E-7</c:v>
                  </c:pt>
                  <c:pt idx="6">
                    <c:v>5.8729999999999997E-7</c:v>
                  </c:pt>
                  <c:pt idx="7">
                    <c:v>5.5772999999999995E-7</c:v>
                  </c:pt>
                </c:numCache>
              </c:numRef>
            </c:plus>
            <c:minus>
              <c:numRef>
                <c:f>Response_Functions!$C$177:$C$184</c:f>
                <c:numCache>
                  <c:formatCode>General</c:formatCode>
                  <c:ptCount val="8"/>
                  <c:pt idx="0">
                    <c:v>7.1500000000000003E-5</c:v>
                  </c:pt>
                  <c:pt idx="1">
                    <c:v>8.5590000000000006E-6</c:v>
                  </c:pt>
                  <c:pt idx="2">
                    <c:v>6.9642999999999997E-5</c:v>
                  </c:pt>
                  <c:pt idx="3">
                    <c:v>4.9007000000000004E-6</c:v>
                  </c:pt>
                  <c:pt idx="4">
                    <c:v>9.0605999999999995E-7</c:v>
                  </c:pt>
                  <c:pt idx="5">
                    <c:v>6.7428999999999998E-7</c:v>
                  </c:pt>
                  <c:pt idx="6">
                    <c:v>5.8729999999999997E-7</c:v>
                  </c:pt>
                  <c:pt idx="7">
                    <c:v>5.5772999999999995E-7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Response_Functions!$A$177:$A$184</c:f>
              <c:numCache>
                <c:formatCode>General</c:formatCode>
                <c:ptCount val="8"/>
                <c:pt idx="0">
                  <c:v>120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130</c:v>
                </c:pt>
              </c:numCache>
            </c:numRef>
          </c:xVal>
          <c:yVal>
            <c:numRef>
              <c:f>Response_Functions!$B$177:$B$184</c:f>
              <c:numCache>
                <c:formatCode>0.00E+00</c:formatCode>
                <c:ptCount val="8"/>
                <c:pt idx="0">
                  <c:v>7.9604000000000006E-5</c:v>
                </c:pt>
                <c:pt idx="1">
                  <c:v>7.9118999999999999E-5</c:v>
                </c:pt>
                <c:pt idx="2" formatCode="General">
                  <c:v>6.3258246769317162E-5</c:v>
                </c:pt>
                <c:pt idx="3">
                  <c:v>7.4377999999999998E-5</c:v>
                </c:pt>
                <c:pt idx="4" formatCode="General">
                  <c:v>7.3141916007837666E-5</c:v>
                </c:pt>
                <c:pt idx="5" formatCode="General">
                  <c:v>7.1828508292685154E-5</c:v>
                </c:pt>
                <c:pt idx="6" formatCode="General">
                  <c:v>6.929453188858384E-5</c:v>
                </c:pt>
                <c:pt idx="7" formatCode="General">
                  <c:v>6.6845732680619789E-5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85536"/>
        <c:axId val="395386096"/>
      </c:scatterChart>
      <c:valAx>
        <c:axId val="3953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6096"/>
        <c:crosses val="autoZero"/>
        <c:crossBetween val="midCat"/>
      </c:valAx>
      <c:valAx>
        <c:axId val="3953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56 - Barium MSCS - M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Response_Functions!$C$206:$C$212</c:f>
                <c:numCache>
                  <c:formatCode>General</c:formatCode>
                  <c:ptCount val="7"/>
                  <c:pt idx="0">
                    <c:v>4.8345999999999996E-7</c:v>
                  </c:pt>
                  <c:pt idx="1">
                    <c:v>3.9684E-7</c:v>
                  </c:pt>
                  <c:pt idx="2">
                    <c:v>1.1281E-7</c:v>
                  </c:pt>
                  <c:pt idx="3">
                    <c:v>9.3746999999999999E-8</c:v>
                  </c:pt>
                  <c:pt idx="4">
                    <c:v>8.9115000000000001E-8</c:v>
                  </c:pt>
                  <c:pt idx="5">
                    <c:v>8.5494999999999999E-8</c:v>
                  </c:pt>
                  <c:pt idx="6">
                    <c:v>7.8817999999999998E-8</c:v>
                  </c:pt>
                </c:numCache>
              </c:numRef>
            </c:plus>
            <c:minus>
              <c:numRef>
                <c:f>Response_Functions!$C$206:$C$212</c:f>
                <c:numCache>
                  <c:formatCode>General</c:formatCode>
                  <c:ptCount val="7"/>
                  <c:pt idx="0">
                    <c:v>4.8345999999999996E-7</c:v>
                  </c:pt>
                  <c:pt idx="1">
                    <c:v>3.9684E-7</c:v>
                  </c:pt>
                  <c:pt idx="2">
                    <c:v>1.1281E-7</c:v>
                  </c:pt>
                  <c:pt idx="3">
                    <c:v>9.3746999999999999E-8</c:v>
                  </c:pt>
                  <c:pt idx="4">
                    <c:v>8.9115000000000001E-8</c:v>
                  </c:pt>
                  <c:pt idx="5">
                    <c:v>8.5494999999999999E-8</c:v>
                  </c:pt>
                  <c:pt idx="6">
                    <c:v>7.8817999999999998E-8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Response_Functions!$B$206:$B$212</c:f>
              <c:numCache>
                <c:formatCode>General</c:formatCode>
                <c:ptCount val="7"/>
                <c:pt idx="0">
                  <c:v>1.3992273019961364E-5</c:v>
                </c:pt>
                <c:pt idx="1">
                  <c:v>1.2055062277765068E-5</c:v>
                </c:pt>
                <c:pt idx="2">
                  <c:v>1.2063332237740226E-5</c:v>
                </c:pt>
                <c:pt idx="3">
                  <c:v>1.2106000708992044E-5</c:v>
                </c:pt>
                <c:pt idx="4">
                  <c:v>1.1797912739543089E-5</c:v>
                </c:pt>
                <c:pt idx="5">
                  <c:v>1.1735813996837039E-5</c:v>
                </c:pt>
                <c:pt idx="6" formatCode="0.000000E+00">
                  <c:v>1.1699323695286571E-5</c:v>
                </c:pt>
              </c:numCache>
            </c:numRef>
          </c:yVal>
          <c:smooth val="0"/>
        </c:ser>
        <c:ser>
          <c:idx val="1"/>
          <c:order val="1"/>
          <c:tx>
            <c:v>56 - Barium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Response_Functions!$E$206:$E$212</c:f>
                <c:numCache>
                  <c:formatCode>General</c:formatCode>
                  <c:ptCount val="7"/>
                  <c:pt idx="0">
                    <c:v>3.4592000000000002E-7</c:v>
                  </c:pt>
                  <c:pt idx="1">
                    <c:v>3.3789999999999998E-7</c:v>
                  </c:pt>
                  <c:pt idx="2">
                    <c:v>9.3002000000000001E-8</c:v>
                  </c:pt>
                  <c:pt idx="3">
                    <c:v>7.8815999999999996E-8</c:v>
                  </c:pt>
                  <c:pt idx="4">
                    <c:v>7.8073E-8</c:v>
                  </c:pt>
                  <c:pt idx="5">
                    <c:v>7.2672000000000004E-8</c:v>
                  </c:pt>
                  <c:pt idx="6">
                    <c:v>6.8859999999999996E-8</c:v>
                  </c:pt>
                </c:numCache>
              </c:numRef>
            </c:plus>
            <c:minus>
              <c:numRef>
                <c:f>Response_Functions!$E$206:$E$212</c:f>
                <c:numCache>
                  <c:formatCode>General</c:formatCode>
                  <c:ptCount val="7"/>
                  <c:pt idx="0">
                    <c:v>3.4592000000000002E-7</c:v>
                  </c:pt>
                  <c:pt idx="1">
                    <c:v>3.3789999999999998E-7</c:v>
                  </c:pt>
                  <c:pt idx="2">
                    <c:v>9.3002000000000001E-8</c:v>
                  </c:pt>
                  <c:pt idx="3">
                    <c:v>7.8815999999999996E-8</c:v>
                  </c:pt>
                  <c:pt idx="4">
                    <c:v>7.8073E-8</c:v>
                  </c:pt>
                  <c:pt idx="5">
                    <c:v>7.2672000000000004E-8</c:v>
                  </c:pt>
                  <c:pt idx="6">
                    <c:v>6.8859999999999996E-8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Response_Functions!$D$206:$D$212</c:f>
              <c:numCache>
                <c:formatCode>General</c:formatCode>
                <c:ptCount val="7"/>
                <c:pt idx="0">
                  <c:v>1.1158917927556199E-5</c:v>
                </c:pt>
                <c:pt idx="1">
                  <c:v>1.0813220427500283E-5</c:v>
                </c:pt>
                <c:pt idx="2">
                  <c:v>1.0322757779133619E-5</c:v>
                </c:pt>
                <c:pt idx="3">
                  <c:v>1.037757759031611E-5</c:v>
                </c:pt>
                <c:pt idx="4">
                  <c:v>1.0471866213091354E-5</c:v>
                </c:pt>
                <c:pt idx="5">
                  <c:v>1.00972470957663E-5</c:v>
                </c:pt>
                <c:pt idx="6" formatCode="0.000000E+00">
                  <c:v>1.0241204308391281E-5</c:v>
                </c:pt>
              </c:numCache>
            </c:numRef>
          </c:yVal>
          <c:smooth val="0"/>
        </c:ser>
        <c:ser>
          <c:idx val="2"/>
          <c:order val="2"/>
          <c:tx>
            <c:v>56 - Barium Custom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Response_Functions!$G$206:$G$212</c:f>
                <c:numCache>
                  <c:formatCode>General</c:formatCode>
                  <c:ptCount val="7"/>
                  <c:pt idx="0">
                    <c:v>4.6484999999999998E-7</c:v>
                  </c:pt>
                  <c:pt idx="1">
                    <c:v>5.0333999999999995E-7</c:v>
                  </c:pt>
                  <c:pt idx="2">
                    <c:v>1.2571999999999999E-7</c:v>
                  </c:pt>
                  <c:pt idx="3">
                    <c:v>1.0529E-7</c:v>
                  </c:pt>
                  <c:pt idx="4">
                    <c:v>1.0236E-7</c:v>
                  </c:pt>
                  <c:pt idx="5">
                    <c:v>9.8129000000000005E-8</c:v>
                  </c:pt>
                  <c:pt idx="6">
                    <c:v>9.0508999999999993E-8</c:v>
                  </c:pt>
                </c:numCache>
              </c:numRef>
            </c:plus>
            <c:minus>
              <c:numRef>
                <c:f>Response_Functions!$G$206:$G$212</c:f>
                <c:numCache>
                  <c:formatCode>General</c:formatCode>
                  <c:ptCount val="7"/>
                  <c:pt idx="0">
                    <c:v>4.6484999999999998E-7</c:v>
                  </c:pt>
                  <c:pt idx="1">
                    <c:v>5.0333999999999995E-7</c:v>
                  </c:pt>
                  <c:pt idx="2">
                    <c:v>1.2571999999999999E-7</c:v>
                  </c:pt>
                  <c:pt idx="3">
                    <c:v>1.0529E-7</c:v>
                  </c:pt>
                  <c:pt idx="4">
                    <c:v>1.0236E-7</c:v>
                  </c:pt>
                  <c:pt idx="5">
                    <c:v>9.8129000000000005E-8</c:v>
                  </c:pt>
                  <c:pt idx="6">
                    <c:v>9.0508999999999993E-8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Response_Functions!$F$206:$F$212</c:f>
              <c:numCache>
                <c:formatCode>General</c:formatCode>
                <c:ptCount val="7"/>
                <c:pt idx="0">
                  <c:v>1.2318073087524905E-5</c:v>
                </c:pt>
                <c:pt idx="1">
                  <c:v>1.2796256427041184E-5</c:v>
                </c:pt>
                <c:pt idx="2">
                  <c:v>1.1665159713776299E-5</c:v>
                </c:pt>
                <c:pt idx="3">
                  <c:v>1.1742998609765946E-5</c:v>
                </c:pt>
                <c:pt idx="4">
                  <c:v>1.167047410733261E-5</c:v>
                </c:pt>
                <c:pt idx="5">
                  <c:v>1.159712263453678E-5</c:v>
                </c:pt>
                <c:pt idx="6">
                  <c:v>1.1553601763718688E-5</c:v>
                </c:pt>
              </c:numCache>
            </c:numRef>
          </c:yVal>
          <c:smooth val="0"/>
        </c:ser>
        <c:ser>
          <c:idx val="3"/>
          <c:order val="3"/>
          <c:tx>
            <c:v>56 - Barium Custom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Response_Functions!$I$206:$I$212</c:f>
                <c:numCache>
                  <c:formatCode>General</c:formatCode>
                  <c:ptCount val="7"/>
                  <c:pt idx="0">
                    <c:v>3.6142999999999997E-7</c:v>
                  </c:pt>
                  <c:pt idx="1">
                    <c:v>3.8776999999999998E-7</c:v>
                  </c:pt>
                  <c:pt idx="2">
                    <c:v>1.0829E-7</c:v>
                  </c:pt>
                  <c:pt idx="3">
                    <c:v>9.2234000000000004E-8</c:v>
                  </c:pt>
                  <c:pt idx="4">
                    <c:v>8.9269000000000003E-8</c:v>
                  </c:pt>
                  <c:pt idx="5">
                    <c:v>8.5207000000000003E-8</c:v>
                  </c:pt>
                  <c:pt idx="6">
                    <c:v>7.9163999999999993E-8</c:v>
                  </c:pt>
                </c:numCache>
              </c:numRef>
            </c:plus>
            <c:minus>
              <c:numRef>
                <c:f>Response_Functions!$I$206:$I$212</c:f>
                <c:numCache>
                  <c:formatCode>General</c:formatCode>
                  <c:ptCount val="7"/>
                  <c:pt idx="0">
                    <c:v>3.6142999999999997E-7</c:v>
                  </c:pt>
                  <c:pt idx="1">
                    <c:v>3.8776999999999998E-7</c:v>
                  </c:pt>
                  <c:pt idx="2">
                    <c:v>1.0829E-7</c:v>
                  </c:pt>
                  <c:pt idx="3">
                    <c:v>9.2234000000000004E-8</c:v>
                  </c:pt>
                  <c:pt idx="4">
                    <c:v>8.9269000000000003E-8</c:v>
                  </c:pt>
                  <c:pt idx="5">
                    <c:v>8.5207000000000003E-8</c:v>
                  </c:pt>
                  <c:pt idx="6">
                    <c:v>7.9163999999999993E-8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Response_Functions!$H$206:$H$212</c:f>
              <c:numCache>
                <c:formatCode>General</c:formatCode>
                <c:ptCount val="7"/>
                <c:pt idx="0">
                  <c:v>1.03889173898032E-5</c:v>
                </c:pt>
                <c:pt idx="1">
                  <c:v>1.0727278273883766E-5</c:v>
                </c:pt>
                <c:pt idx="2">
                  <c:v>1.0339267883281342E-5</c:v>
                </c:pt>
                <c:pt idx="3">
                  <c:v>1.0438860064540341E-5</c:v>
                </c:pt>
                <c:pt idx="4">
                  <c:v>1.0315185091599789E-5</c:v>
                </c:pt>
                <c:pt idx="5">
                  <c:v>1.0176074637783849E-5</c:v>
                </c:pt>
                <c:pt idx="6">
                  <c:v>1.0124721269288153E-5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90016"/>
        <c:axId val="395390576"/>
      </c:scatterChart>
      <c:valAx>
        <c:axId val="3953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576"/>
        <c:crosses val="autoZero"/>
        <c:crossBetween val="midCat"/>
      </c:valAx>
      <c:valAx>
        <c:axId val="395390576"/>
        <c:scaling>
          <c:orientation val="minMax"/>
          <c:min val="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9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82</xdr:row>
      <xdr:rowOff>161927</xdr:rowOff>
    </xdr:from>
    <xdr:to>
      <xdr:col>11</xdr:col>
      <xdr:colOff>371474</xdr:colOff>
      <xdr:row>96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445634</xdr:colOff>
      <xdr:row>100</xdr:row>
      <xdr:rowOff>204107</xdr:rowOff>
    </xdr:from>
    <xdr:to>
      <xdr:col>12</xdr:col>
      <xdr:colOff>587829</xdr:colOff>
      <xdr:row>115</xdr:row>
      <xdr:rowOff>89807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119624</xdr:colOff>
      <xdr:row>37</xdr:row>
      <xdr:rowOff>174811</xdr:rowOff>
    </xdr:from>
    <xdr:to>
      <xdr:col>12</xdr:col>
      <xdr:colOff>440392</xdr:colOff>
      <xdr:row>50</xdr:row>
      <xdr:rowOff>117661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668789</xdr:colOff>
      <xdr:row>58</xdr:row>
      <xdr:rowOff>149679</xdr:rowOff>
    </xdr:from>
    <xdr:to>
      <xdr:col>13</xdr:col>
      <xdr:colOff>1050471</xdr:colOff>
      <xdr:row>75</xdr:row>
      <xdr:rowOff>53068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48065</xdr:colOff>
      <xdr:row>3</xdr:row>
      <xdr:rowOff>99813</xdr:rowOff>
    </xdr:from>
    <xdr:to>
      <xdr:col>14</xdr:col>
      <xdr:colOff>262378</xdr:colOff>
      <xdr:row>17</xdr:row>
      <xdr:rowOff>48106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200024</xdr:colOff>
      <xdr:row>124</xdr:row>
      <xdr:rowOff>180974</xdr:rowOff>
    </xdr:from>
    <xdr:to>
      <xdr:col>12</xdr:col>
      <xdr:colOff>295274</xdr:colOff>
      <xdr:row>138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588308</xdr:colOff>
      <xdr:row>159</xdr:row>
      <xdr:rowOff>342900</xdr:rowOff>
    </xdr:from>
    <xdr:to>
      <xdr:col>11</xdr:col>
      <xdr:colOff>252132</xdr:colOff>
      <xdr:row>174</xdr:row>
      <xdr:rowOff>15688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521072</xdr:colOff>
      <xdr:row>175</xdr:row>
      <xdr:rowOff>242046</xdr:rowOff>
    </xdr:from>
    <xdr:to>
      <xdr:col>11</xdr:col>
      <xdr:colOff>263337</xdr:colOff>
      <xdr:row>187</xdr:row>
      <xdr:rowOff>105335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757996</xdr:colOff>
      <xdr:row>208</xdr:row>
      <xdr:rowOff>51546</xdr:rowOff>
    </xdr:from>
    <xdr:to>
      <xdr:col>14</xdr:col>
      <xdr:colOff>141673</xdr:colOff>
      <xdr:row>222</xdr:row>
      <xdr:rowOff>127746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352985</xdr:colOff>
      <xdr:row>268</xdr:row>
      <xdr:rowOff>230841</xdr:rowOff>
    </xdr:from>
    <xdr:to>
      <xdr:col>12</xdr:col>
      <xdr:colOff>296955</xdr:colOff>
      <xdr:row>282</xdr:row>
      <xdr:rowOff>94129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691963</xdr:colOff>
      <xdr:row>294</xdr:row>
      <xdr:rowOff>188819</xdr:rowOff>
    </xdr:from>
    <xdr:to>
      <xdr:col>13</xdr:col>
      <xdr:colOff>28015</xdr:colOff>
      <xdr:row>309</xdr:row>
      <xdr:rowOff>68916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487456</xdr:colOff>
      <xdr:row>322</xdr:row>
      <xdr:rowOff>96370</xdr:rowOff>
    </xdr:from>
    <xdr:to>
      <xdr:col>12</xdr:col>
      <xdr:colOff>431426</xdr:colOff>
      <xdr:row>335</xdr:row>
      <xdr:rowOff>150159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352985</xdr:colOff>
      <xdr:row>350</xdr:row>
      <xdr:rowOff>320489</xdr:rowOff>
    </xdr:from>
    <xdr:to>
      <xdr:col>12</xdr:col>
      <xdr:colOff>296955</xdr:colOff>
      <xdr:row>364</xdr:row>
      <xdr:rowOff>183777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369794</xdr:colOff>
      <xdr:row>238</xdr:row>
      <xdr:rowOff>40342</xdr:rowOff>
    </xdr:from>
    <xdr:to>
      <xdr:col>12</xdr:col>
      <xdr:colOff>313764</xdr:colOff>
      <xdr:row>252</xdr:row>
      <xdr:rowOff>116542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S63"/>
  <sheetViews>
    <sheetView tabSelected="1" workbookViewId="0">
      <pane xSplit="2" ySplit="7" topLeftCell="BU11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5" x14ac:dyDescent="0.25"/>
  <cols>
    <col min="1" max="1" width="22.85546875" customWidth="1"/>
    <col min="2" max="2" width="32.85546875" customWidth="1"/>
    <col min="3" max="3" width="12" bestFit="1" customWidth="1"/>
    <col min="6" max="6" width="15.85546875" customWidth="1"/>
    <col min="7" max="7" width="12" bestFit="1" customWidth="1"/>
    <col min="9" max="10" width="12" bestFit="1" customWidth="1"/>
    <col min="11" max="11" width="11.28515625" bestFit="1" customWidth="1"/>
    <col min="12" max="15" width="12" bestFit="1" customWidth="1"/>
    <col min="16" max="16" width="12" style="41" bestFit="1" customWidth="1"/>
    <col min="17" max="25" width="12" bestFit="1" customWidth="1"/>
    <col min="26" max="26" width="12.7109375" bestFit="1" customWidth="1"/>
    <col min="27" max="27" width="11" bestFit="1" customWidth="1"/>
    <col min="28" max="36" width="12" bestFit="1" customWidth="1"/>
    <col min="38" max="43" width="12" bestFit="1" customWidth="1"/>
    <col min="45" max="45" width="12" style="41" bestFit="1" customWidth="1"/>
    <col min="47" max="47" width="12.7109375" style="41" bestFit="1" customWidth="1"/>
    <col min="49" max="50" width="12" bestFit="1" customWidth="1"/>
    <col min="52" max="52" width="12" bestFit="1" customWidth="1"/>
    <col min="54" max="54" width="12" bestFit="1" customWidth="1"/>
    <col min="56" max="79" width="12" bestFit="1" customWidth="1"/>
    <col min="80" max="80" width="12.7109375" bestFit="1" customWidth="1"/>
    <col min="81" max="82" width="12" bestFit="1" customWidth="1"/>
    <col min="84" max="84" width="12" bestFit="1" customWidth="1"/>
    <col min="88" max="89" width="12" bestFit="1" customWidth="1"/>
    <col min="92" max="96" width="12" bestFit="1" customWidth="1"/>
  </cols>
  <sheetData>
    <row r="1" spans="1:97" x14ac:dyDescent="0.25">
      <c r="B1" t="s">
        <v>0</v>
      </c>
      <c r="C1" s="2">
        <v>66</v>
      </c>
      <c r="D1" s="2">
        <v>70</v>
      </c>
      <c r="E1" s="2">
        <v>71</v>
      </c>
      <c r="F1" s="2">
        <v>72</v>
      </c>
      <c r="G1" s="2">
        <v>73</v>
      </c>
      <c r="H1" s="2">
        <v>74</v>
      </c>
      <c r="I1" s="2">
        <v>85</v>
      </c>
      <c r="J1" s="2">
        <v>86</v>
      </c>
      <c r="K1" s="2">
        <v>87</v>
      </c>
      <c r="L1" s="2">
        <v>88</v>
      </c>
      <c r="M1" s="2">
        <v>89</v>
      </c>
      <c r="N1" s="2">
        <v>90</v>
      </c>
      <c r="O1" s="2">
        <v>91</v>
      </c>
      <c r="P1" s="79">
        <v>92</v>
      </c>
      <c r="Q1" s="2">
        <v>93</v>
      </c>
      <c r="R1" s="2">
        <v>94</v>
      </c>
      <c r="S1" s="2">
        <v>95</v>
      </c>
      <c r="T1" s="2">
        <v>96</v>
      </c>
      <c r="U1" s="2">
        <v>97</v>
      </c>
      <c r="V1" s="2">
        <v>98</v>
      </c>
      <c r="W1" s="2">
        <v>99</v>
      </c>
      <c r="X1" s="2">
        <v>100</v>
      </c>
      <c r="Y1" s="2">
        <v>101</v>
      </c>
      <c r="Z1" s="2">
        <v>102</v>
      </c>
      <c r="AA1" s="2">
        <v>103</v>
      </c>
      <c r="AB1" s="2">
        <v>104</v>
      </c>
      <c r="AC1" s="2">
        <v>105</v>
      </c>
      <c r="AD1" s="2">
        <v>106</v>
      </c>
      <c r="AE1" s="2">
        <v>107</v>
      </c>
      <c r="AF1" s="2">
        <v>108</v>
      </c>
      <c r="AG1" s="2">
        <v>109</v>
      </c>
      <c r="AH1" s="2">
        <v>110</v>
      </c>
      <c r="AI1" s="2">
        <v>111</v>
      </c>
      <c r="AJ1" s="2">
        <v>112</v>
      </c>
      <c r="AK1" s="2">
        <v>113</v>
      </c>
      <c r="AL1" s="2">
        <v>114</v>
      </c>
      <c r="AM1" s="2">
        <v>115</v>
      </c>
      <c r="AN1" s="2">
        <v>116</v>
      </c>
      <c r="AO1" s="2">
        <v>117</v>
      </c>
      <c r="AP1" s="2">
        <v>118</v>
      </c>
      <c r="AQ1" s="2">
        <v>119</v>
      </c>
      <c r="AR1" s="2">
        <v>120</v>
      </c>
      <c r="AS1" s="79">
        <v>121</v>
      </c>
      <c r="AT1" s="2">
        <v>122</v>
      </c>
      <c r="AU1" s="79">
        <v>123</v>
      </c>
      <c r="AV1" s="2">
        <v>124</v>
      </c>
      <c r="AW1" s="2">
        <v>125</v>
      </c>
      <c r="AX1" s="2">
        <v>126</v>
      </c>
      <c r="AY1" s="2">
        <v>127</v>
      </c>
      <c r="AZ1" s="2">
        <v>128</v>
      </c>
      <c r="BA1" s="2">
        <v>129</v>
      </c>
      <c r="BB1" s="2">
        <v>130</v>
      </c>
      <c r="BC1" s="2">
        <v>131</v>
      </c>
      <c r="BD1" s="2">
        <v>132</v>
      </c>
      <c r="BE1" s="2">
        <v>133</v>
      </c>
      <c r="BF1" s="2">
        <v>134</v>
      </c>
      <c r="BG1" s="2">
        <v>135</v>
      </c>
      <c r="BH1" s="2">
        <v>136</v>
      </c>
      <c r="BI1" s="2">
        <v>137</v>
      </c>
      <c r="BJ1" s="2">
        <v>138</v>
      </c>
      <c r="BK1" s="2">
        <v>139</v>
      </c>
      <c r="BL1" s="2">
        <v>140</v>
      </c>
      <c r="BM1" s="2">
        <v>141</v>
      </c>
      <c r="BN1" s="2">
        <v>142</v>
      </c>
      <c r="BO1" s="2">
        <v>143</v>
      </c>
      <c r="BP1" s="2">
        <v>144</v>
      </c>
      <c r="BQ1" s="2">
        <v>145</v>
      </c>
      <c r="BR1" s="2">
        <v>146</v>
      </c>
      <c r="BS1" s="2">
        <v>147</v>
      </c>
      <c r="BT1" s="2">
        <v>148</v>
      </c>
      <c r="BU1" s="2">
        <v>149</v>
      </c>
      <c r="BV1" s="2">
        <v>150</v>
      </c>
      <c r="BW1" s="2">
        <v>151</v>
      </c>
      <c r="BX1" s="2">
        <v>152</v>
      </c>
      <c r="BY1" s="2">
        <v>153</v>
      </c>
      <c r="BZ1" s="2">
        <v>154</v>
      </c>
      <c r="CA1" s="2">
        <v>155</v>
      </c>
      <c r="CB1" s="2">
        <v>156</v>
      </c>
      <c r="CC1" s="2">
        <v>157</v>
      </c>
      <c r="CD1" s="2">
        <v>158</v>
      </c>
      <c r="CE1" s="2">
        <v>159</v>
      </c>
      <c r="CF1" s="2">
        <v>160</v>
      </c>
      <c r="CG1" s="2">
        <v>231</v>
      </c>
      <c r="CH1" s="2">
        <v>232</v>
      </c>
      <c r="CI1" s="2">
        <v>233</v>
      </c>
      <c r="CJ1" s="2">
        <v>234</v>
      </c>
      <c r="CK1" s="2">
        <v>235</v>
      </c>
      <c r="CL1" s="2">
        <v>236</v>
      </c>
      <c r="CM1" s="2">
        <v>237</v>
      </c>
      <c r="CN1" s="2">
        <v>238</v>
      </c>
      <c r="CO1" s="2">
        <v>239</v>
      </c>
      <c r="CP1" s="2">
        <v>240</v>
      </c>
      <c r="CQ1" s="2">
        <v>241</v>
      </c>
      <c r="CR1" s="2">
        <v>242</v>
      </c>
      <c r="CS1" s="2">
        <v>243</v>
      </c>
    </row>
    <row r="2" spans="1:97" x14ac:dyDescent="0.25">
      <c r="B2" t="s">
        <v>1</v>
      </c>
      <c r="C2" s="2" t="s">
        <v>2</v>
      </c>
      <c r="D2" s="2" t="s">
        <v>2</v>
      </c>
      <c r="E2" s="2" t="s">
        <v>3</v>
      </c>
      <c r="F2" s="2"/>
      <c r="G2" s="2"/>
      <c r="H2" s="2" t="s">
        <v>4</v>
      </c>
      <c r="I2" s="2" t="s">
        <v>5</v>
      </c>
      <c r="J2" s="2" t="s">
        <v>6</v>
      </c>
      <c r="K2" s="2" t="s">
        <v>5</v>
      </c>
      <c r="L2" s="2"/>
      <c r="M2" s="2" t="s">
        <v>7</v>
      </c>
      <c r="N2" s="2" t="s">
        <v>8</v>
      </c>
      <c r="O2" s="2" t="s">
        <v>8</v>
      </c>
      <c r="P2" s="79" t="s">
        <v>8</v>
      </c>
      <c r="Q2" s="2" t="s">
        <v>9</v>
      </c>
      <c r="R2" s="2" t="s">
        <v>8</v>
      </c>
      <c r="S2" s="2"/>
      <c r="T2" s="2" t="s">
        <v>8</v>
      </c>
      <c r="U2" s="2"/>
      <c r="V2" s="2"/>
      <c r="W2" s="2"/>
      <c r="X2" s="2"/>
      <c r="Y2" s="2"/>
      <c r="Z2" s="2" t="s">
        <v>10</v>
      </c>
      <c r="AA2" s="2"/>
      <c r="AB2" s="2" t="s">
        <v>10</v>
      </c>
      <c r="AC2" s="2" t="s">
        <v>10</v>
      </c>
      <c r="AD2" s="2" t="s">
        <v>10</v>
      </c>
      <c r="AE2" s="2"/>
      <c r="AF2" s="2" t="s">
        <v>10</v>
      </c>
      <c r="AG2" s="2"/>
      <c r="AH2" s="2" t="s">
        <v>10</v>
      </c>
      <c r="AI2" s="2"/>
      <c r="AJ2" s="2" t="s">
        <v>11</v>
      </c>
      <c r="AK2" s="2"/>
      <c r="AL2" s="2" t="s">
        <v>11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79"/>
      <c r="AT2" s="2" t="s">
        <v>11</v>
      </c>
      <c r="AU2" s="79"/>
      <c r="AV2" s="2" t="s">
        <v>11</v>
      </c>
      <c r="AW2" s="2"/>
      <c r="AX2" s="2"/>
      <c r="AY2" s="2"/>
      <c r="AZ2" s="3" t="s">
        <v>12</v>
      </c>
      <c r="BA2" s="3" t="s">
        <v>12</v>
      </c>
      <c r="BB2" s="3" t="s">
        <v>12</v>
      </c>
      <c r="BC2" s="3" t="s">
        <v>12</v>
      </c>
      <c r="BD2" s="3" t="s">
        <v>12</v>
      </c>
      <c r="BE2" s="2"/>
      <c r="BF2" s="3" t="s">
        <v>12</v>
      </c>
      <c r="BG2" s="2"/>
      <c r="BH2" s="2" t="s">
        <v>13</v>
      </c>
      <c r="BI2" s="2"/>
      <c r="BJ2" s="2" t="s">
        <v>13</v>
      </c>
      <c r="BK2" s="2"/>
      <c r="BL2" s="2" t="s">
        <v>13</v>
      </c>
      <c r="BM2" s="2"/>
      <c r="BN2" s="2" t="s">
        <v>13</v>
      </c>
      <c r="BO2" s="2"/>
      <c r="BP2" s="2" t="s">
        <v>14</v>
      </c>
      <c r="BQ2" s="2"/>
      <c r="BR2" s="2"/>
      <c r="BS2" s="2" t="s">
        <v>14</v>
      </c>
      <c r="BT2" s="2" t="s">
        <v>14</v>
      </c>
      <c r="BU2" s="2" t="s">
        <v>14</v>
      </c>
      <c r="BV2" s="2" t="s">
        <v>14</v>
      </c>
      <c r="BW2" s="2"/>
      <c r="BX2" s="2" t="s">
        <v>14</v>
      </c>
      <c r="BY2" s="2"/>
      <c r="BZ2" s="2" t="s">
        <v>14</v>
      </c>
      <c r="CA2" s="2"/>
      <c r="CB2" s="2" t="s">
        <v>15</v>
      </c>
      <c r="CC2" s="2"/>
      <c r="CD2" s="2" t="s">
        <v>15</v>
      </c>
      <c r="CE2" s="2"/>
      <c r="CF2" s="2" t="s">
        <v>15</v>
      </c>
      <c r="CG2" s="2"/>
      <c r="CH2" s="2"/>
      <c r="CI2" s="2"/>
      <c r="CJ2" s="2" t="s">
        <v>16</v>
      </c>
      <c r="CK2" s="2" t="s">
        <v>16</v>
      </c>
      <c r="CL2" s="2"/>
      <c r="CM2" s="2"/>
      <c r="CN2" s="2" t="s">
        <v>16</v>
      </c>
      <c r="CO2" s="2"/>
      <c r="CP2" s="2"/>
      <c r="CQ2" s="2"/>
      <c r="CR2" s="2"/>
      <c r="CS2" s="2"/>
    </row>
    <row r="3" spans="1:97" x14ac:dyDescent="0.25">
      <c r="B3" t="s">
        <v>343</v>
      </c>
      <c r="C3" s="2">
        <v>27.9</v>
      </c>
      <c r="D3" s="2">
        <v>0.62</v>
      </c>
      <c r="E3" s="2">
        <v>39.892000000000003</v>
      </c>
      <c r="F3" s="2"/>
      <c r="G3" s="2"/>
      <c r="H3" s="2">
        <v>0.89</v>
      </c>
      <c r="I3" s="2">
        <v>72.17</v>
      </c>
      <c r="J3" s="2">
        <v>17.3</v>
      </c>
      <c r="K3" s="2">
        <v>27.83</v>
      </c>
      <c r="L3" s="2"/>
      <c r="M3" s="2">
        <v>100</v>
      </c>
      <c r="N3" s="2">
        <v>51.45</v>
      </c>
      <c r="O3" s="2">
        <v>11.22</v>
      </c>
      <c r="P3" s="79">
        <v>17.149999999999999</v>
      </c>
      <c r="Q3" s="2">
        <v>100</v>
      </c>
      <c r="R3" s="2">
        <v>17.38</v>
      </c>
      <c r="S3" s="2"/>
      <c r="T3" s="2">
        <v>2.8</v>
      </c>
      <c r="U3" s="2"/>
      <c r="V3" s="2"/>
      <c r="W3" s="2"/>
      <c r="X3" s="2"/>
      <c r="Y3" s="2"/>
      <c r="Z3" s="2">
        <v>1.02</v>
      </c>
      <c r="AA3" s="2"/>
      <c r="AB3" s="2">
        <v>11.14</v>
      </c>
      <c r="AC3" s="2">
        <v>22.33</v>
      </c>
      <c r="AD3" s="2">
        <v>27.33</v>
      </c>
      <c r="AE3" s="2"/>
      <c r="AF3" s="2">
        <v>26.46</v>
      </c>
      <c r="AG3" s="2"/>
      <c r="AH3" s="2">
        <v>11.72</v>
      </c>
      <c r="AI3" s="2"/>
      <c r="AJ3" s="2">
        <v>0.97</v>
      </c>
      <c r="AK3" s="2"/>
      <c r="AL3" s="2">
        <v>0.66</v>
      </c>
      <c r="AM3" s="2">
        <v>0.34</v>
      </c>
      <c r="AN3" s="2">
        <v>14.54</v>
      </c>
      <c r="AO3" s="2">
        <v>7.68</v>
      </c>
      <c r="AP3" s="2">
        <v>24.22</v>
      </c>
      <c r="AQ3" s="2">
        <v>8.59</v>
      </c>
      <c r="AR3" s="2">
        <v>32.58</v>
      </c>
      <c r="AS3" s="79"/>
      <c r="AT3" s="2">
        <v>4.63</v>
      </c>
      <c r="AU3" s="79"/>
      <c r="AV3" s="2">
        <v>5.79</v>
      </c>
      <c r="AW3" s="2"/>
      <c r="AX3" s="2"/>
      <c r="AY3" s="2"/>
      <c r="AZ3" s="3">
        <v>1.92</v>
      </c>
      <c r="BA3" s="3">
        <v>26.44</v>
      </c>
      <c r="BB3" s="3">
        <v>4.08</v>
      </c>
      <c r="BC3" s="3">
        <v>21.18</v>
      </c>
      <c r="BD3" s="3">
        <v>26.89</v>
      </c>
      <c r="BE3" s="2"/>
      <c r="BF3" s="3">
        <v>10.44</v>
      </c>
      <c r="BG3" s="2"/>
      <c r="BH3" s="2">
        <v>0.185</v>
      </c>
      <c r="BI3" s="2"/>
      <c r="BJ3" s="2">
        <v>0.251</v>
      </c>
      <c r="BK3" s="2"/>
      <c r="BL3" s="2">
        <v>88.45</v>
      </c>
      <c r="BM3" s="2"/>
      <c r="BN3" s="2">
        <v>11.114000000000001</v>
      </c>
      <c r="BO3" s="2"/>
      <c r="BP3" s="2">
        <v>3.07</v>
      </c>
      <c r="BQ3" s="2"/>
      <c r="BR3" s="2"/>
      <c r="BS3" s="2">
        <v>14.99</v>
      </c>
      <c r="BT3" s="2">
        <v>11.24</v>
      </c>
      <c r="BU3" s="2">
        <v>13.82</v>
      </c>
      <c r="BV3" s="2">
        <v>7.38</v>
      </c>
      <c r="BW3" s="2"/>
      <c r="BX3" s="2">
        <v>26.75</v>
      </c>
      <c r="BY3" s="2"/>
      <c r="BZ3" s="2">
        <v>22.75</v>
      </c>
      <c r="CA3" s="2"/>
      <c r="CB3" s="2">
        <v>0.06</v>
      </c>
      <c r="CC3" s="2"/>
      <c r="CD3" s="2">
        <v>0.1</v>
      </c>
      <c r="CE3" s="2"/>
      <c r="CF3" s="2">
        <v>2.34</v>
      </c>
      <c r="CG3" s="2"/>
      <c r="CH3" s="2"/>
      <c r="CI3" s="2"/>
      <c r="CJ3" s="2">
        <f>100-CK3-CN3</f>
        <v>5.49999999999784E-3</v>
      </c>
      <c r="CK3" s="2">
        <v>0.72</v>
      </c>
      <c r="CL3" s="2"/>
      <c r="CM3" s="2"/>
      <c r="CN3" s="2">
        <v>99.274500000000003</v>
      </c>
      <c r="CO3" s="2"/>
      <c r="CP3" s="2"/>
      <c r="CQ3" s="2"/>
      <c r="CR3" s="2"/>
      <c r="CS3" s="2"/>
    </row>
    <row r="4" spans="1:97" x14ac:dyDescent="0.25">
      <c r="C4" s="2"/>
      <c r="D4" s="2" t="s">
        <v>17</v>
      </c>
      <c r="E4" s="2"/>
      <c r="F4" s="2" t="s">
        <v>17</v>
      </c>
      <c r="G4" s="2" t="s">
        <v>17</v>
      </c>
      <c r="H4" s="2" t="s">
        <v>17</v>
      </c>
      <c r="I4" s="2"/>
      <c r="J4" s="2" t="s">
        <v>18</v>
      </c>
      <c r="K4" s="2" t="s">
        <v>18</v>
      </c>
      <c r="L4" s="2" t="s">
        <v>18</v>
      </c>
      <c r="M4" s="2"/>
      <c r="N4" s="2"/>
      <c r="O4" s="2"/>
      <c r="P4" s="79" t="s">
        <v>19</v>
      </c>
      <c r="Q4" s="2"/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/>
      <c r="X4" s="2" t="s">
        <v>19</v>
      </c>
      <c r="Y4" s="2"/>
      <c r="Z4" s="2"/>
      <c r="AA4" s="2" t="s">
        <v>20</v>
      </c>
      <c r="AB4" s="2"/>
      <c r="AC4" s="2"/>
      <c r="AD4" s="2"/>
      <c r="AE4" s="2" t="s">
        <v>21</v>
      </c>
      <c r="AF4" s="2"/>
      <c r="AG4" s="2" t="s">
        <v>21</v>
      </c>
      <c r="AH4" s="2"/>
      <c r="AI4" s="2"/>
      <c r="AJ4" s="2"/>
      <c r="AK4" s="2" t="s">
        <v>22</v>
      </c>
      <c r="AL4" s="2"/>
      <c r="AM4" s="2" t="s">
        <v>22</v>
      </c>
      <c r="AN4" s="2"/>
      <c r="AO4" s="2"/>
      <c r="AP4" s="2"/>
      <c r="AQ4" s="2"/>
      <c r="AR4" s="2"/>
      <c r="AS4" s="79" t="s">
        <v>23</v>
      </c>
      <c r="AT4" s="2"/>
      <c r="AU4" s="79" t="s">
        <v>23</v>
      </c>
      <c r="AV4" s="3" t="s">
        <v>12</v>
      </c>
      <c r="AW4" s="2"/>
      <c r="AX4" s="3" t="s">
        <v>12</v>
      </c>
      <c r="AY4" s="2" t="s">
        <v>24</v>
      </c>
      <c r="AZ4" s="2"/>
      <c r="BA4" s="2"/>
      <c r="BB4" s="2" t="s">
        <v>25</v>
      </c>
      <c r="BC4" s="2"/>
      <c r="BD4" s="2" t="s">
        <v>25</v>
      </c>
      <c r="BE4" s="2"/>
      <c r="BF4" s="2" t="s">
        <v>25</v>
      </c>
      <c r="BG4" s="2" t="s">
        <v>25</v>
      </c>
      <c r="BH4" s="2" t="s">
        <v>25</v>
      </c>
      <c r="BI4" s="2" t="s">
        <v>25</v>
      </c>
      <c r="BJ4" s="2" t="s">
        <v>25</v>
      </c>
      <c r="BK4" s="2"/>
      <c r="BL4" s="2"/>
      <c r="BM4" s="2" t="s">
        <v>26</v>
      </c>
      <c r="BN4" s="2"/>
      <c r="BO4" s="2"/>
      <c r="BP4" s="2"/>
      <c r="BQ4" s="2"/>
      <c r="BR4" s="2"/>
      <c r="BS4" s="2"/>
      <c r="BT4" s="2"/>
      <c r="BU4" s="2"/>
      <c r="BV4" s="2"/>
      <c r="BW4" s="2" t="s">
        <v>27</v>
      </c>
      <c r="BX4" s="2"/>
      <c r="BY4" s="2" t="s">
        <v>27</v>
      </c>
      <c r="BZ4" s="2"/>
      <c r="CA4" s="2"/>
      <c r="CB4" s="2"/>
      <c r="CC4" s="2"/>
      <c r="CD4" s="2"/>
      <c r="CE4" s="2" t="s">
        <v>28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x14ac:dyDescent="0.25">
      <c r="C5" s="2"/>
      <c r="D5" s="2">
        <v>20.84</v>
      </c>
      <c r="E5" s="2"/>
      <c r="F5" s="2">
        <v>27.54</v>
      </c>
      <c r="G5" s="2">
        <v>7.73</v>
      </c>
      <c r="H5" s="2">
        <v>36.28</v>
      </c>
      <c r="I5" s="2"/>
      <c r="J5" s="2">
        <v>9.86</v>
      </c>
      <c r="K5" s="2">
        <v>7</v>
      </c>
      <c r="L5" s="2">
        <v>82.58</v>
      </c>
      <c r="M5" s="2"/>
      <c r="N5" s="2"/>
      <c r="O5" s="2"/>
      <c r="P5" s="79">
        <v>14.84</v>
      </c>
      <c r="Q5" s="2"/>
      <c r="R5" s="2">
        <v>9.25</v>
      </c>
      <c r="S5" s="2">
        <v>15.92</v>
      </c>
      <c r="T5" s="2">
        <v>16.68</v>
      </c>
      <c r="U5" s="2">
        <v>9.5500000000000007</v>
      </c>
      <c r="V5" s="2">
        <v>24.13</v>
      </c>
      <c r="W5" s="2"/>
      <c r="X5" s="2">
        <v>9.6300000000000008</v>
      </c>
      <c r="Y5" s="2"/>
      <c r="Z5" s="2"/>
      <c r="AA5" s="2">
        <v>100</v>
      </c>
      <c r="AB5" s="2"/>
      <c r="AC5" s="2"/>
      <c r="AD5" s="2"/>
      <c r="AE5" s="2">
        <v>51.838999999999999</v>
      </c>
      <c r="AF5" s="2"/>
      <c r="AG5" s="2">
        <v>48.161000000000001</v>
      </c>
      <c r="AH5" s="2"/>
      <c r="AI5" s="2"/>
      <c r="AJ5" s="2"/>
      <c r="AK5" s="2">
        <v>4.29</v>
      </c>
      <c r="AL5" s="2"/>
      <c r="AM5" s="2">
        <v>95.71</v>
      </c>
      <c r="AN5" s="2"/>
      <c r="AO5" s="2"/>
      <c r="AP5" s="2"/>
      <c r="AQ5" s="2"/>
      <c r="AR5" s="2"/>
      <c r="AS5" s="79">
        <v>57.21</v>
      </c>
      <c r="AT5" s="2"/>
      <c r="AU5" s="79">
        <v>42.79</v>
      </c>
      <c r="AV5" s="3">
        <v>0.09</v>
      </c>
      <c r="AW5" s="2"/>
      <c r="AX5" s="3">
        <v>0.09</v>
      </c>
      <c r="AY5" s="2">
        <v>100</v>
      </c>
      <c r="AZ5" s="2"/>
      <c r="BA5" s="2"/>
      <c r="BB5" s="2">
        <v>0.106</v>
      </c>
      <c r="BC5" s="2"/>
      <c r="BD5" s="2">
        <v>0.10100000000000001</v>
      </c>
      <c r="BE5" s="2"/>
      <c r="BF5" s="2">
        <v>2.4169999999999998</v>
      </c>
      <c r="BG5" s="2">
        <v>6.5919999999999996</v>
      </c>
      <c r="BH5" s="2">
        <v>7.8540000000000001</v>
      </c>
      <c r="BI5" s="2">
        <v>11.231999999999999</v>
      </c>
      <c r="BJ5" s="2">
        <v>71.697999999999993</v>
      </c>
      <c r="BK5" s="2"/>
      <c r="BL5" s="2"/>
      <c r="BM5" s="2">
        <v>100</v>
      </c>
      <c r="BN5" s="2"/>
      <c r="BO5" s="2"/>
      <c r="BP5" s="2"/>
      <c r="BQ5" s="2"/>
      <c r="BR5" s="2"/>
      <c r="BS5" s="2"/>
      <c r="BT5" s="2"/>
      <c r="BU5" s="2"/>
      <c r="BV5" s="2"/>
      <c r="BW5" s="2">
        <v>47.81</v>
      </c>
      <c r="BX5" s="2"/>
      <c r="BY5" s="2">
        <v>52.19</v>
      </c>
      <c r="BZ5" s="2"/>
      <c r="CA5" s="2"/>
      <c r="CB5" s="2"/>
      <c r="CC5" s="2"/>
      <c r="CD5" s="2"/>
      <c r="CE5" s="2">
        <v>100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79"/>
      <c r="Q6" s="2"/>
      <c r="R6" s="2"/>
      <c r="S6" s="2"/>
      <c r="T6" s="2" t="s">
        <v>29</v>
      </c>
      <c r="U6" s="2"/>
      <c r="V6" s="2" t="s">
        <v>29</v>
      </c>
      <c r="W6" s="2" t="s">
        <v>29</v>
      </c>
      <c r="X6" s="2" t="s">
        <v>29</v>
      </c>
      <c r="Y6" s="2" t="s">
        <v>29</v>
      </c>
      <c r="Z6" s="2" t="s">
        <v>29</v>
      </c>
      <c r="AA6" s="2"/>
      <c r="AB6" s="2" t="s">
        <v>29</v>
      </c>
      <c r="AC6" s="2"/>
      <c r="AD6" s="2" t="s">
        <v>30</v>
      </c>
      <c r="AE6" s="2"/>
      <c r="AF6" s="2" t="s">
        <v>30</v>
      </c>
      <c r="AG6" s="2"/>
      <c r="AH6" s="2" t="s">
        <v>30</v>
      </c>
      <c r="AI6" s="2" t="s">
        <v>30</v>
      </c>
      <c r="AJ6" s="2" t="s">
        <v>30</v>
      </c>
      <c r="AK6" s="2" t="s">
        <v>30</v>
      </c>
      <c r="AL6" s="2" t="s">
        <v>30</v>
      </c>
      <c r="AM6" s="2"/>
      <c r="AN6" s="2" t="s">
        <v>30</v>
      </c>
      <c r="AO6" s="2"/>
      <c r="AP6" s="2"/>
      <c r="AQ6" s="2"/>
      <c r="AR6" s="2" t="s">
        <v>31</v>
      </c>
      <c r="AS6" s="79"/>
      <c r="AT6" s="2" t="s">
        <v>31</v>
      </c>
      <c r="AU6" s="79" t="s">
        <v>31</v>
      </c>
      <c r="AV6" s="2" t="s">
        <v>31</v>
      </c>
      <c r="AW6" s="2" t="s">
        <v>31</v>
      </c>
      <c r="AX6" s="2" t="s">
        <v>31</v>
      </c>
      <c r="AY6" s="2"/>
      <c r="AZ6" s="2" t="s">
        <v>31</v>
      </c>
      <c r="BA6" s="2"/>
      <c r="BB6" s="2" t="s">
        <v>31</v>
      </c>
      <c r="BC6" s="2"/>
      <c r="BD6" s="2"/>
      <c r="BE6" s="2" t="s">
        <v>32</v>
      </c>
      <c r="BF6" s="2"/>
      <c r="BG6" s="2"/>
      <c r="BH6" s="3" t="s">
        <v>12</v>
      </c>
      <c r="BI6" s="2"/>
      <c r="BJ6" s="2" t="s">
        <v>33</v>
      </c>
      <c r="BK6" s="2" t="s">
        <v>33</v>
      </c>
      <c r="BL6" s="2"/>
      <c r="BM6" s="2"/>
      <c r="BN6" s="2" t="s">
        <v>34</v>
      </c>
      <c r="BO6" s="2" t="s">
        <v>34</v>
      </c>
      <c r="BP6" s="2" t="s">
        <v>34</v>
      </c>
      <c r="BQ6" s="2" t="s">
        <v>34</v>
      </c>
      <c r="BR6" s="2" t="s">
        <v>34</v>
      </c>
      <c r="BS6" s="2"/>
      <c r="BT6" s="2" t="s">
        <v>34</v>
      </c>
      <c r="BU6" s="2"/>
      <c r="BV6" s="2" t="s">
        <v>34</v>
      </c>
      <c r="BW6" s="2"/>
      <c r="BX6" s="2" t="s">
        <v>35</v>
      </c>
      <c r="BY6" s="2"/>
      <c r="BZ6" s="2" t="s">
        <v>35</v>
      </c>
      <c r="CA6" s="2" t="s">
        <v>35</v>
      </c>
      <c r="CB6" s="2" t="s">
        <v>35</v>
      </c>
      <c r="CC6" s="2" t="s">
        <v>35</v>
      </c>
      <c r="CD6" s="2" t="s">
        <v>35</v>
      </c>
      <c r="CE6" s="2"/>
      <c r="CF6" s="2" t="s">
        <v>35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7" x14ac:dyDescent="0.25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79"/>
      <c r="Q7" s="42"/>
      <c r="R7" s="13"/>
      <c r="S7" s="13"/>
      <c r="T7" s="13">
        <v>5.54</v>
      </c>
      <c r="U7" s="13"/>
      <c r="V7" s="13">
        <v>1.87</v>
      </c>
      <c r="W7" s="13">
        <v>12.76</v>
      </c>
      <c r="X7" s="13">
        <v>12.6</v>
      </c>
      <c r="Y7" s="13">
        <v>17.059999999999999</v>
      </c>
      <c r="Z7" s="13">
        <v>31.55</v>
      </c>
      <c r="AA7" s="13"/>
      <c r="AB7" s="13">
        <v>18.62</v>
      </c>
      <c r="AC7" s="13"/>
      <c r="AD7" s="13">
        <v>1.25</v>
      </c>
      <c r="AE7" s="13"/>
      <c r="AF7" s="13">
        <v>0.89</v>
      </c>
      <c r="AG7" s="13"/>
      <c r="AH7" s="13">
        <v>12.49</v>
      </c>
      <c r="AI7" s="13">
        <v>12.8</v>
      </c>
      <c r="AJ7" s="13">
        <v>24.13</v>
      </c>
      <c r="AK7" s="13">
        <v>12.22</v>
      </c>
      <c r="AL7" s="13">
        <v>28.73</v>
      </c>
      <c r="AM7" s="13"/>
      <c r="AN7" s="13">
        <v>7.49</v>
      </c>
      <c r="AO7" s="13"/>
      <c r="AP7" s="13"/>
      <c r="AQ7" s="13"/>
      <c r="AR7" s="13">
        <v>0.09</v>
      </c>
      <c r="AS7" s="81"/>
      <c r="AT7" s="13">
        <v>2.5499999999999998</v>
      </c>
      <c r="AU7" s="81">
        <v>0.89</v>
      </c>
      <c r="AV7" s="13">
        <v>4.74</v>
      </c>
      <c r="AW7" s="13">
        <v>7.07</v>
      </c>
      <c r="AX7" s="13">
        <v>18.84</v>
      </c>
      <c r="AY7" s="13"/>
      <c r="AZ7" s="13">
        <v>31.74</v>
      </c>
      <c r="BA7" s="13"/>
      <c r="BB7" s="13">
        <v>34.08</v>
      </c>
      <c r="BC7" s="13"/>
      <c r="BD7" s="13"/>
      <c r="BE7" s="13">
        <v>100</v>
      </c>
      <c r="BF7" s="13"/>
      <c r="BG7" s="13"/>
      <c r="BH7" s="46">
        <v>8.8699999999999992</v>
      </c>
      <c r="BI7" s="13"/>
      <c r="BJ7" s="13">
        <v>0.09</v>
      </c>
      <c r="BK7" s="13">
        <v>99.91</v>
      </c>
      <c r="BL7" s="13"/>
      <c r="BM7" s="13"/>
      <c r="BN7" s="13">
        <v>27.2</v>
      </c>
      <c r="BO7" s="13">
        <v>12.2</v>
      </c>
      <c r="BP7" s="13">
        <v>23.8</v>
      </c>
      <c r="BQ7" s="13">
        <v>8.3000000000000007</v>
      </c>
      <c r="BR7" s="13">
        <v>17.2</v>
      </c>
      <c r="BS7" s="13"/>
      <c r="BT7" s="13">
        <v>5.7</v>
      </c>
      <c r="BU7" s="13"/>
      <c r="BV7" s="13">
        <v>5.6</v>
      </c>
      <c r="BW7" s="13"/>
      <c r="BX7" s="13">
        <v>0.2</v>
      </c>
      <c r="BY7" s="13"/>
      <c r="BZ7" s="13">
        <v>2.1800000000000002</v>
      </c>
      <c r="CA7" s="13">
        <v>14.8</v>
      </c>
      <c r="CB7" s="13">
        <v>20.47</v>
      </c>
      <c r="CC7" s="13">
        <v>15.65</v>
      </c>
      <c r="CD7" s="13">
        <v>24.84</v>
      </c>
      <c r="CE7" s="13"/>
      <c r="CF7" s="13">
        <v>21.86</v>
      </c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</row>
    <row r="9" spans="1:97" x14ac:dyDescent="0.25">
      <c r="A9" s="1" t="s">
        <v>36</v>
      </c>
    </row>
    <row r="10" spans="1:97" x14ac:dyDescent="0.25">
      <c r="A10" t="s">
        <v>37</v>
      </c>
    </row>
    <row r="11" spans="1:97" x14ac:dyDescent="0.25">
      <c r="A11" t="s">
        <v>38</v>
      </c>
    </row>
    <row r="12" spans="1:97" x14ac:dyDescent="0.25">
      <c r="B12" t="s">
        <v>39</v>
      </c>
      <c r="C12">
        <v>26673.32</v>
      </c>
      <c r="D12">
        <v>527.19999999999993</v>
      </c>
      <c r="E12">
        <v>27.200000000000003</v>
      </c>
      <c r="F12">
        <v>5.5999999999999943</v>
      </c>
      <c r="G12">
        <v>4.7999999999999989</v>
      </c>
      <c r="H12">
        <v>146.4</v>
      </c>
      <c r="I12">
        <v>48</v>
      </c>
      <c r="J12">
        <v>48093.86</v>
      </c>
      <c r="K12">
        <v>32666.720000000001</v>
      </c>
      <c r="L12">
        <v>378923.2</v>
      </c>
      <c r="M12">
        <v>16</v>
      </c>
      <c r="N12">
        <v>69.600000000000009</v>
      </c>
      <c r="O12">
        <v>52.800000000000004</v>
      </c>
      <c r="P12" s="41">
        <v>47798.58</v>
      </c>
      <c r="Q12">
        <v>4.8000000000000007</v>
      </c>
      <c r="R12">
        <v>32702.040000000005</v>
      </c>
      <c r="S12">
        <v>56501.96</v>
      </c>
      <c r="T12">
        <v>62609.279999999999</v>
      </c>
      <c r="U12">
        <v>37987.380000000005</v>
      </c>
      <c r="V12">
        <v>102625.34</v>
      </c>
      <c r="W12">
        <v>5.6</v>
      </c>
      <c r="X12">
        <v>43574.239999999998</v>
      </c>
      <c r="Y12">
        <v>11.200000000000001</v>
      </c>
      <c r="Z12">
        <v>16</v>
      </c>
      <c r="AA12">
        <v>36.800000000000004</v>
      </c>
      <c r="AB12">
        <v>115.2</v>
      </c>
      <c r="AC12">
        <v>37.6</v>
      </c>
      <c r="AD12">
        <v>4604.04</v>
      </c>
      <c r="AE12">
        <v>261396.24000000005</v>
      </c>
      <c r="AF12">
        <v>4000.6400000000003</v>
      </c>
      <c r="AG12">
        <v>287486.71999999997</v>
      </c>
      <c r="AH12">
        <v>63842.8</v>
      </c>
      <c r="AI12">
        <v>70950.48</v>
      </c>
      <c r="AJ12">
        <v>139537</v>
      </c>
      <c r="AK12">
        <v>147273.44</v>
      </c>
      <c r="AL12">
        <v>174943.08</v>
      </c>
      <c r="AM12">
        <v>1748721.36</v>
      </c>
      <c r="AN12">
        <v>54426.44</v>
      </c>
      <c r="AO12">
        <v>4</v>
      </c>
      <c r="AP12">
        <v>4.7999999999999972</v>
      </c>
      <c r="AQ12">
        <v>3777.38</v>
      </c>
      <c r="AR12">
        <v>0</v>
      </c>
      <c r="AS12" s="41">
        <v>211563.3</v>
      </c>
      <c r="AT12">
        <v>0</v>
      </c>
      <c r="AU12" s="41">
        <v>159742.82000000004</v>
      </c>
      <c r="AV12">
        <v>18.399999999999999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869.68000000000006</v>
      </c>
      <c r="BC12">
        <v>0</v>
      </c>
      <c r="BD12">
        <v>961.82000000000016</v>
      </c>
      <c r="BE12">
        <v>0.79999999999999893</v>
      </c>
      <c r="BF12">
        <v>23001.24</v>
      </c>
      <c r="BG12">
        <v>62511.279999999992</v>
      </c>
      <c r="BH12">
        <v>76423.62</v>
      </c>
      <c r="BI12">
        <v>109871.68000000001</v>
      </c>
      <c r="BJ12">
        <v>704422.12</v>
      </c>
      <c r="BK12">
        <v>917260.5</v>
      </c>
      <c r="BL12">
        <v>23.2</v>
      </c>
      <c r="BM12">
        <v>4</v>
      </c>
      <c r="BN12">
        <v>12</v>
      </c>
      <c r="BO12">
        <v>5.6</v>
      </c>
      <c r="BP12">
        <v>6.4</v>
      </c>
      <c r="BQ12">
        <v>1.6</v>
      </c>
      <c r="BR12">
        <v>9.6</v>
      </c>
      <c r="BS12">
        <v>22.4</v>
      </c>
      <c r="BT12" s="41">
        <v>0</v>
      </c>
      <c r="BU12">
        <v>14.4</v>
      </c>
      <c r="BV12" s="38">
        <v>16.8</v>
      </c>
      <c r="BW12">
        <v>524403.9</v>
      </c>
      <c r="BX12">
        <v>58.4</v>
      </c>
      <c r="BY12">
        <v>587401.1</v>
      </c>
      <c r="BZ12">
        <v>347.2</v>
      </c>
      <c r="CA12">
        <v>15639.4</v>
      </c>
      <c r="CB12">
        <v>488.8</v>
      </c>
      <c r="CC12">
        <v>32.800000000000004</v>
      </c>
      <c r="CD12">
        <v>4.8</v>
      </c>
      <c r="CE12">
        <v>12</v>
      </c>
      <c r="CF12">
        <v>4</v>
      </c>
      <c r="CG12">
        <v>2.4</v>
      </c>
      <c r="CH12">
        <v>853332.8</v>
      </c>
      <c r="CI12">
        <v>12.8</v>
      </c>
      <c r="CJ12">
        <v>50.4</v>
      </c>
      <c r="CK12">
        <v>6474.4599999999991</v>
      </c>
      <c r="CL12">
        <v>0</v>
      </c>
      <c r="CM12">
        <v>2.4</v>
      </c>
      <c r="CN12">
        <v>880688.18</v>
      </c>
      <c r="CO12">
        <v>10.4</v>
      </c>
      <c r="CP12">
        <v>0</v>
      </c>
      <c r="CQ12">
        <v>0</v>
      </c>
      <c r="CR12">
        <v>0</v>
      </c>
      <c r="CS12">
        <v>0.8</v>
      </c>
    </row>
    <row r="13" spans="1:97" s="1" customFormat="1" x14ac:dyDescent="0.25">
      <c r="A13" s="1">
        <v>11.48</v>
      </c>
      <c r="B13" s="1" t="s">
        <v>122</v>
      </c>
      <c r="C13" s="1">
        <f>(A13*C3)/(100*C12)</f>
        <v>1.2007954015473138E-4</v>
      </c>
      <c r="J13" s="1">
        <f>(A13*J5)/(100*J12)</f>
        <v>2.353581101620872E-5</v>
      </c>
      <c r="K13" s="54">
        <f>(A13*K5)/(100*K12)</f>
        <v>2.4599959836800267E-5</v>
      </c>
      <c r="L13" s="45">
        <f>(A13*L5)/(100*L12)</f>
        <v>2.5018747862363668E-5</v>
      </c>
      <c r="P13" s="43">
        <f>(A13*P5)/(100*P12)</f>
        <v>3.5641895637903889E-5</v>
      </c>
      <c r="R13" s="1">
        <f>(11.48*0.0925)/R12</f>
        <v>3.2471980341287574E-5</v>
      </c>
      <c r="S13" s="1">
        <f>(11.48*0.1592)/S12</f>
        <v>3.2346063747169129E-5</v>
      </c>
      <c r="T13" s="1">
        <f>(11.48*0.1668)/T12</f>
        <v>3.0584347879419794E-5</v>
      </c>
      <c r="U13" s="1">
        <f>(11.48*0.0955)/U12</f>
        <v>2.8860637401157962E-5</v>
      </c>
      <c r="V13" s="1">
        <f>(11.48*0.2413)/V12</f>
        <v>2.6992592667658885E-5</v>
      </c>
      <c r="X13" s="1">
        <f>(11.48*0.0963)/X12</f>
        <v>2.5371044910938207E-5</v>
      </c>
      <c r="AD13" s="1">
        <f>(A13*0.0125)/AD12</f>
        <v>3.1168278294715083E-5</v>
      </c>
      <c r="AE13" s="1">
        <f>(11.48*0.51839)/AE12</f>
        <v>2.2766651884510655E-5</v>
      </c>
      <c r="AF13" s="1">
        <f>(A13*0.0089)/AF12</f>
        <v>2.5538913773796191E-5</v>
      </c>
      <c r="AG13" s="1">
        <f>(11.48*0.48161)/AG12</f>
        <v>1.9231785036887966E-5</v>
      </c>
      <c r="AH13" s="1">
        <f>(11.48*0.1249)/AH12</f>
        <v>2.2459102670935487E-5</v>
      </c>
      <c r="AI13" s="1">
        <f>(11.48*0.128)/AI12</f>
        <v>2.0710783070107492E-5</v>
      </c>
      <c r="AJ13" s="1">
        <f>(11.48*0.2413)/AJ12</f>
        <v>1.9852254240810681E-5</v>
      </c>
      <c r="AK13" s="54">
        <f>(20.61*0.0429)/(AK12-0.1222*11.48*(1/Response_Functions!B131))</f>
        <v>1.1903027859575625E-5</v>
      </c>
      <c r="AL13" s="1">
        <f>(11.48*0.2873)/AL12</f>
        <v>1.8853012076842368E-5</v>
      </c>
      <c r="AM13" s="1">
        <f>(20.61*0.9571)/AM12</f>
        <v>1.1280145282836826E-5</v>
      </c>
      <c r="AN13" s="1">
        <f>(11.48*0.0749)/AN12</f>
        <v>1.5798424442237999E-5</v>
      </c>
      <c r="AS13" s="43">
        <f>(11.48*0.5721)/AS12</f>
        <v>3.1043701814066999E-5</v>
      </c>
      <c r="AU13" s="43">
        <f>(11.48*0.4279)/AU12</f>
        <v>3.0751253796571254E-5</v>
      </c>
      <c r="BB13" s="1">
        <f>(11.48*0.00106)/BB12</f>
        <v>1.3992273019961364E-5</v>
      </c>
      <c r="BD13" s="1">
        <f>(11.48*0.00101)/BD12</f>
        <v>1.2055062277765068E-5</v>
      </c>
      <c r="BF13" s="1">
        <f>(0.02417*11.48)/BF12</f>
        <v>1.2063332237740226E-5</v>
      </c>
      <c r="BG13" s="1">
        <f>(11.48*0.06592)/BG12</f>
        <v>1.2106000708992044E-5</v>
      </c>
      <c r="BH13" s="1">
        <f>(11.48*0.07854)/BH12</f>
        <v>1.1797912739543089E-5</v>
      </c>
      <c r="BI13" s="1">
        <f>(11.48*0.11232)/BI12</f>
        <v>1.1735813996837039E-5</v>
      </c>
      <c r="BJ13" s="54">
        <f>(11.48*(0.71698+0.0009))/BJ12</f>
        <v>1.1699323695286571E-5</v>
      </c>
      <c r="BK13" s="1">
        <f>(11.48*0.9991)/BK12</f>
        <v>1.250426460095033E-5</v>
      </c>
      <c r="BT13" s="43"/>
      <c r="BV13" s="44"/>
      <c r="BW13" s="1">
        <f>(11.48*0.4781)/BW12</f>
        <v>1.0466337111527967E-5</v>
      </c>
      <c r="BY13" s="1">
        <f>(0.5219*11.48)/BY12</f>
        <v>1.0199865134743534E-5</v>
      </c>
      <c r="CJ13" s="1">
        <f>(11.48*(CJ3/100))/CJ12</f>
        <v>1.2527777777772858E-5</v>
      </c>
      <c r="CK13" s="1">
        <f>(11.48*0.0072)/CK12</f>
        <v>1.2766470099436867E-5</v>
      </c>
      <c r="CN13" s="1">
        <f>(0.992745*11.48)/CN12</f>
        <v>1.2940689859150829E-5</v>
      </c>
    </row>
    <row r="14" spans="1:97" x14ac:dyDescent="0.25">
      <c r="B14" t="s">
        <v>40</v>
      </c>
      <c r="C14">
        <v>11.200000000000003</v>
      </c>
      <c r="D14">
        <v>4591.26</v>
      </c>
      <c r="E14">
        <v>1157.6799999999998</v>
      </c>
      <c r="F14">
        <v>607.20000000000005</v>
      </c>
      <c r="G14">
        <v>404.8</v>
      </c>
      <c r="H14">
        <v>319.2</v>
      </c>
      <c r="I14">
        <v>228</v>
      </c>
      <c r="J14">
        <v>218.40000000000003</v>
      </c>
      <c r="K14">
        <v>328.8</v>
      </c>
      <c r="L14">
        <v>132.79999999999998</v>
      </c>
      <c r="M14">
        <v>352539.08000000007</v>
      </c>
      <c r="N14">
        <v>24.800000000000004</v>
      </c>
      <c r="O14">
        <v>0</v>
      </c>
      <c r="P14" s="41">
        <v>0</v>
      </c>
      <c r="Q14">
        <v>0</v>
      </c>
      <c r="R14">
        <v>11.200000000000001</v>
      </c>
      <c r="S14">
        <v>1.5999999999999996</v>
      </c>
      <c r="T14">
        <v>7.1999999999999993</v>
      </c>
      <c r="U14">
        <v>3.2</v>
      </c>
      <c r="V14">
        <v>0</v>
      </c>
      <c r="W14">
        <v>0</v>
      </c>
      <c r="X14">
        <v>10.400000000000002</v>
      </c>
      <c r="Y14">
        <v>0</v>
      </c>
      <c r="Z14">
        <v>0.80000000000000027</v>
      </c>
      <c r="AA14">
        <v>0.79999999999999982</v>
      </c>
      <c r="AB14">
        <v>0</v>
      </c>
      <c r="AC14">
        <v>2861.12</v>
      </c>
      <c r="AD14">
        <v>254.39999999999998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</v>
      </c>
      <c r="AM14">
        <v>0</v>
      </c>
      <c r="AN14">
        <v>6596.1600000000008</v>
      </c>
      <c r="AO14">
        <v>0</v>
      </c>
      <c r="AP14">
        <v>0</v>
      </c>
      <c r="AQ14">
        <v>3.1999999999999993</v>
      </c>
      <c r="AR14">
        <v>0</v>
      </c>
      <c r="AS14" s="41">
        <v>0</v>
      </c>
      <c r="AT14">
        <v>16</v>
      </c>
      <c r="AU14" s="41">
        <v>0</v>
      </c>
      <c r="AV14">
        <v>16.799999999999997</v>
      </c>
      <c r="AW14">
        <v>10.4</v>
      </c>
      <c r="AX14">
        <v>21.599999999999998</v>
      </c>
      <c r="AY14">
        <v>0</v>
      </c>
      <c r="AZ14">
        <v>49.599999999999994</v>
      </c>
      <c r="BA14">
        <v>0</v>
      </c>
      <c r="BB14">
        <v>28</v>
      </c>
      <c r="BC14">
        <v>0</v>
      </c>
      <c r="BD14">
        <v>70.399999999999636</v>
      </c>
      <c r="BE14">
        <v>1.6000000000000014</v>
      </c>
      <c r="BF14">
        <v>0</v>
      </c>
      <c r="BG14">
        <v>0</v>
      </c>
      <c r="BH14">
        <v>1681.8400000000001</v>
      </c>
      <c r="BI14">
        <v>3.2000000000000011</v>
      </c>
      <c r="BJ14">
        <v>2817.1</v>
      </c>
      <c r="BK14">
        <v>806217.68</v>
      </c>
      <c r="BL14">
        <v>760603.04</v>
      </c>
      <c r="BM14">
        <v>948414.91999999993</v>
      </c>
      <c r="BN14" s="38">
        <v>347353.12</v>
      </c>
      <c r="BO14" s="38">
        <v>114426.68000000001</v>
      </c>
      <c r="BP14" s="38">
        <v>252207.22000000003</v>
      </c>
      <c r="BQ14" s="38">
        <v>78394.700000000012</v>
      </c>
      <c r="BR14" s="38">
        <v>163425.32</v>
      </c>
      <c r="BS14" s="38">
        <v>140336.30000000005</v>
      </c>
      <c r="BT14" s="41">
        <v>159080.56</v>
      </c>
      <c r="BU14" s="38">
        <v>126859.44000000002</v>
      </c>
      <c r="BV14" s="38">
        <v>123524.21999999999</v>
      </c>
      <c r="BW14" s="38">
        <v>447763.36</v>
      </c>
      <c r="BX14" s="38">
        <v>254124.3</v>
      </c>
      <c r="BY14" s="38">
        <v>504912.9</v>
      </c>
      <c r="BZ14" s="38">
        <v>236974.63999999998</v>
      </c>
      <c r="CA14">
        <v>140008.74</v>
      </c>
      <c r="CB14">
        <v>189949.32</v>
      </c>
      <c r="CC14">
        <v>151473.62</v>
      </c>
      <c r="CD14">
        <v>226117.55999999997</v>
      </c>
      <c r="CE14">
        <v>982501.22</v>
      </c>
      <c r="CF14">
        <v>224639.72000000003</v>
      </c>
      <c r="CG14">
        <v>3.2</v>
      </c>
      <c r="CH14">
        <v>738229.70000000007</v>
      </c>
      <c r="CI14">
        <v>10.4</v>
      </c>
      <c r="CJ14">
        <v>0</v>
      </c>
      <c r="CK14">
        <v>2.4</v>
      </c>
      <c r="CL14">
        <v>0</v>
      </c>
      <c r="CM14">
        <v>0</v>
      </c>
      <c r="CN14">
        <v>935.22</v>
      </c>
      <c r="CO14">
        <v>596.79999999999995</v>
      </c>
      <c r="CP14">
        <v>55.199999999999996</v>
      </c>
      <c r="CQ14">
        <v>29.6</v>
      </c>
      <c r="CR14">
        <v>0.8</v>
      </c>
      <c r="CS14">
        <v>0.8</v>
      </c>
    </row>
    <row r="15" spans="1:97" s="1" customFormat="1" x14ac:dyDescent="0.25">
      <c r="A15" s="1">
        <v>10.19</v>
      </c>
      <c r="B15" s="1" t="s">
        <v>122</v>
      </c>
      <c r="M15" s="1">
        <f>(A15)/(M14)</f>
        <v>2.8904596903129144E-5</v>
      </c>
      <c r="P15" s="43"/>
      <c r="AS15" s="43"/>
      <c r="AU15" s="43"/>
      <c r="BH15" s="1">
        <f>(10.19*0.00185)/BH14</f>
        <v>1.1208854587832373E-5</v>
      </c>
      <c r="BJ15" s="1">
        <f>(10.19*0.00251)/(BJ14-A15*0.0009*(1/Response_Functions!F227))</f>
        <v>1.2232773432395395E-5</v>
      </c>
      <c r="BK15" s="1">
        <f>(0.9991*10.19)/BK14</f>
        <v>1.2627891018217312E-5</v>
      </c>
      <c r="BL15" s="1">
        <f>(10.19*0.8845)/BL14</f>
        <v>1.184988032653669E-5</v>
      </c>
      <c r="BM15" s="1">
        <f>(10.19)/BM14</f>
        <v>1.0744242614825166E-5</v>
      </c>
      <c r="BN15" s="44">
        <f>(10.19*0.11114)/(BN14-10.19*0.272*(1/Response_Functions!B270))</f>
        <v>1.2054921112994076E-5</v>
      </c>
      <c r="BO15" s="44">
        <f>(10.19*0.122)/BO14</f>
        <v>1.0864424275876918E-5</v>
      </c>
      <c r="BP15" s="44">
        <f>(10.19*0.0307)/(BP14-0.238*10.19*(1/Response_Functions!B272))</f>
        <v>1.1187757224552104E-5</v>
      </c>
      <c r="BQ15" s="44">
        <f>(10.19*0.083)/BQ14</f>
        <v>1.0788611985249001E-5</v>
      </c>
      <c r="BR15" s="44">
        <f>(10.19*0.172)/BR14</f>
        <v>1.072465392755541E-5</v>
      </c>
      <c r="BS15" s="44">
        <f>(10.19*0.1499)/BS14</f>
        <v>1.0884432609381889E-5</v>
      </c>
      <c r="BT15" s="43">
        <f>(10.19*0.1124)/(BT14-0.057*10.19*(1/Response_Functions!B275))</f>
        <v>1.0995015238285821E-5</v>
      </c>
      <c r="BU15" s="44">
        <f>(10.19*0.1382)/BU14</f>
        <v>1.1100931866008549E-5</v>
      </c>
      <c r="BV15" s="44">
        <f>(10.19*0.0738)/(BV14-10.19*0.056*(1/Response_Functions!B276))</f>
        <v>1.0901100202055012E-5</v>
      </c>
      <c r="BW15" s="44">
        <f>(10.19*0.4781)/BW14</f>
        <v>1.0880387801270742E-5</v>
      </c>
      <c r="BX15" s="44">
        <f>(10.19*0.002)/(BX14-0.2675*10.19*(1/Response_Functions!B297))</f>
        <v>1.0514585475003793E-5</v>
      </c>
      <c r="BY15" s="44">
        <f>(10.19*0.5219)/BY14</f>
        <v>1.0532828533396552E-5</v>
      </c>
      <c r="BZ15" s="44">
        <f>(10.19*0.0218)/(BZ14-10.19*0.22758*(1/Response_Functions!B298))</f>
        <v>1.0780299947630339E-5</v>
      </c>
      <c r="CA15" s="1">
        <f>(10.19*0.148)/CA14</f>
        <v>1.0771613257858045E-5</v>
      </c>
      <c r="CB15" s="1">
        <f>(10.19*0.2047+10.19*0.0006)/CB14</f>
        <v>1.1013500864335813E-5</v>
      </c>
      <c r="CC15" s="1">
        <f>(10.19*0.1565)/CC14</f>
        <v>1.0528136846534731E-5</v>
      </c>
      <c r="CD15" s="1">
        <f>(10.19*(0.2484+0.001))/CD14</f>
        <v>1.1239224410523449E-5</v>
      </c>
      <c r="CF15" s="1">
        <f>(10.19*0.0234)/(CF14-0.2186*10.198*(1/Response_Functions!B330))</f>
        <v>7.8247026587261274E-6</v>
      </c>
    </row>
    <row r="16" spans="1:97" x14ac:dyDescent="0.25">
      <c r="B16" t="s">
        <v>41</v>
      </c>
      <c r="C16">
        <v>186.4</v>
      </c>
      <c r="D16">
        <v>56.8</v>
      </c>
      <c r="E16">
        <v>21024.9</v>
      </c>
      <c r="F16">
        <v>151.20000000000002</v>
      </c>
      <c r="G16">
        <v>10.399999999999999</v>
      </c>
      <c r="H16">
        <v>4.8000000000000007</v>
      </c>
      <c r="I16">
        <v>70270.680000000008</v>
      </c>
      <c r="J16">
        <v>37968.42</v>
      </c>
      <c r="K16">
        <v>52704.639999999999</v>
      </c>
      <c r="L16">
        <v>320513.22000000003</v>
      </c>
      <c r="M16">
        <v>45140.819999999992</v>
      </c>
      <c r="N16">
        <v>33.599999999999994</v>
      </c>
      <c r="O16">
        <v>2.4000000000000004</v>
      </c>
      <c r="P16" s="41">
        <v>6.4000000000000021</v>
      </c>
      <c r="Q16">
        <v>0</v>
      </c>
      <c r="R16">
        <v>10.399999999999999</v>
      </c>
      <c r="S16">
        <v>28</v>
      </c>
      <c r="T16">
        <v>31.2</v>
      </c>
      <c r="U16">
        <v>5.6</v>
      </c>
      <c r="V16">
        <v>8</v>
      </c>
      <c r="W16">
        <v>0</v>
      </c>
      <c r="X16">
        <v>3.2</v>
      </c>
      <c r="Y16">
        <v>0</v>
      </c>
      <c r="Z16">
        <v>4.8000000000000007</v>
      </c>
      <c r="AA16">
        <v>14.399999999999999</v>
      </c>
      <c r="AB16">
        <v>69.599999999999994</v>
      </c>
      <c r="AC16">
        <v>497.59999999999997</v>
      </c>
      <c r="AD16">
        <v>54.4</v>
      </c>
      <c r="AE16">
        <v>0</v>
      </c>
      <c r="AF16">
        <v>2.4000000000000004</v>
      </c>
      <c r="AG16">
        <v>0</v>
      </c>
      <c r="AH16">
        <v>15.200000000000001</v>
      </c>
      <c r="AI16">
        <v>19.2</v>
      </c>
      <c r="AJ16">
        <v>28</v>
      </c>
      <c r="AK16">
        <v>17.599999999999998</v>
      </c>
      <c r="AL16">
        <v>38.4</v>
      </c>
      <c r="AM16">
        <v>0.79999999999999893</v>
      </c>
      <c r="AN16">
        <v>2.3999999999999986</v>
      </c>
      <c r="AO16">
        <v>3.1999999999999993</v>
      </c>
      <c r="AP16">
        <v>0</v>
      </c>
      <c r="AQ16">
        <v>11.200000000000003</v>
      </c>
      <c r="AR16">
        <v>2.4000000000000057</v>
      </c>
      <c r="AS16" s="41">
        <v>28.000000000000004</v>
      </c>
      <c r="AT16">
        <v>0</v>
      </c>
      <c r="AU16" s="41">
        <v>19.2</v>
      </c>
      <c r="AV16">
        <v>3.2000000000000028</v>
      </c>
      <c r="AW16">
        <v>2.4000000000000004</v>
      </c>
      <c r="AX16">
        <v>9.6000000000000014</v>
      </c>
      <c r="AY16">
        <v>5644.1399999999994</v>
      </c>
      <c r="AZ16">
        <v>0</v>
      </c>
      <c r="BA16">
        <v>98.400000000000091</v>
      </c>
      <c r="BB16">
        <v>732.81999999999994</v>
      </c>
      <c r="BC16">
        <v>0</v>
      </c>
      <c r="BD16">
        <v>672.15999999999985</v>
      </c>
      <c r="BE16" s="38">
        <v>84528.180000000008</v>
      </c>
      <c r="BF16">
        <v>17644.940000000002</v>
      </c>
      <c r="BG16">
        <v>47804.899999999994</v>
      </c>
      <c r="BH16">
        <v>57310.820000000007</v>
      </c>
      <c r="BI16" s="38">
        <v>82478.560000000012</v>
      </c>
      <c r="BJ16">
        <v>528474.30000000005</v>
      </c>
      <c r="BK16">
        <v>40</v>
      </c>
      <c r="BL16">
        <v>68.800000000000011</v>
      </c>
      <c r="BM16">
        <v>14.4</v>
      </c>
      <c r="BN16">
        <v>23.2</v>
      </c>
      <c r="BO16">
        <v>8.7999999999999989</v>
      </c>
      <c r="BP16">
        <v>6.4</v>
      </c>
      <c r="BQ16">
        <v>2.4000000000000004</v>
      </c>
      <c r="BR16">
        <v>5.6</v>
      </c>
      <c r="BS16">
        <v>0</v>
      </c>
      <c r="BT16" s="41">
        <v>6.4</v>
      </c>
      <c r="BU16">
        <v>0</v>
      </c>
      <c r="BV16" s="38">
        <v>9.6</v>
      </c>
      <c r="BW16">
        <v>27.2</v>
      </c>
      <c r="BX16">
        <v>52.8</v>
      </c>
      <c r="BY16">
        <v>64.8</v>
      </c>
      <c r="BZ16">
        <v>280</v>
      </c>
      <c r="CA16">
        <v>262.39999999999998</v>
      </c>
      <c r="CB16">
        <v>3.2</v>
      </c>
      <c r="CC16">
        <v>2.4</v>
      </c>
      <c r="CD16">
        <v>4</v>
      </c>
      <c r="CE16">
        <v>2.4000000000000004</v>
      </c>
      <c r="CF16">
        <v>1.5999999999999999</v>
      </c>
      <c r="CG16">
        <v>0</v>
      </c>
      <c r="CH16">
        <v>0</v>
      </c>
      <c r="CI16">
        <v>0</v>
      </c>
      <c r="CJ16">
        <v>0.8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 s="1" customFormat="1" x14ac:dyDescent="0.25">
      <c r="B17" s="1" t="s">
        <v>122</v>
      </c>
      <c r="I17" s="1">
        <f>(2.130603*0.7217)/(I16)</f>
        <v>2.1881902738097876E-5</v>
      </c>
      <c r="J17" s="1">
        <f>(8.521312*0.0986)/(J16)</f>
        <v>2.2128952513694274E-5</v>
      </c>
      <c r="K17" s="1">
        <f>(8.521312*0.07)/(K16-2.130603*0.2783*(1/Response_Functions!B21))</f>
        <v>2.4599959836800264E-5</v>
      </c>
      <c r="L17" s="1">
        <f>(8.521312*L5)/(L16*100)</f>
        <v>2.1955098917916703E-5</v>
      </c>
      <c r="M17" s="1">
        <f>(1.059493)/M16</f>
        <v>2.3470840804398328E-5</v>
      </c>
      <c r="P17" s="43"/>
      <c r="AS17" s="43"/>
      <c r="AU17" s="43"/>
      <c r="BB17" s="1">
        <f>(8.515972*0.00106)/BB16</f>
        <v>1.2318073087524905E-5</v>
      </c>
      <c r="BD17" s="1">
        <f>(0.00101*8.515972)/BD16</f>
        <v>1.2796256427041184E-5</v>
      </c>
      <c r="BE17" s="44">
        <f>(1.058417)/BE16</f>
        <v>1.2521469171582777E-5</v>
      </c>
      <c r="BF17" s="1">
        <f>(8.515972*0.02417)/BF16</f>
        <v>1.1665159713776299E-5</v>
      </c>
      <c r="BG17" s="1">
        <f>(0.06592*8.515972)/BG16</f>
        <v>1.1742998609765946E-5</v>
      </c>
      <c r="BH17" s="1">
        <f>(8.515972*0.07854)/BH16</f>
        <v>1.167047410733261E-5</v>
      </c>
      <c r="BI17" s="44">
        <f>(8.515972*0.11232)/BI16</f>
        <v>1.159712263453678E-5</v>
      </c>
      <c r="BJ17" s="1">
        <f>(8.515972*0.71698)/BJ16</f>
        <v>1.1553601763718688E-5</v>
      </c>
      <c r="BT17" s="43"/>
      <c r="BV17" s="44"/>
    </row>
    <row r="18" spans="1:97" x14ac:dyDescent="0.25">
      <c r="B18" t="s">
        <v>42</v>
      </c>
      <c r="C18">
        <v>2631.5</v>
      </c>
      <c r="D18">
        <v>0</v>
      </c>
      <c r="E18">
        <v>0</v>
      </c>
      <c r="F18">
        <v>0</v>
      </c>
      <c r="G18">
        <v>4.8000000000000007</v>
      </c>
      <c r="H18">
        <v>0</v>
      </c>
      <c r="I18">
        <v>10.400000000000002</v>
      </c>
      <c r="J18">
        <v>0</v>
      </c>
      <c r="K18">
        <v>9.6</v>
      </c>
      <c r="L18" t="s">
        <v>123</v>
      </c>
      <c r="M18">
        <v>29.6</v>
      </c>
      <c r="N18">
        <v>194.4</v>
      </c>
      <c r="O18">
        <v>41.6</v>
      </c>
      <c r="P18" s="41">
        <v>79.2</v>
      </c>
      <c r="Q18">
        <v>2.3999999999999995</v>
      </c>
      <c r="R18">
        <v>77.600000000000009</v>
      </c>
      <c r="S18">
        <v>16.8</v>
      </c>
      <c r="T18">
        <v>11.199999999999996</v>
      </c>
      <c r="U18">
        <v>4.8000000000000007</v>
      </c>
      <c r="V18">
        <v>14.400000000000002</v>
      </c>
      <c r="W18">
        <v>0</v>
      </c>
      <c r="X18">
        <v>5.6</v>
      </c>
      <c r="Y18">
        <v>2.4000000000000004</v>
      </c>
      <c r="Z18">
        <v>0</v>
      </c>
      <c r="AA18">
        <v>3.1999999999999997</v>
      </c>
      <c r="AB18">
        <v>3.2</v>
      </c>
      <c r="AC18">
        <v>2.3999999999999995</v>
      </c>
      <c r="AD18">
        <v>0</v>
      </c>
      <c r="AE18">
        <v>1.5999999999999996</v>
      </c>
      <c r="AF18">
        <v>0</v>
      </c>
      <c r="AG18">
        <v>13.6</v>
      </c>
      <c r="AH18">
        <v>0.79999999999999982</v>
      </c>
      <c r="AI18">
        <v>3.2</v>
      </c>
      <c r="AJ18">
        <v>10.4</v>
      </c>
      <c r="AK18">
        <v>0</v>
      </c>
      <c r="AL18">
        <v>6.4</v>
      </c>
      <c r="AM18">
        <v>0</v>
      </c>
      <c r="AN18">
        <v>37.599999999999994</v>
      </c>
      <c r="AO18">
        <v>21.6</v>
      </c>
      <c r="AP18">
        <v>54.399999999999991</v>
      </c>
      <c r="AQ18">
        <v>15.199999999999996</v>
      </c>
      <c r="AR18">
        <v>96.799999999999983</v>
      </c>
      <c r="AS18" s="41">
        <v>7.1999999999999993</v>
      </c>
      <c r="AT18">
        <v>3.1999999999999993</v>
      </c>
      <c r="AU18" s="41">
        <v>3.1999999999999993</v>
      </c>
      <c r="AV18">
        <v>8</v>
      </c>
      <c r="AW18">
        <v>0</v>
      </c>
      <c r="AX18">
        <v>2.3999999999999986</v>
      </c>
      <c r="AY18">
        <v>0</v>
      </c>
      <c r="AZ18">
        <v>0</v>
      </c>
      <c r="BA18">
        <v>134.39999999999964</v>
      </c>
      <c r="BB18">
        <v>8.7999999999999545</v>
      </c>
      <c r="BC18">
        <v>180.8599999999999</v>
      </c>
      <c r="BD18">
        <v>190.39999999999964</v>
      </c>
      <c r="BE18">
        <v>3.2000000000000028</v>
      </c>
      <c r="BF18">
        <v>108.82000000000005</v>
      </c>
      <c r="BG18">
        <v>29.6</v>
      </c>
      <c r="BH18">
        <v>107.20000000000005</v>
      </c>
      <c r="BI18">
        <v>48</v>
      </c>
      <c r="BJ18">
        <v>295.2</v>
      </c>
      <c r="BK18">
        <v>32.799999999999997</v>
      </c>
      <c r="BL18">
        <v>44</v>
      </c>
      <c r="BM18">
        <v>15.2</v>
      </c>
      <c r="BN18">
        <v>10.4</v>
      </c>
      <c r="BO18">
        <v>4</v>
      </c>
      <c r="BP18">
        <v>7.2</v>
      </c>
      <c r="BQ18">
        <v>4</v>
      </c>
      <c r="BR18">
        <v>8</v>
      </c>
      <c r="BS18">
        <v>0</v>
      </c>
      <c r="BT18" s="41">
        <v>2.4</v>
      </c>
      <c r="BU18">
        <v>2.4000000000000004</v>
      </c>
      <c r="BV18" s="38">
        <v>0</v>
      </c>
      <c r="BW18">
        <v>0</v>
      </c>
      <c r="BX18">
        <v>0</v>
      </c>
      <c r="BY18">
        <v>0</v>
      </c>
      <c r="BZ18">
        <v>0.8</v>
      </c>
      <c r="CA18">
        <v>2.4</v>
      </c>
      <c r="CB18">
        <v>0</v>
      </c>
      <c r="CC18">
        <v>1.6</v>
      </c>
      <c r="CD18">
        <v>0</v>
      </c>
      <c r="CE18">
        <v>1.6</v>
      </c>
      <c r="CF18">
        <v>1.6</v>
      </c>
      <c r="CG18">
        <v>0</v>
      </c>
      <c r="CH18">
        <v>4.8000000000000007</v>
      </c>
      <c r="CI18">
        <v>0</v>
      </c>
      <c r="CJ18">
        <v>4</v>
      </c>
      <c r="CK18">
        <v>534.4</v>
      </c>
      <c r="CL18">
        <v>49.6</v>
      </c>
      <c r="CM18">
        <v>3.2</v>
      </c>
      <c r="CN18">
        <v>54.4</v>
      </c>
      <c r="CO18">
        <v>478123.77999999997</v>
      </c>
      <c r="CP18">
        <v>10036</v>
      </c>
      <c r="CQ18">
        <v>29.6</v>
      </c>
      <c r="CR18">
        <v>5.6</v>
      </c>
      <c r="CS18">
        <v>0</v>
      </c>
    </row>
    <row r="19" spans="1:97" s="1" customFormat="1" x14ac:dyDescent="0.25">
      <c r="B19" s="1" t="s">
        <v>122</v>
      </c>
      <c r="P19" s="43"/>
      <c r="AS19" s="43"/>
      <c r="AU19" s="43"/>
      <c r="BT19" s="43"/>
      <c r="BV19" s="44"/>
      <c r="CO19" s="1">
        <f>(6.054985)/CO18</f>
        <v>1.2664053229061313E-5</v>
      </c>
      <c r="CP19" s="1">
        <f>0.127462/CP18</f>
        <v>1.2700478278198484E-5</v>
      </c>
      <c r="CQ19" s="1">
        <f>0.000235111/CQ18</f>
        <v>7.9429391891891894E-6</v>
      </c>
      <c r="CR19" s="1">
        <f>0.0000629/CR18</f>
        <v>1.1232142857142857E-5</v>
      </c>
    </row>
    <row r="20" spans="1:97" x14ac:dyDescent="0.25">
      <c r="B20" t="s">
        <v>43</v>
      </c>
      <c r="C20">
        <v>60.799999999999983</v>
      </c>
      <c r="D20">
        <v>27440.800000000003</v>
      </c>
      <c r="E20">
        <v>2.4000000000000004</v>
      </c>
      <c r="F20">
        <v>37276.46</v>
      </c>
      <c r="G20">
        <v>10402.760000000002</v>
      </c>
      <c r="H20">
        <v>50337.34</v>
      </c>
      <c r="I20">
        <v>0</v>
      </c>
      <c r="J20">
        <v>8</v>
      </c>
      <c r="K20">
        <v>12</v>
      </c>
      <c r="L20">
        <v>3.1999999999999993</v>
      </c>
      <c r="M20">
        <v>7.1999999999999993</v>
      </c>
      <c r="N20">
        <v>182991.22</v>
      </c>
      <c r="O20">
        <v>40953.440000000002</v>
      </c>
      <c r="P20" s="41">
        <v>110912.70000000001</v>
      </c>
      <c r="Q20">
        <v>315751.40000000002</v>
      </c>
      <c r="R20">
        <v>100270.34000000001</v>
      </c>
      <c r="S20">
        <v>54638.559999999998</v>
      </c>
      <c r="T20">
        <v>72130.939999999988</v>
      </c>
      <c r="U20">
        <v>35990.18</v>
      </c>
      <c r="V20">
        <v>93908.34</v>
      </c>
      <c r="W20">
        <v>0</v>
      </c>
      <c r="X20">
        <v>41423.019999999997</v>
      </c>
      <c r="Y20">
        <v>0</v>
      </c>
      <c r="Z20">
        <v>0</v>
      </c>
      <c r="AA20">
        <v>0</v>
      </c>
      <c r="AB20">
        <v>0</v>
      </c>
      <c r="AC20">
        <v>2.4</v>
      </c>
      <c r="AD20">
        <v>3914.2</v>
      </c>
      <c r="AE20">
        <v>1044.8</v>
      </c>
      <c r="AF20">
        <v>1597.7</v>
      </c>
      <c r="AG20">
        <v>4628.88</v>
      </c>
      <c r="AH20">
        <v>1835.32</v>
      </c>
      <c r="AI20">
        <v>179.2</v>
      </c>
      <c r="AJ20">
        <v>424</v>
      </c>
      <c r="AK20">
        <v>100</v>
      </c>
      <c r="AL20">
        <v>206.4</v>
      </c>
      <c r="AM20">
        <v>4.8</v>
      </c>
      <c r="AN20">
        <v>115.2</v>
      </c>
      <c r="AO20">
        <v>3.1999999999999993</v>
      </c>
      <c r="AP20">
        <v>0</v>
      </c>
      <c r="AQ20">
        <v>0</v>
      </c>
      <c r="AR20">
        <v>0</v>
      </c>
      <c r="AS20" s="41">
        <v>9.5999999999999979</v>
      </c>
      <c r="AT20">
        <v>0.80000000000000071</v>
      </c>
      <c r="AU20" s="41">
        <v>7.1999999999999993</v>
      </c>
      <c r="AV20">
        <v>5.6000000000000014</v>
      </c>
      <c r="AW20">
        <v>12.799999999999999</v>
      </c>
      <c r="AX20">
        <v>0</v>
      </c>
      <c r="AY20">
        <v>0</v>
      </c>
      <c r="AZ20">
        <v>0</v>
      </c>
      <c r="BA20">
        <v>0.8000000000001819</v>
      </c>
      <c r="BB20">
        <v>0</v>
      </c>
      <c r="BC20">
        <v>249.63999999999965</v>
      </c>
      <c r="BD20">
        <v>80.840000000000146</v>
      </c>
      <c r="BE20">
        <v>15.200000000000003</v>
      </c>
      <c r="BF20">
        <v>76</v>
      </c>
      <c r="BG20">
        <v>1.6</v>
      </c>
      <c r="BH20">
        <v>36</v>
      </c>
      <c r="BI20">
        <v>0.79999999999999982</v>
      </c>
      <c r="BJ20">
        <v>0</v>
      </c>
      <c r="BK20">
        <v>3.2</v>
      </c>
      <c r="BL20">
        <v>16.8</v>
      </c>
      <c r="BM20">
        <v>0</v>
      </c>
      <c r="BN20">
        <v>5.6000000000000005</v>
      </c>
      <c r="BO20">
        <v>2.4</v>
      </c>
      <c r="BP20">
        <v>0</v>
      </c>
      <c r="BQ20">
        <v>0</v>
      </c>
      <c r="BR20">
        <v>0</v>
      </c>
      <c r="BS20">
        <v>1.6</v>
      </c>
      <c r="BT20" s="41">
        <v>3.9999999999999996</v>
      </c>
      <c r="BU20">
        <v>5.6</v>
      </c>
      <c r="BV20" s="38">
        <v>3.2</v>
      </c>
      <c r="BW20">
        <v>0</v>
      </c>
      <c r="BX20">
        <v>1.5999999999999999</v>
      </c>
      <c r="BY20">
        <v>0.8</v>
      </c>
      <c r="BZ20">
        <v>1.5999999999999999</v>
      </c>
      <c r="CA20">
        <v>0</v>
      </c>
      <c r="CB20">
        <v>0</v>
      </c>
      <c r="CC20">
        <v>0.8</v>
      </c>
      <c r="CD20">
        <v>0.8</v>
      </c>
      <c r="CE20">
        <v>0</v>
      </c>
      <c r="CF20">
        <v>0</v>
      </c>
      <c r="CG20">
        <v>0</v>
      </c>
      <c r="CH20">
        <v>39.200000000000003</v>
      </c>
      <c r="CI20">
        <v>0</v>
      </c>
      <c r="CJ20">
        <v>0</v>
      </c>
      <c r="CK20">
        <v>1.6</v>
      </c>
      <c r="CL20">
        <v>0</v>
      </c>
      <c r="CM20">
        <v>0</v>
      </c>
      <c r="CN20">
        <v>0</v>
      </c>
      <c r="CO20">
        <v>15.2</v>
      </c>
      <c r="CP20">
        <v>0</v>
      </c>
      <c r="CQ20">
        <v>0.8</v>
      </c>
      <c r="CR20">
        <v>0</v>
      </c>
      <c r="CS20">
        <v>0</v>
      </c>
    </row>
    <row r="21" spans="1:97" s="1" customFormat="1" x14ac:dyDescent="0.25">
      <c r="A21" s="1">
        <v>9.6</v>
      </c>
      <c r="B21" s="1" t="s">
        <v>122</v>
      </c>
      <c r="F21" s="1">
        <f>(9.6*F5)/(F20*100)</f>
        <v>7.0925189784652284E-5</v>
      </c>
      <c r="G21" s="1">
        <f>(A21*G5)/(100*G20)</f>
        <v>7.133491496487469E-5</v>
      </c>
      <c r="N21" s="45">
        <f>(A21*N3)/(100*N20)</f>
        <v>2.6991458934477839E-5</v>
      </c>
      <c r="O21" s="1">
        <f>(A21*O3)/(100*O20)</f>
        <v>2.6301087283510251E-5</v>
      </c>
      <c r="P21" s="43">
        <f>(A21*(P5/100))/(P20-(P3/100)*(1/Response_Functions!B40)*A21)</f>
        <v>3.0907135177387148E-5</v>
      </c>
      <c r="Q21" s="1">
        <f>(A21*Q3)/(100*Q20)</f>
        <v>3.0403665668624111E-5</v>
      </c>
      <c r="R21" s="1">
        <f>(A21*(R5/100))/(R20-(R3/100)*(1/Response_Functions!B41)*A21)</f>
        <v>2.9019200000000005E-5</v>
      </c>
      <c r="S21" s="1">
        <f>(A21*S5)/(100*S20)</f>
        <v>2.7971454591775478E-5</v>
      </c>
      <c r="T21" s="1">
        <f>(A21*(T5/100))/(T20-A21*(T3/100)*((1/Response_Functions!B42)))</f>
        <v>2.678279999999999E-5</v>
      </c>
      <c r="U21" s="1">
        <f>(A21*U5)/(U20*100)</f>
        <v>2.5473615302840944E-5</v>
      </c>
      <c r="V21" s="1">
        <f>(A21*V5)/(100*V20)</f>
        <v>2.4667457650726227E-5</v>
      </c>
      <c r="X21" s="1">
        <f>(A21*X5)/(100*X20)</f>
        <v>2.2318025098121774E-5</v>
      </c>
      <c r="AS21" s="43"/>
      <c r="AU21" s="43"/>
      <c r="BT21" s="43"/>
      <c r="BV21" s="44"/>
    </row>
    <row r="22" spans="1:97" s="41" customFormat="1" x14ac:dyDescent="0.25">
      <c r="B22" s="41" t="s">
        <v>44</v>
      </c>
      <c r="C22" s="41">
        <v>0</v>
      </c>
      <c r="D22" s="41">
        <v>6.4000000000000057</v>
      </c>
      <c r="E22" s="41">
        <v>2.4000000000000004</v>
      </c>
      <c r="F22" s="41">
        <v>0</v>
      </c>
      <c r="G22" s="41">
        <v>2.3999999999999986</v>
      </c>
      <c r="H22" s="41">
        <v>1.6000000000000014</v>
      </c>
      <c r="I22" s="41">
        <v>0</v>
      </c>
      <c r="J22" s="41">
        <v>0</v>
      </c>
      <c r="K22" s="41">
        <v>7.1999999999999993</v>
      </c>
      <c r="L22" s="41">
        <v>4</v>
      </c>
      <c r="M22" s="41">
        <v>20</v>
      </c>
      <c r="N22" s="41">
        <v>2266.6</v>
      </c>
      <c r="O22" s="41">
        <v>464</v>
      </c>
      <c r="P22" s="41">
        <v>821.6</v>
      </c>
      <c r="Q22" s="41">
        <v>291.2</v>
      </c>
      <c r="R22" s="41">
        <v>840</v>
      </c>
      <c r="S22" s="41">
        <v>35.200000000000003</v>
      </c>
      <c r="T22" s="41">
        <v>18800.599999999999</v>
      </c>
      <c r="U22" s="41">
        <v>31.200000000000003</v>
      </c>
      <c r="V22" s="41">
        <v>6981.16</v>
      </c>
      <c r="W22" s="41">
        <v>48745.340000000004</v>
      </c>
      <c r="X22" s="41">
        <v>51835.44</v>
      </c>
      <c r="Y22" s="41">
        <v>74548.180000000008</v>
      </c>
      <c r="Z22" s="41">
        <v>150719.68000000002</v>
      </c>
      <c r="AA22" s="41">
        <v>459051.68</v>
      </c>
      <c r="AB22" s="41">
        <v>138731.80000000002</v>
      </c>
      <c r="AC22" s="41">
        <v>95459.3</v>
      </c>
      <c r="AD22" s="41">
        <v>121285.26</v>
      </c>
      <c r="AE22" s="41">
        <v>80.8</v>
      </c>
      <c r="AF22" s="41">
        <v>144182.1</v>
      </c>
      <c r="AG22" s="41">
        <v>74.400000000000006</v>
      </c>
      <c r="AH22" s="41">
        <v>73145.600000000006</v>
      </c>
      <c r="AI22" s="41">
        <v>1.5999999999999999</v>
      </c>
      <c r="AJ22" s="41">
        <v>7867.2800000000007</v>
      </c>
      <c r="AK22" s="41">
        <v>0</v>
      </c>
      <c r="AL22" s="41">
        <v>5598.86</v>
      </c>
      <c r="AM22" s="41">
        <v>2941.16</v>
      </c>
      <c r="AN22" s="41">
        <v>124874.23999999999</v>
      </c>
      <c r="AO22" s="41">
        <v>66334.259999999995</v>
      </c>
      <c r="AP22" s="41">
        <v>209065.69999999998</v>
      </c>
      <c r="AQ22" s="41">
        <v>73482.100000000006</v>
      </c>
      <c r="AR22" s="41">
        <v>277266.76</v>
      </c>
      <c r="AS22" s="41">
        <v>188843.66000000003</v>
      </c>
      <c r="AT22" s="41">
        <v>42785.18</v>
      </c>
      <c r="AU22" s="41">
        <v>143425.58000000002</v>
      </c>
      <c r="AV22" s="41">
        <v>55180.119999999995</v>
      </c>
      <c r="AW22" s="41">
        <v>9666.14</v>
      </c>
      <c r="AX22" s="41">
        <v>26229.140000000003</v>
      </c>
      <c r="AY22" s="41">
        <v>0</v>
      </c>
      <c r="AZ22" s="41">
        <v>45804.479999999996</v>
      </c>
      <c r="BA22" s="41">
        <v>104.80000000000018</v>
      </c>
      <c r="BB22" s="41">
        <v>50983.060000000005</v>
      </c>
      <c r="BC22" s="41">
        <v>145.59999999999991</v>
      </c>
      <c r="BD22" s="41">
        <v>120.84000000000015</v>
      </c>
      <c r="BE22" s="41">
        <v>14.399999999999999</v>
      </c>
      <c r="BF22" s="41">
        <v>116.79999999999995</v>
      </c>
      <c r="BG22" s="41">
        <v>6.4</v>
      </c>
      <c r="BH22" s="41">
        <v>75.200000000000045</v>
      </c>
      <c r="BI22" s="41">
        <v>33.599999999999994</v>
      </c>
      <c r="BJ22" s="41">
        <v>1.6000000000000014</v>
      </c>
      <c r="BK22" s="41">
        <v>34.4</v>
      </c>
      <c r="BL22" s="41">
        <v>6.4</v>
      </c>
      <c r="BM22" s="41">
        <v>2.4000000000000004</v>
      </c>
      <c r="BN22" s="41">
        <v>4</v>
      </c>
      <c r="BO22" s="41">
        <v>20.8</v>
      </c>
      <c r="BP22" s="41">
        <v>8.8000000000000007</v>
      </c>
      <c r="BQ22" s="41">
        <v>9.6</v>
      </c>
      <c r="BR22" s="41">
        <v>9.6</v>
      </c>
      <c r="BS22" s="41">
        <v>4</v>
      </c>
      <c r="BT22" s="41">
        <v>9.6</v>
      </c>
      <c r="BU22" s="41">
        <v>5.6</v>
      </c>
      <c r="BV22" s="41">
        <v>9.6</v>
      </c>
      <c r="BW22" s="41">
        <v>0.8</v>
      </c>
      <c r="BX22" s="41">
        <v>4.8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0.8</v>
      </c>
      <c r="CF22" s="41">
        <v>0.8</v>
      </c>
      <c r="CG22" s="41">
        <v>1.6</v>
      </c>
      <c r="CH22" s="41">
        <v>55.2</v>
      </c>
      <c r="CI22" s="41">
        <v>0</v>
      </c>
      <c r="CJ22" s="41">
        <v>0.8</v>
      </c>
      <c r="CK22" s="41">
        <v>0.8</v>
      </c>
      <c r="CL22" s="41">
        <v>0.8</v>
      </c>
      <c r="CM22" s="41">
        <v>0.8</v>
      </c>
      <c r="CN22" s="41">
        <v>0</v>
      </c>
      <c r="CO22" s="41">
        <v>5.6000000000000005</v>
      </c>
      <c r="CP22" s="41">
        <v>0</v>
      </c>
      <c r="CQ22" s="41">
        <v>0</v>
      </c>
      <c r="CR22" s="41">
        <v>0</v>
      </c>
      <c r="CS22" s="41">
        <v>0</v>
      </c>
    </row>
    <row r="23" spans="1:97" s="1" customFormat="1" x14ac:dyDescent="0.25">
      <c r="A23" s="1">
        <v>10</v>
      </c>
      <c r="B23" s="1" t="s">
        <v>122</v>
      </c>
      <c r="P23" s="43"/>
      <c r="T23" s="1">
        <f>(A23*T7)/(100*T22)</f>
        <v>2.9467144665595781E-5</v>
      </c>
      <c r="V23" s="1">
        <f>(A23*V7)/(100*V22)</f>
        <v>2.6786379340969126E-5</v>
      </c>
      <c r="W23" s="1">
        <f>(A23*W7)/(100*W22)</f>
        <v>2.6176861213810384E-5</v>
      </c>
      <c r="X23" s="1">
        <f>(A23*X7)/(100*X22)</f>
        <v>2.4307693732319047E-5</v>
      </c>
      <c r="Y23" s="1">
        <f>(A23*Y7)/(100*Y22)</f>
        <v>2.2884529172945602E-5</v>
      </c>
      <c r="Z23" s="1">
        <f>(A23*(Z3/100))/(Z22-(1/Response_Functions!B95)*A23*(Z7/100))</f>
        <v>1.7455628670838286E-5</v>
      </c>
      <c r="AA23" s="1">
        <f>(A23*AA5)/(100*AA22)</f>
        <v>2.1784039653225971E-5</v>
      </c>
      <c r="AB23" s="1">
        <f>(A23*(AB3/100))/(AB22-(1/Response_Functions!B96)*A23*(AB7/100))</f>
        <v>2.6731440458648408E-5</v>
      </c>
      <c r="AC23" s="1">
        <f>(A23*AC3)/(100*AC22)</f>
        <v>2.3392168180575385E-5</v>
      </c>
      <c r="AD23" s="1">
        <f>(A23*AD3)/(100*AD22)</f>
        <v>2.2533653306263264E-5</v>
      </c>
      <c r="AF23" s="1">
        <f>(A23*AF3)/(100*AF22)</f>
        <v>1.8351792628904698E-5</v>
      </c>
      <c r="AH23" s="1">
        <f>(A23*AH3)/(AH22*100)</f>
        <v>1.6022836643625863E-5</v>
      </c>
      <c r="AJ23" s="1">
        <f>(10*0.0097)/AJ22</f>
        <v>1.2329547187846371E-5</v>
      </c>
      <c r="AL23" s="1">
        <f>(10*0.0066)/AL22</f>
        <v>1.1788114008923246E-5</v>
      </c>
      <c r="AM23" s="1">
        <f>(10*0.0034)/AM22</f>
        <v>1.1560064736362522E-5</v>
      </c>
      <c r="AN23" s="1">
        <f>(10*0.1454)/AN22</f>
        <v>1.1643714508292503E-5</v>
      </c>
      <c r="AO23" s="1">
        <f>(10*0.0768)/AO22</f>
        <v>1.1577727708125483E-5</v>
      </c>
      <c r="AP23" s="1">
        <f>(0.2422*10)/AP22</f>
        <v>1.158487499384165E-5</v>
      </c>
      <c r="AQ23" s="1">
        <f>(10*0.0859)/AQ22</f>
        <v>1.1689921763259351E-5</v>
      </c>
      <c r="AR23" s="54">
        <f>(0.3258*10)/(AR22-10*0.0009*(1/Response_Functions!B177))</f>
        <v>1.1755210180595706E-5</v>
      </c>
      <c r="AS23" s="43">
        <f>(10*0.5721)/AS22</f>
        <v>3.0294901083785388E-5</v>
      </c>
      <c r="AT23" s="54">
        <f>(0.0463*10)/(AT22-10*0.0255*(1/Response_Functions!B178))</f>
        <v>1.1703094232123653E-5</v>
      </c>
      <c r="AU23" s="84">
        <f>(10*0.0089)/(AU22-0.4279*10*(1/Response_Functions!J194))</f>
        <v>6.3258246769317162E-5</v>
      </c>
      <c r="AV23" s="54">
        <f>(10*0.0579)/(AV22-0.0474*10*(1/Response_Functions!B180))</f>
        <v>1.1862987336722291E-5</v>
      </c>
      <c r="AW23" s="1">
        <f>(10*0.0707)/AW22</f>
        <v>7.3141916007837666E-5</v>
      </c>
      <c r="AX23" s="1">
        <f>(10*0.1884)/AX22</f>
        <v>7.1828508292685154E-5</v>
      </c>
      <c r="AZ23" s="1">
        <f>(10*0.3174)/AZ22</f>
        <v>6.929453188858384E-5</v>
      </c>
      <c r="BB23" s="1">
        <f>(10*0.3408)/BB22</f>
        <v>6.6845732680619789E-5</v>
      </c>
      <c r="BT23" s="43"/>
      <c r="BV23" s="44"/>
    </row>
    <row r="24" spans="1:97" x14ac:dyDescent="0.25">
      <c r="B24" t="s">
        <v>40</v>
      </c>
      <c r="C24">
        <v>0</v>
      </c>
      <c r="D24">
        <v>5743.7599999999984</v>
      </c>
      <c r="E24">
        <v>1459.3000000000002</v>
      </c>
      <c r="F24">
        <v>688</v>
      </c>
      <c r="G24">
        <v>511.99999999999994</v>
      </c>
      <c r="H24">
        <v>344</v>
      </c>
      <c r="I24">
        <v>273.59999999999997</v>
      </c>
      <c r="J24">
        <v>259.2</v>
      </c>
      <c r="K24">
        <v>345.59999999999997</v>
      </c>
      <c r="L24">
        <v>167.2</v>
      </c>
      <c r="M24">
        <v>393741.6399999999</v>
      </c>
      <c r="N24">
        <v>64</v>
      </c>
      <c r="O24">
        <v>13.6</v>
      </c>
      <c r="P24" s="41">
        <v>20.799999999999997</v>
      </c>
      <c r="Q24">
        <v>69.599999999999994</v>
      </c>
      <c r="R24">
        <v>15.200000000000001</v>
      </c>
      <c r="S24">
        <v>8.8000000000000007</v>
      </c>
      <c r="T24">
        <v>20.799999999999997</v>
      </c>
      <c r="U24">
        <v>2.4</v>
      </c>
      <c r="V24">
        <v>21.6</v>
      </c>
      <c r="W24">
        <v>1.6</v>
      </c>
      <c r="X24">
        <v>13.600000000000001</v>
      </c>
      <c r="Y24">
        <v>2.4000000000000004</v>
      </c>
      <c r="Z24">
        <v>16</v>
      </c>
      <c r="AA24">
        <v>0</v>
      </c>
      <c r="AB24">
        <v>17.599999999999998</v>
      </c>
      <c r="AC24">
        <v>4444</v>
      </c>
      <c r="AD24">
        <v>558.4</v>
      </c>
      <c r="AE24">
        <v>8.8000000000000007</v>
      </c>
      <c r="AF24">
        <v>16.8</v>
      </c>
      <c r="AG24">
        <v>14.399999999999999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4.8</v>
      </c>
      <c r="AN24">
        <v>7091.6399999999994</v>
      </c>
      <c r="AO24">
        <v>1.5999999999999979</v>
      </c>
      <c r="AP24">
        <v>1.6000000000000014</v>
      </c>
      <c r="AQ24">
        <v>7.1999999999999993</v>
      </c>
      <c r="AR24">
        <v>9.5999999999999943</v>
      </c>
      <c r="AS24" s="41">
        <v>5.6</v>
      </c>
      <c r="AT24">
        <v>4</v>
      </c>
      <c r="AU24" s="41">
        <v>9.6</v>
      </c>
      <c r="AV24">
        <v>85.6</v>
      </c>
      <c r="AW24">
        <v>16.8</v>
      </c>
      <c r="AX24">
        <v>41.599999999999994</v>
      </c>
      <c r="AY24">
        <v>4923.7399999999943</v>
      </c>
      <c r="AZ24">
        <v>43.199999999999989</v>
      </c>
      <c r="BA24">
        <v>58.400000000000091</v>
      </c>
      <c r="BB24">
        <v>43.199999999999989</v>
      </c>
      <c r="BC24">
        <v>147.22000000000003</v>
      </c>
      <c r="BD24">
        <v>100.85999999999967</v>
      </c>
      <c r="BE24">
        <v>0</v>
      </c>
      <c r="BF24">
        <v>62.399999999999977</v>
      </c>
      <c r="BG24">
        <v>0</v>
      </c>
      <c r="BH24">
        <v>1649.8199999999997</v>
      </c>
      <c r="BI24">
        <v>0</v>
      </c>
      <c r="BJ24">
        <v>3058.8</v>
      </c>
      <c r="BK24">
        <v>852103.93999999983</v>
      </c>
      <c r="BL24">
        <v>796041.32</v>
      </c>
      <c r="BM24">
        <v>988721.5199999999</v>
      </c>
      <c r="BN24">
        <v>364951.92000000004</v>
      </c>
      <c r="BO24">
        <v>119800.18000000001</v>
      </c>
      <c r="BP24">
        <v>261595.62000000002</v>
      </c>
      <c r="BQ24">
        <v>82153.159999999989</v>
      </c>
      <c r="BR24">
        <v>168392.7</v>
      </c>
      <c r="BS24">
        <v>145471.56</v>
      </c>
      <c r="BT24" s="41">
        <v>166099.14000000001</v>
      </c>
      <c r="BU24">
        <v>134108.53999999998</v>
      </c>
      <c r="BV24" s="38">
        <v>130299.74000000002</v>
      </c>
      <c r="BW24">
        <v>478279.5199999999</v>
      </c>
      <c r="BX24">
        <v>264231.8</v>
      </c>
      <c r="BY24">
        <v>525920.42000000004</v>
      </c>
      <c r="BZ24">
        <v>246588.62000000002</v>
      </c>
      <c r="CA24">
        <v>149807.76</v>
      </c>
      <c r="CB24">
        <v>204256.16</v>
      </c>
      <c r="CC24">
        <v>162030.26</v>
      </c>
      <c r="CD24">
        <v>239825.32000000004</v>
      </c>
      <c r="CE24">
        <v>1026733.86</v>
      </c>
      <c r="CF24">
        <v>233891.7</v>
      </c>
      <c r="CG24">
        <v>0</v>
      </c>
      <c r="CH24">
        <v>787992.5</v>
      </c>
      <c r="CI24">
        <v>20.8</v>
      </c>
      <c r="CJ24">
        <v>0</v>
      </c>
      <c r="CK24">
        <v>3.2</v>
      </c>
      <c r="CL24">
        <v>0</v>
      </c>
      <c r="CM24">
        <v>0</v>
      </c>
      <c r="CN24">
        <v>848.94</v>
      </c>
      <c r="CO24">
        <v>35.199999999999996</v>
      </c>
      <c r="CP24">
        <v>2.4</v>
      </c>
      <c r="CQ24">
        <v>0.8</v>
      </c>
      <c r="CR24">
        <v>0</v>
      </c>
      <c r="CS24">
        <v>0</v>
      </c>
    </row>
    <row r="25" spans="1:97" s="1" customFormat="1" x14ac:dyDescent="0.25">
      <c r="A25" s="1">
        <v>10.19</v>
      </c>
      <c r="B25" s="1" t="s">
        <v>122</v>
      </c>
      <c r="M25" s="1">
        <f>A25/M24</f>
        <v>2.5879914555138242E-5</v>
      </c>
      <c r="P25" s="43"/>
      <c r="AS25" s="43"/>
      <c r="AU25" s="43"/>
      <c r="BH25" s="1">
        <f>(10.19*0.00185)/BH24</f>
        <v>1.1426398031300387E-5</v>
      </c>
      <c r="BJ25" s="1">
        <f>(10.19*0.00251)/(BJ24-10.19*0.0009*(1/Response_Functions!H227))</f>
        <v>1.116302616249068E-5</v>
      </c>
      <c r="BK25" s="1">
        <f>(10.19*0.9991)/BK24</f>
        <v>1.1947872227888068E-5</v>
      </c>
      <c r="BL25" s="1">
        <f>(10.19*0.8845)/BL24</f>
        <v>1.1322345679241876E-5</v>
      </c>
      <c r="BM25" s="1">
        <f>10.19/BM24</f>
        <v>1.0306238707133633E-5</v>
      </c>
      <c r="BN25" s="1">
        <f>(10.19*0.11114)/(BN24-10.19*0.272*(1/Response_Functions!D270))</f>
        <v>1.1172269767816761E-5</v>
      </c>
      <c r="BO25" s="1">
        <f>(10.19*0.122)/BO24</f>
        <v>1.0377112955923771E-5</v>
      </c>
      <c r="BP25" s="54">
        <f>(10.19*0.0307)/(BP24-10.19*0.238*(1/Response_Functions!D286))</f>
        <v>1.0733575154350286E-5</v>
      </c>
      <c r="BQ25" s="1">
        <f>(10.19*0.083)/BQ24</f>
        <v>1.0295039168304666E-5</v>
      </c>
      <c r="BR25" s="1">
        <f>(0.172*10.19)/BR24</f>
        <v>1.0408289670514218E-5</v>
      </c>
      <c r="BS25" s="1">
        <f>(10.19*0.1499)/BS24</f>
        <v>1.050020361368229E-5</v>
      </c>
      <c r="BT25" s="43"/>
      <c r="BU25" s="1">
        <f>(10.19*0.1382)/BU24</f>
        <v>1.0500882345002041E-5</v>
      </c>
      <c r="BV25" s="44">
        <f>(10.19*0.0738)/(BV24-10.19*0.056*(1/Response_Functions!D276))</f>
        <v>1.0516696103393728E-5</v>
      </c>
      <c r="BW25" s="1">
        <f>(10.19*0.4781)/BW24</f>
        <v>1.0186175230752094E-5</v>
      </c>
      <c r="BX25" s="1">
        <f>(10.19*0.002)/(BX24-0.2675*10.19*(1/Response_Functions!D297))</f>
        <v>1.0435283498438151E-5</v>
      </c>
      <c r="BY25" s="1">
        <f>(10.19*0.5219)/BY24</f>
        <v>1.011210213134527E-5</v>
      </c>
      <c r="BZ25" s="1">
        <f>(10.19*0.0218)/(BZ24-10.19*0.22758*(1/Response_Functions!D298))</f>
        <v>1.0668179958331799E-5</v>
      </c>
      <c r="CA25" s="1">
        <f>(10.19*0.148)/CA24</f>
        <v>1.0067035245704227E-5</v>
      </c>
      <c r="CB25" s="1">
        <f>(10.19*0.2047+10.19*0.0006)/CB24</f>
        <v>1.0242075440956102E-5</v>
      </c>
      <c r="CC25" s="1">
        <f>(0.1565*10.19)/CC24</f>
        <v>9.8422047832299953E-6</v>
      </c>
      <c r="CD25" s="1">
        <f>(10.19*(0.2484+0.001))/CD24</f>
        <v>1.0596821052923017E-5</v>
      </c>
      <c r="CF25" s="1">
        <f>(10.19*0.0234)/(CF14-0.2186*10.198*(1/Response_Functions!D330))</f>
        <v>9.0046316576113724E-6</v>
      </c>
    </row>
    <row r="26" spans="1:97" x14ac:dyDescent="0.25">
      <c r="B26" t="s">
        <v>45</v>
      </c>
      <c r="C26">
        <v>101.60000000000001</v>
      </c>
      <c r="D26">
        <v>0</v>
      </c>
      <c r="E26">
        <v>0</v>
      </c>
      <c r="F26">
        <v>16</v>
      </c>
      <c r="G26">
        <v>0</v>
      </c>
      <c r="H26">
        <v>10.4</v>
      </c>
      <c r="I26">
        <v>12</v>
      </c>
      <c r="J26">
        <v>16.800000000000011</v>
      </c>
      <c r="K26">
        <v>5.6000000000000014</v>
      </c>
      <c r="L26">
        <v>74.399999999999991</v>
      </c>
      <c r="M26">
        <v>0</v>
      </c>
      <c r="N26">
        <v>20.800000000000004</v>
      </c>
      <c r="O26">
        <v>1.5999999999999996</v>
      </c>
      <c r="P26" s="41">
        <v>6.4</v>
      </c>
      <c r="Q26">
        <v>0</v>
      </c>
      <c r="R26">
        <v>12</v>
      </c>
      <c r="S26">
        <v>4</v>
      </c>
      <c r="T26">
        <v>0</v>
      </c>
      <c r="U26">
        <v>4.0000000000000009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0.80000000000000071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2.4</v>
      </c>
      <c r="AM26">
        <v>4.8000000000000007</v>
      </c>
      <c r="AN26">
        <v>1758.5</v>
      </c>
      <c r="AO26">
        <v>0</v>
      </c>
      <c r="AP26">
        <v>10.400000000000006</v>
      </c>
      <c r="AQ26">
        <v>2418.62</v>
      </c>
      <c r="AR26">
        <v>25.600000000000009</v>
      </c>
      <c r="AS26" s="41">
        <v>7.2000000000000011</v>
      </c>
      <c r="AT26">
        <v>0</v>
      </c>
      <c r="AU26" s="41">
        <v>1.5999999999999996</v>
      </c>
      <c r="AV26">
        <v>26.4</v>
      </c>
      <c r="AW26">
        <v>4</v>
      </c>
      <c r="AX26">
        <v>0</v>
      </c>
      <c r="AY26">
        <v>0</v>
      </c>
      <c r="AZ26">
        <v>11.199999999999989</v>
      </c>
      <c r="BA26">
        <v>76</v>
      </c>
      <c r="BB26">
        <v>0</v>
      </c>
      <c r="BC26">
        <v>68.820000000000164</v>
      </c>
      <c r="BD26">
        <v>0</v>
      </c>
      <c r="BE26">
        <v>2.3999999999999986</v>
      </c>
      <c r="BF26">
        <v>44.799999999999955</v>
      </c>
      <c r="BG26">
        <v>0</v>
      </c>
      <c r="BH26">
        <v>37.600000000000023</v>
      </c>
      <c r="BI26">
        <v>19.200000000000003</v>
      </c>
      <c r="BJ26">
        <v>99.2</v>
      </c>
      <c r="BK26">
        <v>16.799999999999997</v>
      </c>
      <c r="BL26">
        <v>0</v>
      </c>
      <c r="BM26">
        <v>12</v>
      </c>
      <c r="BN26">
        <v>4</v>
      </c>
      <c r="BO26">
        <v>1.6000000000000005</v>
      </c>
      <c r="BP26">
        <v>0</v>
      </c>
      <c r="BQ26">
        <v>3.2</v>
      </c>
      <c r="BR26">
        <v>0</v>
      </c>
      <c r="BS26">
        <v>0</v>
      </c>
      <c r="BT26" s="41">
        <v>0</v>
      </c>
      <c r="BU26">
        <v>0</v>
      </c>
      <c r="BV26" s="38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0.79999999999999982</v>
      </c>
      <c r="CG26">
        <v>1.6</v>
      </c>
      <c r="CH26">
        <v>186993.15999999997</v>
      </c>
      <c r="CI26">
        <v>4.8</v>
      </c>
      <c r="CJ26">
        <v>27.2</v>
      </c>
      <c r="CK26">
        <v>3530.8999999999996</v>
      </c>
      <c r="CL26">
        <v>0</v>
      </c>
      <c r="CM26">
        <v>0.8</v>
      </c>
      <c r="CN26">
        <v>481945.2</v>
      </c>
      <c r="CO26">
        <v>13.8</v>
      </c>
      <c r="CP26">
        <v>0.8</v>
      </c>
      <c r="CQ26">
        <v>0</v>
      </c>
      <c r="CR26">
        <v>0</v>
      </c>
      <c r="CS26">
        <v>0</v>
      </c>
    </row>
    <row r="27" spans="1:97" s="1" customFormat="1" x14ac:dyDescent="0.25">
      <c r="B27" s="1" t="s">
        <v>122</v>
      </c>
      <c r="P27" s="43"/>
      <c r="AS27" s="43"/>
      <c r="AU27" s="43"/>
      <c r="BT27" s="43"/>
      <c r="BV27" s="44"/>
      <c r="CJ27" s="53">
        <f>(0.000289)/CJ26</f>
        <v>1.0624999999999999E-5</v>
      </c>
      <c r="CK27" s="1">
        <f>(0.038008)/CK26</f>
        <v>1.0764394347050329E-5</v>
      </c>
      <c r="CN27" s="1">
        <f>(5.307622023)/CN26</f>
        <v>1.1012916039001945E-5</v>
      </c>
    </row>
    <row r="28" spans="1:97" x14ac:dyDescent="0.25">
      <c r="B28" t="s">
        <v>42</v>
      </c>
      <c r="C28">
        <v>3098</v>
      </c>
      <c r="D28">
        <v>24</v>
      </c>
      <c r="E28">
        <v>5.6</v>
      </c>
      <c r="F28">
        <v>5.6000000000000227</v>
      </c>
      <c r="G28">
        <v>0</v>
      </c>
      <c r="H28">
        <v>2.4000000000000004</v>
      </c>
      <c r="I28">
        <v>22.4</v>
      </c>
      <c r="J28">
        <v>29.600000000000023</v>
      </c>
      <c r="K28">
        <v>26.4</v>
      </c>
      <c r="L28">
        <v>264</v>
      </c>
      <c r="M28">
        <v>38.400000000000006</v>
      </c>
      <c r="N28">
        <v>267.2</v>
      </c>
      <c r="O28">
        <v>60.000000000000007</v>
      </c>
      <c r="P28" s="41">
        <v>91.199999999999989</v>
      </c>
      <c r="Q28">
        <v>0</v>
      </c>
      <c r="R28">
        <v>108.8</v>
      </c>
      <c r="S28">
        <v>3.2000000000000011</v>
      </c>
      <c r="T28">
        <v>24.799999999999997</v>
      </c>
      <c r="U28">
        <v>4.0000000000000009</v>
      </c>
      <c r="V28">
        <v>19.2</v>
      </c>
      <c r="W28">
        <v>0</v>
      </c>
      <c r="X28">
        <v>0</v>
      </c>
      <c r="Y28">
        <v>0</v>
      </c>
      <c r="Z28">
        <v>0</v>
      </c>
      <c r="AA28">
        <v>6.4</v>
      </c>
      <c r="AB28">
        <v>0</v>
      </c>
      <c r="AC28">
        <v>0</v>
      </c>
      <c r="AD28">
        <v>4.8000000000000007</v>
      </c>
      <c r="AE28">
        <v>0</v>
      </c>
      <c r="AF28">
        <v>0</v>
      </c>
      <c r="AG28">
        <v>0</v>
      </c>
      <c r="AH28">
        <v>0</v>
      </c>
      <c r="AI28">
        <v>7.2000000000000011</v>
      </c>
      <c r="AJ28">
        <v>0</v>
      </c>
      <c r="AK28">
        <v>0.79999999999999982</v>
      </c>
      <c r="AL28">
        <v>4.8000000000000007</v>
      </c>
      <c r="AM28">
        <v>24</v>
      </c>
      <c r="AN28">
        <v>8.7999999999999972</v>
      </c>
      <c r="AO28">
        <v>12.8</v>
      </c>
      <c r="AP28">
        <v>23.200000000000003</v>
      </c>
      <c r="AQ28">
        <v>35.200000000000003</v>
      </c>
      <c r="AR28">
        <v>37.599999999999994</v>
      </c>
      <c r="AS28" s="41">
        <v>14.4</v>
      </c>
      <c r="AT28">
        <v>0</v>
      </c>
      <c r="AU28" s="41">
        <v>2.4000000000000004</v>
      </c>
      <c r="AV28">
        <v>4.7999999999999972</v>
      </c>
      <c r="AW28">
        <v>1.6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16.800000000000004</v>
      </c>
      <c r="BF28">
        <v>60.799999999999955</v>
      </c>
      <c r="BG28">
        <v>20.799999999999997</v>
      </c>
      <c r="BH28">
        <v>41.600000000000023</v>
      </c>
      <c r="BI28">
        <v>32.800000000000004</v>
      </c>
      <c r="BJ28">
        <v>263.2</v>
      </c>
      <c r="BK28">
        <v>7.1999999999999957</v>
      </c>
      <c r="BL28">
        <v>10.399999999999999</v>
      </c>
      <c r="BM28">
        <v>0</v>
      </c>
      <c r="BN28">
        <v>0</v>
      </c>
      <c r="BO28">
        <v>0</v>
      </c>
      <c r="BP28">
        <v>1.5999999999999996</v>
      </c>
      <c r="BQ28">
        <v>3.2</v>
      </c>
      <c r="BR28">
        <v>0</v>
      </c>
      <c r="BS28">
        <v>0</v>
      </c>
      <c r="BT28" s="41">
        <v>0</v>
      </c>
      <c r="BU28">
        <v>0</v>
      </c>
      <c r="BV28" s="38">
        <v>0</v>
      </c>
      <c r="BW28">
        <v>0</v>
      </c>
      <c r="BX28">
        <v>0.79999999999999982</v>
      </c>
      <c r="BY28">
        <v>0</v>
      </c>
      <c r="BZ28">
        <v>0</v>
      </c>
      <c r="CA28">
        <v>0</v>
      </c>
      <c r="CB28">
        <v>0</v>
      </c>
      <c r="CC28">
        <v>2.4000000000000004</v>
      </c>
      <c r="CD28">
        <v>0</v>
      </c>
      <c r="CE28">
        <v>0</v>
      </c>
      <c r="CF28">
        <v>0</v>
      </c>
      <c r="CG28">
        <v>0</v>
      </c>
      <c r="CH28">
        <v>116.80000000000001</v>
      </c>
      <c r="CI28">
        <v>0</v>
      </c>
      <c r="CJ28">
        <v>3.2</v>
      </c>
      <c r="CK28">
        <v>604</v>
      </c>
      <c r="CL28">
        <v>44</v>
      </c>
      <c r="CM28">
        <v>4</v>
      </c>
      <c r="CN28">
        <v>57.666666666666671</v>
      </c>
      <c r="CO28">
        <v>531466.48</v>
      </c>
      <c r="CP28">
        <v>11015.24</v>
      </c>
      <c r="CQ28">
        <v>27.2</v>
      </c>
      <c r="CR28">
        <v>4.8</v>
      </c>
      <c r="CS28">
        <v>0</v>
      </c>
    </row>
    <row r="29" spans="1:97" s="1" customFormat="1" x14ac:dyDescent="0.25">
      <c r="B29" s="1" t="s">
        <v>122</v>
      </c>
      <c r="P29" s="43"/>
      <c r="AS29" s="43"/>
      <c r="AU29" s="43"/>
      <c r="BT29" s="43"/>
      <c r="BV29" s="44"/>
      <c r="CO29" s="1">
        <f>(6.054985)/CO28</f>
        <v>1.1392976279520019E-5</v>
      </c>
      <c r="CP29" s="1">
        <f>0.127462/CP28</f>
        <v>1.1571422865048787E-5</v>
      </c>
      <c r="CQ29" s="1">
        <f>0.000235111/CQ28</f>
        <v>8.6437867647058834E-6</v>
      </c>
      <c r="CR29" s="1">
        <f>0.0000629/CR28</f>
        <v>1.3104166666666667E-5</v>
      </c>
    </row>
    <row r="30" spans="1:97" x14ac:dyDescent="0.25">
      <c r="B30" t="s">
        <v>41</v>
      </c>
      <c r="C30">
        <v>73.600000000000009</v>
      </c>
      <c r="D30">
        <v>0</v>
      </c>
      <c r="E30">
        <v>24896.040000000005</v>
      </c>
      <c r="F30">
        <v>103.20000000000005</v>
      </c>
      <c r="G30">
        <v>10.399999999999999</v>
      </c>
      <c r="H30">
        <v>18.399999999999999</v>
      </c>
      <c r="I30">
        <v>79074.600000000006</v>
      </c>
      <c r="J30">
        <v>43339.62000000001</v>
      </c>
      <c r="K30">
        <v>60579.48</v>
      </c>
      <c r="L30">
        <v>357526.38</v>
      </c>
      <c r="M30">
        <v>49832.92</v>
      </c>
      <c r="N30">
        <v>23.200000000000003</v>
      </c>
      <c r="O30">
        <v>5.6</v>
      </c>
      <c r="P30" s="41">
        <v>24</v>
      </c>
      <c r="Q30">
        <v>0</v>
      </c>
      <c r="R30">
        <v>16</v>
      </c>
      <c r="S30">
        <v>29.6</v>
      </c>
      <c r="T30">
        <v>28.799999999999997</v>
      </c>
      <c r="U30">
        <v>0</v>
      </c>
      <c r="V30">
        <v>0</v>
      </c>
      <c r="W30">
        <v>1.5999999999999996</v>
      </c>
      <c r="X30">
        <v>0</v>
      </c>
      <c r="Y30">
        <v>0</v>
      </c>
      <c r="Z30">
        <v>1.6000000000000014</v>
      </c>
      <c r="AA30">
        <v>15.2</v>
      </c>
      <c r="AB30">
        <v>87.2</v>
      </c>
      <c r="AC30">
        <v>676</v>
      </c>
      <c r="AD30">
        <v>56</v>
      </c>
      <c r="AE30">
        <v>3.1999999999999993</v>
      </c>
      <c r="AF30">
        <v>0</v>
      </c>
      <c r="AG30">
        <v>0</v>
      </c>
      <c r="AH30">
        <v>16.8</v>
      </c>
      <c r="AI30">
        <v>18.399999999999999</v>
      </c>
      <c r="AJ30">
        <v>26.4</v>
      </c>
      <c r="AK30">
        <v>16.799999999999997</v>
      </c>
      <c r="AL30">
        <v>48.8</v>
      </c>
      <c r="AM30">
        <v>8</v>
      </c>
      <c r="AN30">
        <v>4</v>
      </c>
      <c r="AO30">
        <v>3.2000000000000028</v>
      </c>
      <c r="AP30">
        <v>0</v>
      </c>
      <c r="AQ30">
        <v>0</v>
      </c>
      <c r="AR30">
        <v>0</v>
      </c>
      <c r="AS30" s="41">
        <v>21.6</v>
      </c>
      <c r="AT30">
        <v>0</v>
      </c>
      <c r="AU30" s="41">
        <v>18.399999999999999</v>
      </c>
      <c r="AV30">
        <v>4</v>
      </c>
      <c r="AW30">
        <v>0</v>
      </c>
      <c r="AX30">
        <v>0</v>
      </c>
      <c r="AY30">
        <v>3466.580000000009</v>
      </c>
      <c r="AZ30">
        <v>3.1999999999999886</v>
      </c>
      <c r="BA30">
        <v>32</v>
      </c>
      <c r="BB30">
        <v>868.9</v>
      </c>
      <c r="BC30">
        <v>12.799999999999955</v>
      </c>
      <c r="BD30">
        <v>801.79999999999973</v>
      </c>
      <c r="BE30">
        <v>95319.98000000001</v>
      </c>
      <c r="BF30">
        <v>19907.7</v>
      </c>
      <c r="BG30">
        <v>53777.219999999994</v>
      </c>
      <c r="BH30">
        <v>64840.759999999995</v>
      </c>
      <c r="BI30" s="38">
        <v>93996.359999999986</v>
      </c>
      <c r="BJ30">
        <v>603056.75999999989</v>
      </c>
      <c r="BK30">
        <v>9.6000000000000014</v>
      </c>
      <c r="BL30">
        <v>57.6</v>
      </c>
      <c r="BM30">
        <v>0</v>
      </c>
      <c r="BN30">
        <v>14.399999999999999</v>
      </c>
      <c r="BO30">
        <v>0</v>
      </c>
      <c r="BP30">
        <v>5.6</v>
      </c>
      <c r="BQ30">
        <v>4.8</v>
      </c>
      <c r="BR30">
        <v>1.5999999999999996</v>
      </c>
      <c r="BS30">
        <v>0</v>
      </c>
      <c r="BT30" s="41">
        <v>0</v>
      </c>
      <c r="BU30">
        <v>0.79999999999999982</v>
      </c>
      <c r="BV30" s="38">
        <v>12</v>
      </c>
      <c r="BW30">
        <v>33.6</v>
      </c>
      <c r="BX30">
        <v>60</v>
      </c>
      <c r="BY30">
        <v>89.6</v>
      </c>
      <c r="BZ30">
        <v>372.8</v>
      </c>
      <c r="CA30">
        <v>307.20000000000005</v>
      </c>
      <c r="CB30">
        <v>0</v>
      </c>
      <c r="CC30">
        <v>0.8</v>
      </c>
      <c r="CD30">
        <v>0</v>
      </c>
      <c r="CE30">
        <v>0</v>
      </c>
      <c r="CF30">
        <v>0.79999999999999982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1.6</v>
      </c>
      <c r="CN30">
        <v>0</v>
      </c>
      <c r="CO30">
        <v>487.4</v>
      </c>
      <c r="CP30">
        <v>10.399999999999999</v>
      </c>
      <c r="CQ30">
        <v>0</v>
      </c>
      <c r="CR30">
        <v>0</v>
      </c>
      <c r="CS30">
        <v>0</v>
      </c>
    </row>
    <row r="31" spans="1:97" s="1" customFormat="1" x14ac:dyDescent="0.25">
      <c r="B31" s="1" t="s">
        <v>122</v>
      </c>
      <c r="I31" s="1">
        <f>(2.130603*0.7217)/(I30)</f>
        <v>1.9445639751576358E-5</v>
      </c>
      <c r="J31" s="1">
        <f>(8.521312*0.0986)/(J30)</f>
        <v>1.9386449701220263E-5</v>
      </c>
      <c r="K31" s="51">
        <f>(0.07*8.521312)/(K30-2.130603*0.2783*(1/Response_Functions!D21))</f>
        <v>1.9746092185452076E-5</v>
      </c>
      <c r="L31" s="1">
        <f>(8.521312*L5)/(100*L30)</f>
        <v>1.9682182471682226E-5</v>
      </c>
      <c r="M31" s="1">
        <f>(1.059493)/M30</f>
        <v>2.1260905441623729E-5</v>
      </c>
      <c r="P31" s="43"/>
      <c r="AS31" s="43"/>
      <c r="AU31" s="43"/>
      <c r="BB31" s="1">
        <f>(8.515972*0.00106)/BB30</f>
        <v>1.03889173898032E-5</v>
      </c>
      <c r="BD31" s="1">
        <f>(0.00101*8.515972)/BD30</f>
        <v>1.0727278273883766E-5</v>
      </c>
      <c r="BE31" s="1">
        <f>(1.058417/BE30)</f>
        <v>1.1103831536683074E-5</v>
      </c>
      <c r="BF31" s="1">
        <f>(8.515972*0.02417)/BF30</f>
        <v>1.0339267883281342E-5</v>
      </c>
      <c r="BG31" s="1">
        <f>(8.515972*0.06592)/BG30</f>
        <v>1.0438860064540341E-5</v>
      </c>
      <c r="BH31" s="1">
        <f>(8.515972*0.07854)/BH30</f>
        <v>1.0315185091599789E-5</v>
      </c>
      <c r="BI31" s="44">
        <f>(8.515972*0.11232)/BI30</f>
        <v>1.0176074637783849E-5</v>
      </c>
      <c r="BJ31" s="1">
        <f>(8.515972*0.71698)/BJ30</f>
        <v>1.0124721269288153E-5</v>
      </c>
      <c r="BT31" s="43"/>
      <c r="BV31" s="44"/>
    </row>
    <row r="32" spans="1:97" x14ac:dyDescent="0.25">
      <c r="B32" t="s">
        <v>39</v>
      </c>
      <c r="C32">
        <v>32117.460000000003</v>
      </c>
      <c r="D32">
        <v>622.4</v>
      </c>
      <c r="E32">
        <v>6.4</v>
      </c>
      <c r="F32">
        <v>6.4000000000000341</v>
      </c>
      <c r="G32">
        <v>0</v>
      </c>
      <c r="H32">
        <v>184.79999999999998</v>
      </c>
      <c r="I32">
        <v>53.6</v>
      </c>
      <c r="J32">
        <v>58260.42</v>
      </c>
      <c r="K32">
        <v>40696.659999999996</v>
      </c>
      <c r="L32">
        <v>478227.98</v>
      </c>
      <c r="M32">
        <v>12.8</v>
      </c>
      <c r="N32">
        <v>78.400000000000006</v>
      </c>
      <c r="O32">
        <v>110.39999999999999</v>
      </c>
      <c r="P32" s="41">
        <v>59224.859999999993</v>
      </c>
      <c r="Q32">
        <v>0</v>
      </c>
      <c r="R32">
        <v>38993.680000000008</v>
      </c>
      <c r="S32">
        <v>71881.08</v>
      </c>
      <c r="T32">
        <v>77624.14</v>
      </c>
      <c r="U32">
        <v>46244.68</v>
      </c>
      <c r="V32">
        <v>125614.23999999999</v>
      </c>
      <c r="W32">
        <v>11.2</v>
      </c>
      <c r="X32">
        <v>55105.700000000004</v>
      </c>
      <c r="Y32">
        <v>0</v>
      </c>
      <c r="Z32">
        <v>4.8000000000000007</v>
      </c>
      <c r="AA32">
        <v>42.4</v>
      </c>
      <c r="AB32">
        <v>144</v>
      </c>
      <c r="AC32">
        <v>58.400000000000006</v>
      </c>
      <c r="AD32">
        <v>5437.18</v>
      </c>
      <c r="AE32">
        <v>314475.2</v>
      </c>
      <c r="AF32">
        <v>4804.92</v>
      </c>
      <c r="AG32">
        <v>356799.36000000004</v>
      </c>
      <c r="AH32">
        <v>75254.01999999999</v>
      </c>
      <c r="AI32">
        <v>81325.440000000002</v>
      </c>
      <c r="AJ32">
        <v>160061.69999999998</v>
      </c>
      <c r="AK32">
        <v>173465.16</v>
      </c>
      <c r="AL32">
        <v>198411.31999999998</v>
      </c>
      <c r="AM32">
        <v>2054639.2999999998</v>
      </c>
      <c r="AN32">
        <v>61897.96</v>
      </c>
      <c r="AO32">
        <v>3.2000000000000028</v>
      </c>
      <c r="AP32">
        <v>0.80000000000001137</v>
      </c>
      <c r="AQ32">
        <v>5113.0600000000004</v>
      </c>
      <c r="AR32">
        <v>0</v>
      </c>
      <c r="AS32" s="41">
        <v>236105.02000000002</v>
      </c>
      <c r="AT32">
        <v>1.5999999999999979</v>
      </c>
      <c r="AU32" s="41">
        <v>176771.02000000002</v>
      </c>
      <c r="AV32">
        <v>88</v>
      </c>
      <c r="AW32">
        <v>0.80000000000000027</v>
      </c>
      <c r="AX32">
        <v>0</v>
      </c>
      <c r="AY32">
        <v>0</v>
      </c>
      <c r="AZ32">
        <v>0</v>
      </c>
      <c r="BA32">
        <v>64.799999999999727</v>
      </c>
      <c r="BB32">
        <v>1090.5</v>
      </c>
      <c r="BC32">
        <v>53.620000000000118</v>
      </c>
      <c r="BD32">
        <v>1072.2799999999997</v>
      </c>
      <c r="BE32">
        <v>0.80000000000000071</v>
      </c>
      <c r="BF32">
        <v>26879.600000000002</v>
      </c>
      <c r="BG32">
        <v>72922.760000000009</v>
      </c>
      <c r="BH32">
        <v>86101.1</v>
      </c>
      <c r="BI32">
        <v>127701.5</v>
      </c>
      <c r="BJ32">
        <v>804716.1399999999</v>
      </c>
      <c r="BK32">
        <v>1048452.0199999999</v>
      </c>
      <c r="BL32">
        <v>0.79999999999999716</v>
      </c>
      <c r="BM32">
        <v>0</v>
      </c>
      <c r="BN32">
        <v>0</v>
      </c>
      <c r="BO32">
        <v>2.4000000000000004</v>
      </c>
      <c r="BP32">
        <v>1.5999999999999996</v>
      </c>
      <c r="BQ32">
        <v>2.4000000000000004</v>
      </c>
      <c r="BR32">
        <v>0</v>
      </c>
      <c r="BS32">
        <v>19.2</v>
      </c>
      <c r="BT32" s="41">
        <v>3.1999999999999997</v>
      </c>
      <c r="BU32">
        <v>16.799999999999997</v>
      </c>
      <c r="BV32" s="38">
        <v>19.200000000000003</v>
      </c>
      <c r="BW32">
        <v>602337.72</v>
      </c>
      <c r="BX32">
        <v>94.4</v>
      </c>
      <c r="BY32">
        <v>673336.1</v>
      </c>
      <c r="BZ32">
        <v>563.20000000000005</v>
      </c>
      <c r="CA32">
        <v>30607.880000000005</v>
      </c>
      <c r="CB32">
        <v>1059.1999999999998</v>
      </c>
      <c r="CC32">
        <v>59.2</v>
      </c>
      <c r="CD32">
        <v>2.3999999999999995</v>
      </c>
      <c r="CE32">
        <v>8</v>
      </c>
      <c r="CF32">
        <v>5.6</v>
      </c>
      <c r="CG32">
        <v>1.6</v>
      </c>
      <c r="CH32">
        <v>958892.14</v>
      </c>
      <c r="CI32">
        <v>21.6</v>
      </c>
      <c r="CJ32">
        <v>48</v>
      </c>
      <c r="CK32">
        <v>7395.8</v>
      </c>
      <c r="CL32">
        <v>0</v>
      </c>
      <c r="CM32">
        <v>0.8</v>
      </c>
      <c r="CN32">
        <v>1026397.32</v>
      </c>
      <c r="CO32">
        <v>274.60000000000002</v>
      </c>
      <c r="CP32">
        <v>6.4</v>
      </c>
      <c r="CQ32">
        <v>0</v>
      </c>
      <c r="CR32">
        <v>0</v>
      </c>
      <c r="CS32">
        <v>0</v>
      </c>
    </row>
    <row r="33" spans="1:97" s="1" customFormat="1" x14ac:dyDescent="0.25">
      <c r="A33" s="1">
        <v>11.48</v>
      </c>
      <c r="B33" s="1" t="s">
        <v>122</v>
      </c>
      <c r="C33" s="1">
        <f>(A33*C3)/(100*C32)</f>
        <v>9.9725196201692139E-5</v>
      </c>
      <c r="J33" s="1">
        <f>(A33*J5)/(100*J32)</f>
        <v>1.9428764845842166E-5</v>
      </c>
      <c r="K33" s="51">
        <f>(A33*K5)/(100*K32)</f>
        <v>1.9746092185452076E-5</v>
      </c>
      <c r="L33" s="1">
        <f>(A33*L5)/(100*L32)</f>
        <v>1.9823566157714151E-5</v>
      </c>
      <c r="P33" s="43">
        <f>(A33*(P5/100))/(P32)</f>
        <v>2.8765488006219012E-5</v>
      </c>
      <c r="R33" s="1">
        <f>(11.48*0.0925)/R32</f>
        <v>2.723261820889949E-5</v>
      </c>
      <c r="S33" s="1">
        <f>(11.48*0.1592)/S32</f>
        <v>2.5425550089119419E-5</v>
      </c>
      <c r="T33" s="1">
        <f>(11.48*0.1668)/T32</f>
        <v>2.4668408564655274E-5</v>
      </c>
      <c r="U33" s="1">
        <f>(0.0955*11.48)/U32</f>
        <v>2.3707375637586854E-5</v>
      </c>
      <c r="V33" s="1">
        <f>(11.48*0.2413)/V32</f>
        <v>2.2052627154373581E-5</v>
      </c>
      <c r="X33" s="1">
        <f>(11.48*0.0963)/X32</f>
        <v>2.006188107582337E-5</v>
      </c>
      <c r="AD33" s="1">
        <f>(A33*0.0125)/AD32</f>
        <v>2.6392357803125887E-5</v>
      </c>
      <c r="AE33" s="1">
        <f>(11.48*0.51839)/AE32</f>
        <v>1.8923963479473106E-5</v>
      </c>
      <c r="AF33" s="1">
        <f>(11.48*0.0089)/AF32</f>
        <v>2.126403769469627E-5</v>
      </c>
      <c r="AG33" s="1">
        <f>(11.48*0.48161)/AG32</f>
        <v>1.5495775552960631E-5</v>
      </c>
      <c r="AH33" s="1">
        <f>(11.48*0.1249)/AH32</f>
        <v>1.9053493753556293E-5</v>
      </c>
      <c r="AI33" s="1">
        <f>(11.48*0.128)/AI32</f>
        <v>1.8068638792486091E-5</v>
      </c>
      <c r="AJ33" s="1">
        <f>(11.48*0.2413)/AJ32</f>
        <v>1.7306601141934645E-5</v>
      </c>
      <c r="AK33" s="54">
        <f>(20.61*0.0429)/(AK32-11.48*0.1222*(1/Response_Functions!D131))</f>
        <v>9.8767633588587748E-6</v>
      </c>
      <c r="AL33" s="1">
        <f>(11.48*0.2873)/AL32</f>
        <v>1.6623063643747749E-5</v>
      </c>
      <c r="AM33" s="1">
        <f>(20.61*0.9571)/AM32</f>
        <v>9.6006296579647836E-6</v>
      </c>
      <c r="AN33" s="1">
        <f>(11.48*0.0749)/AN32</f>
        <v>1.3891443272120761E-5</v>
      </c>
      <c r="AS33" s="43">
        <f>(11.48*0.5721)/AS32</f>
        <v>2.7816892669202882E-5</v>
      </c>
      <c r="AU33" s="43">
        <f>(11.48*0.4279)/AU32</f>
        <v>2.7789012022445757E-5</v>
      </c>
      <c r="BB33" s="1">
        <f>(0.00106*11.48)/BB32</f>
        <v>1.1158917927556167E-5</v>
      </c>
      <c r="BD33" s="1">
        <f>(0.00101*11.48)/BD32</f>
        <v>1.0813220427500283E-5</v>
      </c>
      <c r="BF33" s="1">
        <f>(11.48*0.02417)/BF32</f>
        <v>1.0322757779133619E-5</v>
      </c>
      <c r="BG33" s="1">
        <f>(0.06592*11.48)/BG32</f>
        <v>1.037757759031611E-5</v>
      </c>
      <c r="BH33" s="1">
        <f>(11.48*0.07854)/BH32</f>
        <v>1.0471866213091354E-5</v>
      </c>
      <c r="BI33" s="1">
        <f>(11.48*0.11232)/BI32</f>
        <v>1.00972470957663E-5</v>
      </c>
      <c r="BJ33" s="1">
        <f>(11.48*(0.71698+0.0009))/BJ32</f>
        <v>1.0241204308391281E-5</v>
      </c>
      <c r="BK33" s="1">
        <f>(11.48*0.9991)/BK32</f>
        <v>1.0939621252291547E-5</v>
      </c>
      <c r="BT33" s="43"/>
      <c r="BV33" s="44"/>
      <c r="BW33" s="1">
        <f>(11.48*0.4781)/BW32</f>
        <v>9.1121439314808324E-6</v>
      </c>
      <c r="BY33" s="1">
        <f>(11.48*0.5219)/BY32</f>
        <v>8.8981000721630706E-6</v>
      </c>
      <c r="CJ33" s="1">
        <f>(11.48*(CJ3/100))/CJ32</f>
        <v>1.31541666666615E-5</v>
      </c>
      <c r="CK33" s="1">
        <f>(0.0072*11.48)/CK32</f>
        <v>1.1176072906244085E-5</v>
      </c>
      <c r="CN33" s="1">
        <f>(11.48*0.992745)/CN32</f>
        <v>1.1103607129449637E-5</v>
      </c>
    </row>
    <row r="34" spans="1:97" x14ac:dyDescent="0.25">
      <c r="A34" t="s">
        <v>120</v>
      </c>
    </row>
    <row r="35" spans="1:97" x14ac:dyDescent="0.25">
      <c r="B35" t="s">
        <v>121</v>
      </c>
      <c r="C35" s="37">
        <v>19.2</v>
      </c>
      <c r="D35" s="37">
        <v>63.2</v>
      </c>
      <c r="E35" s="37">
        <v>6.4</v>
      </c>
      <c r="F35" s="37">
        <v>156</v>
      </c>
      <c r="G35" s="37">
        <v>14.4</v>
      </c>
      <c r="H35" s="37">
        <v>24</v>
      </c>
      <c r="I35" s="37">
        <v>11.2</v>
      </c>
      <c r="J35" s="37">
        <v>169.6</v>
      </c>
      <c r="K35" s="37">
        <v>3.2</v>
      </c>
      <c r="L35" s="37">
        <v>12.8</v>
      </c>
      <c r="M35" s="37">
        <v>7.2</v>
      </c>
      <c r="N35" s="37">
        <v>4.8</v>
      </c>
      <c r="O35" s="37">
        <v>6.4</v>
      </c>
      <c r="P35" s="80">
        <v>4.8</v>
      </c>
      <c r="Q35" s="37">
        <v>4</v>
      </c>
      <c r="R35" s="37">
        <v>1.6</v>
      </c>
      <c r="S35" s="37">
        <v>2.4</v>
      </c>
      <c r="T35" s="37">
        <v>12.8</v>
      </c>
      <c r="U35" s="37">
        <v>1.6</v>
      </c>
      <c r="V35" s="37">
        <v>4</v>
      </c>
      <c r="W35" s="37">
        <v>1.6</v>
      </c>
      <c r="X35" s="37">
        <v>2.4</v>
      </c>
      <c r="Y35" s="37">
        <v>1.6</v>
      </c>
      <c r="Z35" s="37">
        <v>0.8</v>
      </c>
      <c r="AA35" s="37">
        <v>2.4</v>
      </c>
      <c r="AB35" s="37">
        <v>4.8</v>
      </c>
      <c r="AC35" s="37">
        <v>0</v>
      </c>
      <c r="AD35" s="37">
        <v>0</v>
      </c>
      <c r="AE35" s="37">
        <v>12.8</v>
      </c>
      <c r="AF35" s="37">
        <v>0</v>
      </c>
      <c r="AG35" s="37">
        <v>12</v>
      </c>
      <c r="AH35" s="37">
        <v>3.2</v>
      </c>
      <c r="AI35" s="37">
        <v>0.8</v>
      </c>
      <c r="AJ35" s="37">
        <v>2.4</v>
      </c>
      <c r="AK35" s="37">
        <v>0</v>
      </c>
      <c r="AL35" s="37">
        <v>1.6</v>
      </c>
      <c r="AM35" s="37">
        <v>7.2</v>
      </c>
      <c r="AN35" s="37">
        <v>43.2</v>
      </c>
      <c r="AO35" s="37">
        <v>21.6</v>
      </c>
      <c r="AP35" s="37">
        <v>79.2</v>
      </c>
      <c r="AQ35" s="37">
        <v>32.799999999999997</v>
      </c>
      <c r="AR35" s="37">
        <v>101.6</v>
      </c>
      <c r="AS35" s="80">
        <v>1.6</v>
      </c>
      <c r="AT35" s="37">
        <v>23.2</v>
      </c>
      <c r="AU35" s="80">
        <v>6.4</v>
      </c>
      <c r="AV35" s="37">
        <v>40</v>
      </c>
      <c r="AW35" s="37">
        <v>16.8</v>
      </c>
      <c r="AX35" s="37">
        <v>69.599999999999994</v>
      </c>
      <c r="AY35" s="37">
        <v>38101.199999999997</v>
      </c>
      <c r="AZ35" s="37">
        <v>244.8</v>
      </c>
      <c r="BA35" s="37">
        <v>2137</v>
      </c>
      <c r="BB35" s="37">
        <v>420.8</v>
      </c>
      <c r="BC35" s="37">
        <v>1756.1</v>
      </c>
      <c r="BD35" s="37">
        <v>2281</v>
      </c>
      <c r="BE35" s="37">
        <v>8.8000000000000007</v>
      </c>
      <c r="BF35" s="37">
        <v>904</v>
      </c>
      <c r="BG35" s="37">
        <v>6.4</v>
      </c>
      <c r="BH35" s="37">
        <v>816</v>
      </c>
      <c r="BI35" s="37">
        <v>3.2</v>
      </c>
      <c r="BJ35" s="37">
        <v>32.799999999999997</v>
      </c>
      <c r="BK35" s="37">
        <v>3.2</v>
      </c>
      <c r="BL35" s="37">
        <v>1.6</v>
      </c>
      <c r="BM35" s="37">
        <v>0.8</v>
      </c>
      <c r="BN35" s="37">
        <v>0</v>
      </c>
      <c r="BO35" s="37">
        <v>0</v>
      </c>
      <c r="BP35" s="37">
        <v>0.8</v>
      </c>
      <c r="BQ35" s="37">
        <v>0</v>
      </c>
      <c r="BR35" s="37">
        <v>0.8</v>
      </c>
      <c r="BS35" s="37">
        <v>0</v>
      </c>
      <c r="BT35" s="37">
        <v>1.6</v>
      </c>
      <c r="BU35" s="37">
        <v>0</v>
      </c>
      <c r="BV35" s="37">
        <v>0</v>
      </c>
      <c r="BW35" s="37">
        <v>0</v>
      </c>
      <c r="BX35" s="37">
        <v>1.6</v>
      </c>
      <c r="BY35" s="37">
        <v>0</v>
      </c>
      <c r="BZ35" s="37">
        <v>0.8</v>
      </c>
      <c r="CA35" s="37">
        <v>0</v>
      </c>
      <c r="CB35" s="37">
        <v>0</v>
      </c>
      <c r="CC35" s="37">
        <v>0.8</v>
      </c>
      <c r="CD35" s="37">
        <v>0</v>
      </c>
      <c r="CE35" s="37">
        <v>0.8</v>
      </c>
      <c r="CF35" s="37">
        <v>0</v>
      </c>
      <c r="CG35" s="37">
        <v>0</v>
      </c>
      <c r="CH35" s="37">
        <v>32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1.6</v>
      </c>
      <c r="CO35" s="37">
        <v>0</v>
      </c>
      <c r="CP35" s="37">
        <v>0</v>
      </c>
      <c r="CQ35" s="37">
        <v>0</v>
      </c>
      <c r="CR35" s="37">
        <v>0.8</v>
      </c>
      <c r="CS35" s="37">
        <v>0</v>
      </c>
    </row>
    <row r="36" spans="1:97" x14ac:dyDescent="0.25"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80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80"/>
      <c r="AT36" s="37"/>
      <c r="AU36" s="80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8" spans="1:97" s="8" customFormat="1" x14ac:dyDescent="0.25">
      <c r="P38" s="17"/>
      <c r="AS38" s="17"/>
      <c r="AU38" s="17"/>
    </row>
    <row r="39" spans="1:97" s="8" customFormat="1" x14ac:dyDescent="0.25">
      <c r="P39" s="17"/>
      <c r="AS39" s="17"/>
      <c r="AU39" s="17"/>
    </row>
    <row r="40" spans="1:97" s="8" customFormat="1" x14ac:dyDescent="0.25">
      <c r="P40" s="17"/>
      <c r="AS40" s="17"/>
      <c r="AU40" s="17"/>
    </row>
    <row r="41" spans="1:97" s="8" customFormat="1" x14ac:dyDescent="0.25">
      <c r="P41" s="17"/>
      <c r="AS41" s="17"/>
      <c r="AU41" s="17"/>
    </row>
    <row r="42" spans="1:97" s="17" customFormat="1" x14ac:dyDescent="0.25"/>
    <row r="43" spans="1:97" s="17" customFormat="1" x14ac:dyDescent="0.25"/>
    <row r="44" spans="1:97" s="17" customFormat="1" x14ac:dyDescent="0.25"/>
    <row r="45" spans="1:97" s="17" customFormat="1" x14ac:dyDescent="0.25">
      <c r="T45" s="30"/>
      <c r="U45" s="30"/>
    </row>
    <row r="46" spans="1:97" s="17" customFormat="1" x14ac:dyDescent="0.25">
      <c r="T46" s="30"/>
      <c r="U46" s="30"/>
    </row>
    <row r="47" spans="1:97" s="8" customFormat="1" x14ac:dyDescent="0.25">
      <c r="P47" s="17"/>
      <c r="AS47" s="17"/>
      <c r="AU47" s="17"/>
    </row>
    <row r="48" spans="1:97" s="8" customFormat="1" x14ac:dyDescent="0.25">
      <c r="P48" s="17"/>
      <c r="AS48" s="17"/>
      <c r="AU48" s="17"/>
    </row>
    <row r="49" spans="2:47" s="8" customFormat="1" x14ac:dyDescent="0.25">
      <c r="P49" s="17"/>
      <c r="AS49" s="17"/>
      <c r="AU49" s="17"/>
    </row>
    <row r="50" spans="2:47" s="8" customFormat="1" x14ac:dyDescent="0.25">
      <c r="P50" s="17"/>
      <c r="AS50" s="17"/>
      <c r="AU50" s="17"/>
    </row>
    <row r="51" spans="2:47" s="8" customFormat="1" x14ac:dyDescent="0.25">
      <c r="P51" s="17"/>
      <c r="AS51" s="17"/>
      <c r="AU51" s="17"/>
    </row>
    <row r="52" spans="2:47" s="8" customFormat="1" x14ac:dyDescent="0.25">
      <c r="P52" s="17"/>
      <c r="AS52" s="17"/>
      <c r="AU52" s="17"/>
    </row>
    <row r="53" spans="2:47" s="8" customFormat="1" x14ac:dyDescent="0.25">
      <c r="P53" s="17"/>
      <c r="AS53" s="17"/>
      <c r="AU53" s="17"/>
    </row>
    <row r="54" spans="2:47" s="8" customFormat="1" x14ac:dyDescent="0.25">
      <c r="P54" s="17"/>
      <c r="AS54" s="17"/>
      <c r="AU54" s="17"/>
    </row>
    <row r="63" spans="2:47" x14ac:dyDescent="0.25">
      <c r="B63" s="40"/>
    </row>
  </sheetData>
  <pageMargins left="0.7" right="0.7" top="0.75" bottom="0.75" header="0.3" footer="0.3"/>
  <pageSetup scale="11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2"/>
  <sheetViews>
    <sheetView topLeftCell="A274" zoomScale="68" zoomScaleNormal="68" workbookViewId="0">
      <pane xSplit="1" topLeftCell="B1" activePane="topRight" state="frozen"/>
      <selection activeCell="A85" sqref="A85"/>
      <selection pane="topRight" activeCell="O298" sqref="O298"/>
    </sheetView>
  </sheetViews>
  <sheetFormatPr defaultRowHeight="15" x14ac:dyDescent="0.25"/>
  <cols>
    <col min="1" max="1" width="5.7109375" customWidth="1"/>
    <col min="2" max="2" width="24.85546875" customWidth="1"/>
    <col min="3" max="3" width="10.85546875" customWidth="1"/>
    <col min="4" max="4" width="22.85546875" customWidth="1"/>
    <col min="5" max="5" width="12" customWidth="1"/>
    <col min="6" max="6" width="15" customWidth="1"/>
    <col min="7" max="7" width="11.140625" customWidth="1"/>
    <col min="8" max="8" width="15.28515625" customWidth="1"/>
    <col min="9" max="9" width="14" bestFit="1" customWidth="1"/>
    <col min="10" max="10" width="16.28515625" customWidth="1"/>
    <col min="11" max="11" width="13" customWidth="1"/>
    <col min="12" max="12" width="12" bestFit="1" customWidth="1"/>
    <col min="14" max="14" width="18.42578125" customWidth="1"/>
    <col min="16" max="16" width="9.140625" customWidth="1"/>
    <col min="17" max="17" width="10" customWidth="1"/>
    <col min="18" max="18" width="15.28515625" bestFit="1" customWidth="1"/>
    <col min="19" max="19" width="12.140625" customWidth="1"/>
    <col min="23" max="23" width="12.28515625" customWidth="1"/>
    <col min="24" max="24" width="10.28515625" bestFit="1" customWidth="1"/>
    <col min="25" max="25" width="12.28515625" customWidth="1"/>
    <col min="26" max="26" width="15.28515625" bestFit="1" customWidth="1"/>
  </cols>
  <sheetData>
    <row r="1" spans="1:25" ht="45.75" thickBot="1" x14ac:dyDescent="0.3">
      <c r="A1" t="s">
        <v>0</v>
      </c>
      <c r="B1" s="39" t="s">
        <v>137</v>
      </c>
      <c r="C1" s="77" t="s">
        <v>338</v>
      </c>
      <c r="D1" s="39" t="s">
        <v>138</v>
      </c>
      <c r="E1" s="77" t="s">
        <v>338</v>
      </c>
      <c r="F1" s="39" t="s">
        <v>139</v>
      </c>
      <c r="G1" s="77" t="s">
        <v>338</v>
      </c>
      <c r="H1" s="39" t="s">
        <v>140</v>
      </c>
      <c r="I1" s="77" t="s">
        <v>338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</row>
    <row r="2" spans="1:25" x14ac:dyDescent="0.25">
      <c r="A2">
        <v>86</v>
      </c>
      <c r="B2">
        <v>2.353581101620872E-5</v>
      </c>
      <c r="C2" s="55">
        <v>1.9016999999999999E-7</v>
      </c>
      <c r="D2">
        <v>1.9428764845842166E-5</v>
      </c>
      <c r="E2" s="55">
        <v>1.5253E-7</v>
      </c>
      <c r="F2">
        <v>2.2128952513694301E-5</v>
      </c>
      <c r="G2" s="55">
        <v>2.0577E-7</v>
      </c>
      <c r="H2">
        <v>1.9386449701220263E-5</v>
      </c>
      <c r="I2" s="55">
        <v>1.7679999999999999E-7</v>
      </c>
      <c r="N2" s="57" t="s">
        <v>145</v>
      </c>
      <c r="R2" t="s">
        <v>6</v>
      </c>
      <c r="S2">
        <v>0.17299999999999999</v>
      </c>
      <c r="T2" s="1" t="s">
        <v>18</v>
      </c>
      <c r="U2" s="1">
        <v>9.8599999999999993E-2</v>
      </c>
      <c r="V2">
        <v>48093.86</v>
      </c>
      <c r="W2">
        <v>58260.42</v>
      </c>
      <c r="X2">
        <v>37968.42</v>
      </c>
      <c r="Y2">
        <v>43339.62</v>
      </c>
    </row>
    <row r="3" spans="1:25" ht="15.75" thickBot="1" x14ac:dyDescent="0.3">
      <c r="A3">
        <v>87</v>
      </c>
      <c r="B3" s="52">
        <v>2.4599959836800267E-5</v>
      </c>
      <c r="C3" s="55">
        <v>2.1243999999999999E-7</v>
      </c>
      <c r="D3">
        <v>1.9746092185452076E-5</v>
      </c>
      <c r="E3" s="55">
        <v>1.6348000000000001E-7</v>
      </c>
      <c r="F3" s="55">
        <v>2.2200000000000001E-5</v>
      </c>
      <c r="G3" s="55">
        <v>7.5499000000000001E-7</v>
      </c>
      <c r="H3">
        <v>1.9746092185452076E-5</v>
      </c>
      <c r="I3" s="55">
        <v>5.2536000000000004E-7</v>
      </c>
      <c r="N3" s="58" t="s">
        <v>18</v>
      </c>
      <c r="R3" s="1" t="s">
        <v>5</v>
      </c>
      <c r="S3" s="1">
        <v>0.27829999999999999</v>
      </c>
      <c r="T3" s="1" t="s">
        <v>18</v>
      </c>
      <c r="U3" s="1">
        <v>7.0000000000000007E-2</v>
      </c>
      <c r="V3">
        <v>32666.720000000001</v>
      </c>
      <c r="W3">
        <v>40696.660000000003</v>
      </c>
      <c r="X3">
        <v>52704.639999999999</v>
      </c>
      <c r="Y3">
        <v>60579.48</v>
      </c>
    </row>
    <row r="4" spans="1:25" x14ac:dyDescent="0.25">
      <c r="A4">
        <v>88</v>
      </c>
      <c r="B4">
        <v>2.5018747862363668E-5</v>
      </c>
      <c r="C4" s="55">
        <v>1.7079999999999999E-7</v>
      </c>
      <c r="D4">
        <v>1.9823566157714151E-5</v>
      </c>
      <c r="E4" s="55">
        <v>1.3454000000000001E-7</v>
      </c>
      <c r="F4">
        <v>2.1955098917916703E-5</v>
      </c>
      <c r="G4" s="55">
        <v>1.7364000000000001E-7</v>
      </c>
      <c r="H4">
        <v>1.9682182471682226E-5</v>
      </c>
      <c r="I4" s="55">
        <v>1.5526E-7</v>
      </c>
      <c r="R4" s="1" t="s">
        <v>18</v>
      </c>
      <c r="S4" s="1">
        <v>0.82579999999999998</v>
      </c>
      <c r="V4">
        <v>378923.2</v>
      </c>
      <c r="W4">
        <v>478228</v>
      </c>
      <c r="X4">
        <v>320513.2</v>
      </c>
      <c r="Y4">
        <v>357526.4</v>
      </c>
    </row>
    <row r="5" spans="1:25" ht="15.75" thickBot="1" x14ac:dyDescent="0.3">
      <c r="C5" t="s">
        <v>339</v>
      </c>
      <c r="E5" t="s">
        <v>339</v>
      </c>
      <c r="G5" t="s">
        <v>339</v>
      </c>
      <c r="Q5" s="64"/>
      <c r="R5" s="64"/>
      <c r="S5" s="64"/>
      <c r="T5" s="64"/>
      <c r="U5" s="64"/>
      <c r="V5" s="64"/>
      <c r="W5" s="64"/>
      <c r="X5" s="64"/>
      <c r="Y5" s="64"/>
    </row>
    <row r="6" spans="1:25" x14ac:dyDescent="0.25">
      <c r="A6" t="s">
        <v>141</v>
      </c>
      <c r="B6" s="55">
        <v>7.4145000000000001E-7</v>
      </c>
      <c r="C6" s="92">
        <f>C2/B2</f>
        <v>8.0800274895576393E-3</v>
      </c>
      <c r="D6" s="56">
        <v>1.9740000000000001E-7</v>
      </c>
      <c r="E6" s="96">
        <f>E2/D2</f>
        <v>7.850730667144909E-3</v>
      </c>
      <c r="F6" s="55">
        <v>-8.6949999999999994E-8</v>
      </c>
      <c r="G6" s="92">
        <f>G2/F2</f>
        <v>9.298677823663868E-3</v>
      </c>
      <c r="H6" s="55">
        <v>1.4789999999999999E-7</v>
      </c>
      <c r="Q6" t="s">
        <v>331</v>
      </c>
      <c r="R6" t="s">
        <v>332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t="s">
        <v>142</v>
      </c>
      <c r="B7" s="55">
        <v>-4.0120999999999998E-5</v>
      </c>
      <c r="C7" s="92">
        <f t="shared" ref="C7:C8" si="0">C3/B3</f>
        <v>8.6357864569437531E-3</v>
      </c>
      <c r="D7" s="55">
        <v>2.4924000000000001E-6</v>
      </c>
      <c r="E7" s="96">
        <f t="shared" ref="E7:E8" si="1">E3/D3</f>
        <v>8.279106491786958E-3</v>
      </c>
      <c r="F7" s="55">
        <v>2.9658999999999998E-5</v>
      </c>
      <c r="G7" s="92">
        <f t="shared" ref="G7:G8" si="2">G3/F3</f>
        <v>3.4008558558558555E-2</v>
      </c>
      <c r="H7" s="55">
        <v>6.7375999999999997E-6</v>
      </c>
      <c r="Q7" t="s">
        <v>6</v>
      </c>
      <c r="V7">
        <v>11.48</v>
      </c>
      <c r="W7">
        <v>11.48</v>
      </c>
      <c r="X7">
        <v>8.521312</v>
      </c>
      <c r="Y7">
        <v>8.521312</v>
      </c>
    </row>
    <row r="8" spans="1:25" x14ac:dyDescent="0.25">
      <c r="B8" t="s">
        <v>151</v>
      </c>
      <c r="C8" s="92">
        <f t="shared" si="0"/>
        <v>6.8268804234179418E-3</v>
      </c>
      <c r="E8" s="96">
        <f t="shared" si="1"/>
        <v>6.7868716924903575E-3</v>
      </c>
      <c r="G8" s="92">
        <f t="shared" si="2"/>
        <v>7.9088689442569152E-3</v>
      </c>
      <c r="Q8" t="s">
        <v>18</v>
      </c>
      <c r="X8" t="s">
        <v>5</v>
      </c>
      <c r="Y8" t="s">
        <v>5</v>
      </c>
    </row>
    <row r="9" spans="1:25" x14ac:dyDescent="0.25">
      <c r="A9">
        <v>90</v>
      </c>
      <c r="B9" s="55">
        <f>B6*A9+B7</f>
        <v>2.6609500000000003E-5</v>
      </c>
      <c r="C9" s="55"/>
      <c r="D9" s="55">
        <f>$A9*D6+D7</f>
        <v>2.0258399999999999E-5</v>
      </c>
      <c r="E9" s="55"/>
      <c r="F9" s="55">
        <f>$A9*F6+F7</f>
        <v>2.18335E-5</v>
      </c>
      <c r="G9" s="55"/>
      <c r="H9" s="55">
        <f>$A9*H6+H7</f>
        <v>2.00486E-5</v>
      </c>
      <c r="Q9" t="s">
        <v>5</v>
      </c>
      <c r="X9">
        <v>2.1306029999999998</v>
      </c>
      <c r="Y9">
        <v>2.1306029999999998</v>
      </c>
    </row>
    <row r="12" spans="1:25" x14ac:dyDescent="0.25">
      <c r="H12" s="55"/>
    </row>
    <row r="13" spans="1:25" x14ac:dyDescent="0.25">
      <c r="B13" s="92"/>
      <c r="C13" s="92"/>
      <c r="D13" s="37"/>
      <c r="E13" s="92"/>
      <c r="F13" s="92"/>
      <c r="G13" s="92"/>
      <c r="H13" s="92"/>
      <c r="I13" s="92"/>
    </row>
    <row r="14" spans="1:25" x14ac:dyDescent="0.25">
      <c r="B14" s="55"/>
    </row>
    <row r="16" spans="1:25" x14ac:dyDescent="0.25">
      <c r="B16" s="92"/>
    </row>
    <row r="17" spans="1:30" ht="15.75" thickBot="1" x14ac:dyDescent="0.3"/>
    <row r="18" spans="1:30" ht="15.75" thickBot="1" x14ac:dyDescent="0.3">
      <c r="A18" s="48"/>
      <c r="B18" s="93" t="s">
        <v>335</v>
      </c>
      <c r="C18" s="94">
        <f>((MAX(B2:B4,D2:D4,F2:F4,H2:H4)-MIN(B2:B4,D2:D4,F2:F4,H2:H4))/AVERAGE(MAX(B2:B4,D2:D4,F2:F4,H2:H4),MIN(B2:B4,D2:D4,F2:F4,H2:H4)))</f>
        <v>0.25367742832710072</v>
      </c>
      <c r="D18" s="72" t="s">
        <v>337</v>
      </c>
      <c r="E18" s="95">
        <f>C18/G18</f>
        <v>0.12683871416355036</v>
      </c>
      <c r="F18" s="72" t="s">
        <v>336</v>
      </c>
      <c r="G18" s="73">
        <f>(MAX(A2:A4)-MIN(A2:A4))</f>
        <v>2</v>
      </c>
      <c r="H18" s="48"/>
      <c r="I18" s="48"/>
      <c r="J18" s="48"/>
      <c r="K18" s="48"/>
      <c r="L18" s="48"/>
      <c r="M18" s="48"/>
      <c r="N18" s="48"/>
      <c r="O18" s="48"/>
      <c r="P18" s="48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.75" thickBot="1" x14ac:dyDescent="0.3">
      <c r="A19" t="s">
        <v>0</v>
      </c>
      <c r="B19" s="39" t="s">
        <v>143</v>
      </c>
      <c r="C19" s="77" t="s">
        <v>338</v>
      </c>
      <c r="D19" s="39" t="s">
        <v>144</v>
      </c>
      <c r="E19" s="77" t="s">
        <v>338</v>
      </c>
      <c r="R19" t="s">
        <v>320</v>
      </c>
      <c r="S19" t="s">
        <v>321</v>
      </c>
      <c r="T19" t="s">
        <v>322</v>
      </c>
      <c r="U19" t="s">
        <v>323</v>
      </c>
      <c r="V19" t="s">
        <v>324</v>
      </c>
      <c r="W19" t="s">
        <v>325</v>
      </c>
    </row>
    <row r="20" spans="1:30" x14ac:dyDescent="0.25">
      <c r="A20">
        <v>85</v>
      </c>
      <c r="B20" s="75">
        <v>2.1881902738097876E-5</v>
      </c>
      <c r="C20" s="55">
        <v>5.3148999999999995E-7</v>
      </c>
      <c r="D20" s="75">
        <v>1.9445639751576358E-5</v>
      </c>
      <c r="E20" s="55">
        <v>4.7168E-7</v>
      </c>
      <c r="N20" s="57" t="s">
        <v>146</v>
      </c>
      <c r="R20" t="s">
        <v>5</v>
      </c>
      <c r="S20">
        <v>0.72170000000000001</v>
      </c>
      <c r="V20">
        <v>70270.679999999993</v>
      </c>
      <c r="W20">
        <v>79074.600000000006</v>
      </c>
    </row>
    <row r="21" spans="1:30" ht="15.75" thickBot="1" x14ac:dyDescent="0.3">
      <c r="A21">
        <v>87</v>
      </c>
      <c r="B21" s="75">
        <v>2.0836614952021453E-5</v>
      </c>
      <c r="C21" s="55">
        <v>5.4491999999999999E-7</v>
      </c>
      <c r="D21" s="75">
        <v>1.9523206668204905E-5</v>
      </c>
      <c r="E21" s="55">
        <v>5.1661000000000002E-7</v>
      </c>
      <c r="F21" t="s">
        <v>147</v>
      </c>
      <c r="N21" s="58" t="s">
        <v>5</v>
      </c>
      <c r="R21" t="s">
        <v>5</v>
      </c>
      <c r="S21">
        <v>0.27829999999999999</v>
      </c>
      <c r="T21" t="s">
        <v>18</v>
      </c>
      <c r="U21">
        <v>7.0000000000000007E-2</v>
      </c>
      <c r="V21">
        <v>52704.639999999999</v>
      </c>
      <c r="W21">
        <v>60579.48</v>
      </c>
    </row>
    <row r="22" spans="1:30" ht="15.75" thickBot="1" x14ac:dyDescent="0.3">
      <c r="A22" s="49">
        <v>87</v>
      </c>
      <c r="B22" s="76">
        <v>2.2979833965644001E-5</v>
      </c>
      <c r="C22" s="78">
        <v>6.1538000000000005E-7</v>
      </c>
      <c r="D22" s="76">
        <v>1.7606480265833999E-5</v>
      </c>
      <c r="E22" s="78">
        <v>4.5419999999999998E-7</v>
      </c>
      <c r="F22" s="49" t="s">
        <v>149</v>
      </c>
      <c r="G22" s="49"/>
      <c r="H22" s="49"/>
      <c r="K22" s="55">
        <v>2.2172999999999999E-5</v>
      </c>
      <c r="Q22" s="64"/>
      <c r="R22" s="64"/>
      <c r="S22" s="64"/>
      <c r="T22" s="64"/>
      <c r="U22" s="64"/>
      <c r="V22" s="64"/>
      <c r="W22" s="64"/>
    </row>
    <row r="23" spans="1:30" x14ac:dyDescent="0.25">
      <c r="A23">
        <v>87</v>
      </c>
      <c r="B23">
        <v>2.3274000000000001E-5</v>
      </c>
      <c r="C23" s="55">
        <v>6.2687E-7</v>
      </c>
      <c r="D23">
        <v>1.7779999999999999E-5</v>
      </c>
      <c r="E23" s="55">
        <v>4.6027999999999999E-7</v>
      </c>
      <c r="F23" t="s">
        <v>148</v>
      </c>
      <c r="K23">
        <v>2.1909999999999999E-5</v>
      </c>
      <c r="Q23" t="s">
        <v>331</v>
      </c>
      <c r="R23" t="s">
        <v>332</v>
      </c>
      <c r="V23" t="s">
        <v>18</v>
      </c>
      <c r="W23" t="s">
        <v>18</v>
      </c>
    </row>
    <row r="24" spans="1:30" x14ac:dyDescent="0.25">
      <c r="A24" s="49"/>
      <c r="B24" s="76"/>
      <c r="C24" s="76"/>
      <c r="D24" s="76"/>
      <c r="E24" s="76"/>
      <c r="F24" s="49"/>
      <c r="G24" s="49"/>
      <c r="H24" s="49"/>
      <c r="I24" s="49"/>
      <c r="J24" s="49"/>
      <c r="K24" s="78"/>
      <c r="L24" s="49"/>
      <c r="M24" s="49"/>
      <c r="N24" s="49"/>
      <c r="O24" s="49"/>
      <c r="P24" s="49"/>
      <c r="Q24" s="49" t="s">
        <v>5</v>
      </c>
      <c r="V24">
        <v>8.521312</v>
      </c>
      <c r="W24">
        <v>8.521312</v>
      </c>
    </row>
    <row r="25" spans="1:30" ht="15.75" thickBot="1" x14ac:dyDescent="0.3">
      <c r="A25" s="49"/>
      <c r="B25" s="76"/>
      <c r="C25" s="76"/>
      <c r="D25" s="76"/>
      <c r="E25" s="76"/>
      <c r="F25" s="49"/>
      <c r="G25" s="49"/>
      <c r="H25" s="49"/>
      <c r="I25" s="49"/>
      <c r="J25" s="49"/>
      <c r="K25" s="78"/>
      <c r="L25" s="49"/>
      <c r="M25" s="49"/>
      <c r="N25" s="49"/>
      <c r="O25" s="49"/>
      <c r="P25" s="49"/>
      <c r="Q25" s="49" t="s">
        <v>18</v>
      </c>
      <c r="V25" t="s">
        <v>5</v>
      </c>
      <c r="W25" t="s">
        <v>5</v>
      </c>
    </row>
    <row r="26" spans="1:30" ht="15.75" thickBot="1" x14ac:dyDescent="0.3">
      <c r="A26" s="64"/>
      <c r="B26" s="93" t="s">
        <v>335</v>
      </c>
      <c r="C26" s="94">
        <f>((MAX(B20:B23,D20:D23)-MIN(B20:B23,D20:D23))/AVERAGE(MAX(B20:B23,D20:D23),MIN(B20:B23,D20:D23)))</f>
        <v>0.27727265909361887</v>
      </c>
      <c r="D26" s="72" t="s">
        <v>337</v>
      </c>
      <c r="E26" s="95">
        <f>C26/G26</f>
        <v>0.13863632954680943</v>
      </c>
      <c r="F26" s="72" t="s">
        <v>336</v>
      </c>
      <c r="G26" s="73">
        <f>87-85</f>
        <v>2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>
        <v>2.1306029999999998</v>
      </c>
      <c r="W26" s="64">
        <v>2.1306029999999998</v>
      </c>
      <c r="X26" s="64"/>
      <c r="Y26" s="64"/>
      <c r="Z26" s="64"/>
      <c r="AA26" s="64"/>
      <c r="AB26" s="64"/>
      <c r="AC26" s="64"/>
      <c r="AD26" s="64"/>
    </row>
    <row r="27" spans="1:30" ht="45.75" thickBot="1" x14ac:dyDescent="0.3">
      <c r="A27" t="s">
        <v>0</v>
      </c>
      <c r="B27" s="39" t="s">
        <v>131</v>
      </c>
      <c r="C27" s="77" t="s">
        <v>338</v>
      </c>
      <c r="D27" s="39" t="s">
        <v>132</v>
      </c>
      <c r="E27" s="77" t="s">
        <v>338</v>
      </c>
      <c r="F27" s="39" t="s">
        <v>133</v>
      </c>
      <c r="G27" s="77" t="s">
        <v>338</v>
      </c>
      <c r="H27" s="39" t="s">
        <v>134</v>
      </c>
      <c r="I27" s="77" t="s">
        <v>338</v>
      </c>
      <c r="R27" t="s">
        <v>320</v>
      </c>
      <c r="S27" t="s">
        <v>321</v>
      </c>
      <c r="T27" t="s">
        <v>322</v>
      </c>
      <c r="U27" t="s">
        <v>323</v>
      </c>
      <c r="V27" t="s">
        <v>324</v>
      </c>
      <c r="W27" t="s">
        <v>325</v>
      </c>
    </row>
    <row r="28" spans="1:30" x14ac:dyDescent="0.25">
      <c r="A28">
        <v>89</v>
      </c>
      <c r="B28">
        <v>2.8904596903129144E-5</v>
      </c>
      <c r="C28" s="55">
        <v>2.0825999999999999E-7</v>
      </c>
      <c r="D28">
        <v>2.5879914555138242E-5</v>
      </c>
      <c r="E28" s="55">
        <v>1.824E-8</v>
      </c>
      <c r="F28">
        <v>2.3470840804398328E-5</v>
      </c>
      <c r="G28" s="55">
        <v>1.1193E-6</v>
      </c>
      <c r="H28">
        <v>2.1260905441623729E-5</v>
      </c>
      <c r="I28" s="55">
        <v>1.0134999999999999E-6</v>
      </c>
      <c r="N28" s="59" t="s">
        <v>150</v>
      </c>
      <c r="R28" t="s">
        <v>7</v>
      </c>
      <c r="S28">
        <v>100</v>
      </c>
      <c r="V28">
        <v>352539.1</v>
      </c>
      <c r="W28">
        <v>393741.6</v>
      </c>
      <c r="X28">
        <v>45140.82</v>
      </c>
      <c r="Y28">
        <v>49832.92</v>
      </c>
    </row>
    <row r="29" spans="1:30" ht="15.75" thickBot="1" x14ac:dyDescent="0.3">
      <c r="N29" s="58" t="s">
        <v>7</v>
      </c>
      <c r="Q29" s="64"/>
      <c r="R29" s="64"/>
      <c r="S29" s="64"/>
      <c r="T29" s="64"/>
      <c r="U29" s="64"/>
      <c r="V29" s="64"/>
      <c r="W29" s="64"/>
      <c r="X29" s="64"/>
      <c r="Y29" s="64"/>
    </row>
    <row r="30" spans="1:30" x14ac:dyDescent="0.25">
      <c r="Q30" t="s">
        <v>331</v>
      </c>
      <c r="R30" t="s">
        <v>332</v>
      </c>
      <c r="V30" t="s">
        <v>7</v>
      </c>
      <c r="W30" t="s">
        <v>7</v>
      </c>
      <c r="X30" t="s">
        <v>7</v>
      </c>
      <c r="Y30" t="s">
        <v>7</v>
      </c>
    </row>
    <row r="31" spans="1:30" x14ac:dyDescent="0.25">
      <c r="V31">
        <v>10.19</v>
      </c>
      <c r="W31">
        <v>10.19</v>
      </c>
      <c r="X31">
        <v>1.059493</v>
      </c>
      <c r="Y31">
        <v>1.059493</v>
      </c>
    </row>
    <row r="35" spans="1:30" ht="15.75" thickBot="1" x14ac:dyDescent="0.3"/>
    <row r="36" spans="1:30" ht="15.75" thickBot="1" x14ac:dyDescent="0.3">
      <c r="A36" s="48"/>
      <c r="B36" s="93" t="s">
        <v>335</v>
      </c>
      <c r="C36" s="94">
        <f>((MAX(B28,D28,F28,H28)-MIN(B28,D28,F28,H28))/AVERAGE(MAX(B28,D28,F28,H28),MIN(B28,D28,F28,H28)))</f>
        <v>0.30473895821776481</v>
      </c>
      <c r="D36" s="72" t="s">
        <v>337</v>
      </c>
      <c r="E36" s="95">
        <f>C36/G36</f>
        <v>0.30473895821776481</v>
      </c>
      <c r="F36" s="72" t="s">
        <v>336</v>
      </c>
      <c r="G36" s="73">
        <v>1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30.75" thickBot="1" x14ac:dyDescent="0.3">
      <c r="A37" t="s">
        <v>0</v>
      </c>
      <c r="B37" s="39" t="s">
        <v>152</v>
      </c>
      <c r="C37" s="77" t="s">
        <v>338</v>
      </c>
      <c r="R37" t="s">
        <v>320</v>
      </c>
      <c r="S37" t="s">
        <v>321</v>
      </c>
      <c r="T37" t="s">
        <v>322</v>
      </c>
      <c r="U37" t="s">
        <v>323</v>
      </c>
      <c r="V37" t="s">
        <v>324</v>
      </c>
      <c r="W37" t="s">
        <v>325</v>
      </c>
    </row>
    <row r="38" spans="1:30" x14ac:dyDescent="0.25">
      <c r="A38">
        <v>90</v>
      </c>
      <c r="B38">
        <v>2.6991458934477839E-5</v>
      </c>
      <c r="C38" s="55">
        <v>2.0484E-7</v>
      </c>
      <c r="N38" s="65" t="s">
        <v>330</v>
      </c>
      <c r="R38" t="s">
        <v>8</v>
      </c>
      <c r="S38">
        <v>0.51449999999999996</v>
      </c>
      <c r="V38">
        <v>182991.2</v>
      </c>
    </row>
    <row r="39" spans="1:30" ht="15.75" thickBot="1" x14ac:dyDescent="0.3">
      <c r="A39">
        <v>91</v>
      </c>
      <c r="B39">
        <v>2.6301087283510251E-5</v>
      </c>
      <c r="C39" s="55">
        <v>2.3010999999999999E-7</v>
      </c>
      <c r="N39" s="66" t="s">
        <v>8</v>
      </c>
      <c r="R39" t="s">
        <v>8</v>
      </c>
      <c r="S39">
        <v>0.11219999999999999</v>
      </c>
      <c r="V39">
        <v>40953.440000000002</v>
      </c>
    </row>
    <row r="40" spans="1:30" x14ac:dyDescent="0.25">
      <c r="A40">
        <v>92</v>
      </c>
      <c r="B40">
        <f>-0.00000085902*A40+0.00010443</f>
        <v>2.5400160000000005E-5</v>
      </c>
      <c r="C40" s="55">
        <v>2.6012999999999999E-7</v>
      </c>
      <c r="D40" t="s">
        <v>129</v>
      </c>
      <c r="R40" t="s">
        <v>8</v>
      </c>
      <c r="S40">
        <v>0.17150000000000001</v>
      </c>
      <c r="T40" t="s">
        <v>19</v>
      </c>
      <c r="U40">
        <v>0.1484</v>
      </c>
      <c r="V40">
        <v>110912.7</v>
      </c>
    </row>
    <row r="41" spans="1:30" x14ac:dyDescent="0.25">
      <c r="A41">
        <v>94</v>
      </c>
      <c r="B41">
        <v>2.3948358788453312E-5</v>
      </c>
      <c r="C41" s="55">
        <v>2.1797000000000001E-7</v>
      </c>
      <c r="D41" t="s">
        <v>128</v>
      </c>
      <c r="R41" t="s">
        <v>8</v>
      </c>
      <c r="S41">
        <v>0.17380000000000001</v>
      </c>
      <c r="T41" t="s">
        <v>19</v>
      </c>
      <c r="U41">
        <v>9.2499999999999999E-2</v>
      </c>
      <c r="V41">
        <v>100270.3</v>
      </c>
    </row>
    <row r="42" spans="1:30" x14ac:dyDescent="0.25">
      <c r="A42">
        <v>96</v>
      </c>
      <c r="B42">
        <v>2.1776969775354431E-5</v>
      </c>
      <c r="C42" s="55">
        <v>9.1060999999999997E-7</v>
      </c>
      <c r="D42" t="s">
        <v>128</v>
      </c>
      <c r="P42" t="s">
        <v>29</v>
      </c>
      <c r="Q42">
        <v>5.3999999999999999E-2</v>
      </c>
      <c r="R42" t="s">
        <v>8</v>
      </c>
      <c r="S42">
        <v>2.8000000000000001E-2</v>
      </c>
      <c r="T42" t="s">
        <v>19</v>
      </c>
      <c r="U42">
        <v>0.1668</v>
      </c>
      <c r="V42">
        <v>72130.94</v>
      </c>
    </row>
    <row r="43" spans="1:30" ht="15.75" thickBot="1" x14ac:dyDescent="0.3">
      <c r="Q43" s="64"/>
      <c r="R43" s="64"/>
      <c r="S43" s="64"/>
      <c r="T43" s="64"/>
      <c r="U43" s="64"/>
      <c r="V43" s="64"/>
    </row>
    <row r="44" spans="1:30" x14ac:dyDescent="0.25">
      <c r="A44" t="s">
        <v>141</v>
      </c>
      <c r="B44" s="55">
        <v>-8.5901999999999997E-7</v>
      </c>
      <c r="C44" s="55"/>
      <c r="Q44" t="s">
        <v>331</v>
      </c>
      <c r="R44" t="s">
        <v>332</v>
      </c>
      <c r="V44" t="s">
        <v>8</v>
      </c>
    </row>
    <row r="45" spans="1:30" x14ac:dyDescent="0.25">
      <c r="A45" t="s">
        <v>142</v>
      </c>
      <c r="B45">
        <v>1.0443E-4</v>
      </c>
      <c r="Q45" t="s">
        <v>8</v>
      </c>
      <c r="V45">
        <v>9.6</v>
      </c>
    </row>
    <row r="46" spans="1:30" x14ac:dyDescent="0.25">
      <c r="Q46" t="s">
        <v>19</v>
      </c>
      <c r="V46" t="s">
        <v>19</v>
      </c>
    </row>
    <row r="47" spans="1:30" x14ac:dyDescent="0.25">
      <c r="C47" t="s">
        <v>341</v>
      </c>
      <c r="V47">
        <v>9.6</v>
      </c>
    </row>
    <row r="48" spans="1:30" x14ac:dyDescent="0.25">
      <c r="C48" s="92">
        <f>C42/B42</f>
        <v>4.1815275926523128E-2</v>
      </c>
    </row>
    <row r="52" spans="1:30" ht="15.75" thickBot="1" x14ac:dyDescent="0.3"/>
    <row r="53" spans="1:30" ht="15.75" thickBot="1" x14ac:dyDescent="0.3">
      <c r="A53" s="48"/>
      <c r="B53" s="93" t="s">
        <v>335</v>
      </c>
      <c r="C53" s="94">
        <f>((MAX(B38:B42)-MIN(B38:B42))/AVERAGE(MAX(B38:B42),MIN(B38:B42)))</f>
        <v>0.21384692093112723</v>
      </c>
      <c r="D53" s="72" t="s">
        <v>337</v>
      </c>
      <c r="E53" s="95">
        <f>C53/G53</f>
        <v>3.5641153488521204E-2</v>
      </c>
      <c r="F53" s="72" t="s">
        <v>336</v>
      </c>
      <c r="G53" s="73">
        <v>6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0" ht="30.75" thickBot="1" x14ac:dyDescent="0.3">
      <c r="A54" t="s">
        <v>0</v>
      </c>
      <c r="B54" s="39" t="s">
        <v>153</v>
      </c>
      <c r="C54" s="77" t="s">
        <v>338</v>
      </c>
      <c r="D54" s="39" t="s">
        <v>154</v>
      </c>
      <c r="E54" s="77" t="s">
        <v>338</v>
      </c>
      <c r="F54" s="39" t="s">
        <v>156</v>
      </c>
      <c r="G54" s="77" t="s">
        <v>338</v>
      </c>
      <c r="R54" t="s">
        <v>320</v>
      </c>
      <c r="S54" t="s">
        <v>321</v>
      </c>
      <c r="T54" t="s">
        <v>322</v>
      </c>
      <c r="U54" t="s">
        <v>323</v>
      </c>
      <c r="X54" t="s">
        <v>324</v>
      </c>
      <c r="Y54" t="s">
        <v>325</v>
      </c>
    </row>
    <row r="55" spans="1:30" x14ac:dyDescent="0.25">
      <c r="A55">
        <v>92</v>
      </c>
      <c r="B55">
        <v>3.5641895637903889E-5</v>
      </c>
      <c r="C55" s="82">
        <v>2.8710999999999998E-7</v>
      </c>
      <c r="D55">
        <v>2.8765488006219012E-5</v>
      </c>
      <c r="E55" s="55">
        <v>2.244E-7</v>
      </c>
      <c r="F55">
        <v>3.0907135177387148E-5</v>
      </c>
      <c r="G55" s="55">
        <v>4.4512E-7</v>
      </c>
      <c r="H55" t="s">
        <v>130</v>
      </c>
      <c r="N55" s="57" t="s">
        <v>155</v>
      </c>
      <c r="R55" t="s">
        <v>8</v>
      </c>
      <c r="S55">
        <v>0.17150000000000001</v>
      </c>
      <c r="T55" t="s">
        <v>19</v>
      </c>
      <c r="U55">
        <v>0.1484</v>
      </c>
      <c r="X55">
        <v>47798.58</v>
      </c>
      <c r="Y55">
        <v>59224.86</v>
      </c>
      <c r="Z55">
        <v>110912.7</v>
      </c>
    </row>
    <row r="56" spans="1:30" ht="15.75" thickBot="1" x14ac:dyDescent="0.3">
      <c r="A56">
        <v>94</v>
      </c>
      <c r="B56">
        <v>3.2471980341287574E-5</v>
      </c>
      <c r="C56" s="55">
        <v>2.8037000000000002E-7</v>
      </c>
      <c r="D56">
        <v>2.723261820889949E-5</v>
      </c>
      <c r="E56" s="55">
        <v>2.2721000000000001E-7</v>
      </c>
      <c r="F56">
        <v>2.9019200000000005E-5</v>
      </c>
      <c r="G56" s="55">
        <v>6.0134999999999997E-7</v>
      </c>
      <c r="H56" t="s">
        <v>157</v>
      </c>
      <c r="N56" s="58" t="s">
        <v>19</v>
      </c>
      <c r="R56" t="s">
        <v>8</v>
      </c>
      <c r="S56">
        <v>0.17380000000000001</v>
      </c>
      <c r="T56" t="s">
        <v>19</v>
      </c>
      <c r="U56">
        <v>9.2499999999999999E-2</v>
      </c>
      <c r="X56">
        <v>32702.04</v>
      </c>
      <c r="Y56">
        <v>38993.68</v>
      </c>
      <c r="Z56">
        <v>100270.3</v>
      </c>
    </row>
    <row r="57" spans="1:30" x14ac:dyDescent="0.25">
      <c r="A57">
        <v>95</v>
      </c>
      <c r="B57">
        <v>3.2346063747169129E-5</v>
      </c>
      <c r="C57" s="55">
        <v>2.5400999999999998E-7</v>
      </c>
      <c r="D57">
        <v>2.5425550089119419E-5</v>
      </c>
      <c r="E57" s="55">
        <v>1.9343999999999999E-7</v>
      </c>
      <c r="F57">
        <v>2.7971454591775478E-5</v>
      </c>
      <c r="G57" s="55">
        <v>2.3739999999999999E-7</v>
      </c>
      <c r="R57" t="s">
        <v>19</v>
      </c>
      <c r="S57">
        <v>0.15920000000000001</v>
      </c>
      <c r="X57">
        <v>56501.96</v>
      </c>
      <c r="Y57">
        <v>71881.08</v>
      </c>
      <c r="Z57">
        <v>54638.559999999998</v>
      </c>
    </row>
    <row r="58" spans="1:30" x14ac:dyDescent="0.25">
      <c r="A58">
        <v>96</v>
      </c>
      <c r="B58">
        <v>3.0584347879419794E-5</v>
      </c>
      <c r="C58" s="55">
        <v>2.3678999999999999E-7</v>
      </c>
      <c r="D58">
        <v>2.4668408564655274E-5</v>
      </c>
      <c r="E58" s="55">
        <v>1.86E-7</v>
      </c>
      <c r="F58">
        <v>2.678279999999999E-5</v>
      </c>
      <c r="G58" s="55">
        <v>2.3398999999999999E-7</v>
      </c>
      <c r="H58" t="s">
        <v>130</v>
      </c>
      <c r="R58" t="s">
        <v>8</v>
      </c>
      <c r="S58">
        <v>2.8000000000000001E-2</v>
      </c>
      <c r="T58" t="s">
        <v>19</v>
      </c>
      <c r="U58">
        <v>0.1668</v>
      </c>
      <c r="V58" t="s">
        <v>29</v>
      </c>
      <c r="W58">
        <v>5.3999999999999999E-2</v>
      </c>
      <c r="X58">
        <v>62609.279999999999</v>
      </c>
      <c r="Y58">
        <v>77624.14</v>
      </c>
      <c r="Z58">
        <v>72130.94</v>
      </c>
    </row>
    <row r="59" spans="1:30" x14ac:dyDescent="0.25">
      <c r="A59">
        <v>97</v>
      </c>
      <c r="B59">
        <v>2.8860637401157962E-5</v>
      </c>
      <c r="C59" s="55">
        <v>2.4196999999999999E-7</v>
      </c>
      <c r="D59">
        <v>2.3707375637586854E-5</v>
      </c>
      <c r="E59" s="55">
        <v>1.92E-7</v>
      </c>
      <c r="F59">
        <v>2.5473615302840944E-5</v>
      </c>
      <c r="G59" s="55">
        <v>2.2772E-7</v>
      </c>
      <c r="R59" t="s">
        <v>19</v>
      </c>
      <c r="S59">
        <v>9.5500000000000002E-2</v>
      </c>
      <c r="X59">
        <v>37987.379999999997</v>
      </c>
      <c r="Y59">
        <v>46244.68</v>
      </c>
      <c r="Z59">
        <v>35990.18</v>
      </c>
    </row>
    <row r="60" spans="1:30" x14ac:dyDescent="0.25">
      <c r="A60">
        <v>98</v>
      </c>
      <c r="B60">
        <v>2.6992592667658885E-5</v>
      </c>
      <c r="C60" s="55">
        <v>1.9782999999999999E-7</v>
      </c>
      <c r="D60">
        <v>2.2052627154373581E-5</v>
      </c>
      <c r="E60" s="55">
        <v>1.5892E-7</v>
      </c>
      <c r="F60">
        <v>2.4667457650726227E-5</v>
      </c>
      <c r="G60" s="55">
        <v>1.9544000000000001E-7</v>
      </c>
      <c r="R60" t="s">
        <v>19</v>
      </c>
      <c r="S60">
        <v>0.24129999999999999</v>
      </c>
      <c r="T60" t="s">
        <v>29</v>
      </c>
      <c r="U60">
        <v>1.8700000000000001E-2</v>
      </c>
      <c r="X60">
        <v>102625.3</v>
      </c>
      <c r="Y60">
        <v>125614.2</v>
      </c>
      <c r="Z60">
        <v>93908.34</v>
      </c>
    </row>
    <row r="61" spans="1:30" x14ac:dyDescent="0.25">
      <c r="A61">
        <v>100</v>
      </c>
      <c r="B61">
        <v>2.5371044910938207E-5</v>
      </c>
      <c r="C61" s="55">
        <v>2.0755E-7</v>
      </c>
      <c r="D61">
        <v>2.006188107582337E-5</v>
      </c>
      <c r="E61" s="55">
        <v>1.5811E-7</v>
      </c>
      <c r="F61">
        <v>2.2318025098121774E-5</v>
      </c>
      <c r="G61" s="55">
        <v>1.9490999999999999E-7</v>
      </c>
      <c r="R61" t="s">
        <v>19</v>
      </c>
      <c r="S61">
        <v>9.6299999999999997E-2</v>
      </c>
      <c r="T61" t="s">
        <v>29</v>
      </c>
      <c r="U61">
        <v>0.126</v>
      </c>
      <c r="X61">
        <v>43574.239999999998</v>
      </c>
      <c r="Y61">
        <v>55105.7</v>
      </c>
      <c r="Z61">
        <v>41423.019999999997</v>
      </c>
    </row>
    <row r="62" spans="1:30" ht="15.75" thickBot="1" x14ac:dyDescent="0.3"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30" x14ac:dyDescent="0.25">
      <c r="A63" t="s">
        <v>141</v>
      </c>
      <c r="B63" s="55">
        <v>-1.3221E-6</v>
      </c>
      <c r="C63" s="55"/>
      <c r="D63" s="55">
        <v>-1.1165E-6</v>
      </c>
      <c r="E63" s="55"/>
      <c r="F63" s="55">
        <v>-1.1181999999999999E-6</v>
      </c>
      <c r="G63" s="55"/>
      <c r="Q63" t="s">
        <v>331</v>
      </c>
      <c r="R63" t="s">
        <v>332</v>
      </c>
      <c r="X63" t="s">
        <v>19</v>
      </c>
      <c r="Y63" t="s">
        <v>19</v>
      </c>
      <c r="Z63" t="s">
        <v>8</v>
      </c>
    </row>
    <row r="64" spans="1:30" x14ac:dyDescent="0.25">
      <c r="A64" t="s">
        <v>142</v>
      </c>
      <c r="B64">
        <v>1.5724000000000001E-4</v>
      </c>
      <c r="D64">
        <v>1.3174000000000001E-4</v>
      </c>
      <c r="F64">
        <v>1.3412999999999999E-4</v>
      </c>
      <c r="Q64" t="s">
        <v>8</v>
      </c>
      <c r="X64">
        <v>11.48</v>
      </c>
      <c r="Y64">
        <v>11.48</v>
      </c>
      <c r="Z64">
        <v>9.6</v>
      </c>
    </row>
    <row r="65" spans="1:30" x14ac:dyDescent="0.25">
      <c r="Q65" t="s">
        <v>19</v>
      </c>
      <c r="Z65" t="s">
        <v>19</v>
      </c>
    </row>
    <row r="66" spans="1:30" x14ac:dyDescent="0.25">
      <c r="Q66" t="s">
        <v>29</v>
      </c>
      <c r="Z66">
        <v>9.6</v>
      </c>
    </row>
    <row r="67" spans="1:30" x14ac:dyDescent="0.25">
      <c r="D67" t="s">
        <v>341</v>
      </c>
    </row>
    <row r="68" spans="1:30" x14ac:dyDescent="0.25">
      <c r="D68" s="92">
        <f>G56/F56</f>
        <v>2.0722487180900917E-2</v>
      </c>
    </row>
    <row r="75" spans="1:30" ht="15.75" thickBot="1" x14ac:dyDescent="0.3"/>
    <row r="76" spans="1:30" ht="15.75" thickBot="1" x14ac:dyDescent="0.3">
      <c r="A76" s="48"/>
      <c r="B76" s="93" t="s">
        <v>335</v>
      </c>
      <c r="C76" s="94">
        <f>((MAX(B55:B61,D55:D61,F55:F61)-MIN(B55:B61,D55:D61,F55:F61))/AVERAGE(MAX(B55:B61,D55:D61,F55:F61),MIN(B55:B61,D55:D61,F55:F61)))</f>
        <v>0.55938808753127445</v>
      </c>
      <c r="D76" s="72" t="s">
        <v>337</v>
      </c>
      <c r="E76" s="95">
        <f>C76/G76</f>
        <v>6.9923510941409306E-2</v>
      </c>
      <c r="F76" s="72" t="s">
        <v>336</v>
      </c>
      <c r="G76" s="73">
        <v>8</v>
      </c>
      <c r="H76" s="64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30.75" thickBot="1" x14ac:dyDescent="0.3">
      <c r="A77" t="s">
        <v>0</v>
      </c>
      <c r="B77" s="39" t="s">
        <v>135</v>
      </c>
      <c r="C77" s="77" t="s">
        <v>338</v>
      </c>
      <c r="D77" s="50"/>
      <c r="E77" s="50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t="s">
        <v>320</v>
      </c>
      <c r="S77" t="s">
        <v>321</v>
      </c>
      <c r="T77" t="s">
        <v>322</v>
      </c>
      <c r="U77" t="s">
        <v>323</v>
      </c>
      <c r="X77" t="s">
        <v>324</v>
      </c>
      <c r="Y77" t="s">
        <v>325</v>
      </c>
    </row>
    <row r="78" spans="1:30" x14ac:dyDescent="0.25">
      <c r="A78">
        <v>93</v>
      </c>
      <c r="B78">
        <v>3.0403665668624111E-5</v>
      </c>
      <c r="C78" s="55">
        <v>2.2608E-7</v>
      </c>
      <c r="H78" s="49"/>
      <c r="I78" s="49"/>
      <c r="J78" s="49"/>
      <c r="K78" s="49"/>
      <c r="L78" s="49"/>
      <c r="M78" s="49"/>
      <c r="N78" s="57" t="s">
        <v>158</v>
      </c>
      <c r="O78" s="49"/>
      <c r="P78" s="49"/>
      <c r="Q78" s="49"/>
      <c r="R78" s="49" t="s">
        <v>9</v>
      </c>
      <c r="S78">
        <v>1</v>
      </c>
      <c r="X78">
        <v>315751.40000000002</v>
      </c>
    </row>
    <row r="79" spans="1:30" ht="15.75" thickBot="1" x14ac:dyDescent="0.3">
      <c r="A79" s="49"/>
      <c r="B79" s="49"/>
      <c r="C79" s="49"/>
      <c r="D79" s="49"/>
      <c r="E79" s="49"/>
      <c r="H79" s="49"/>
      <c r="I79" s="49"/>
      <c r="J79" s="49"/>
      <c r="K79" s="49"/>
      <c r="L79" s="49"/>
      <c r="M79" s="49"/>
      <c r="N79" s="58" t="s">
        <v>9</v>
      </c>
      <c r="O79" s="49"/>
      <c r="P79" s="49"/>
      <c r="Q79" s="64"/>
      <c r="R79" s="64"/>
      <c r="S79" s="64"/>
      <c r="T79" s="64"/>
      <c r="U79" s="64"/>
      <c r="V79" s="64"/>
      <c r="W79" s="64"/>
      <c r="X79" s="64"/>
      <c r="Y79" s="64"/>
    </row>
    <row r="80" spans="1:30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t="s">
        <v>331</v>
      </c>
      <c r="R80" t="s">
        <v>332</v>
      </c>
      <c r="X80" t="s">
        <v>9</v>
      </c>
    </row>
    <row r="81" spans="1:30" ht="15.75" thickBot="1" x14ac:dyDescent="0.3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64"/>
      <c r="T81" s="64"/>
      <c r="U81" s="64"/>
      <c r="V81" s="64"/>
      <c r="W81" s="64"/>
      <c r="X81" s="64">
        <v>9.6</v>
      </c>
      <c r="Y81" s="64"/>
      <c r="Z81" s="64"/>
      <c r="AA81" s="64"/>
      <c r="AB81" s="64"/>
      <c r="AC81" s="64"/>
      <c r="AD81" s="64"/>
    </row>
    <row r="82" spans="1:30" ht="30.75" thickBot="1" x14ac:dyDescent="0.3">
      <c r="A82" t="s">
        <v>0</v>
      </c>
      <c r="B82" s="39" t="s">
        <v>163</v>
      </c>
      <c r="C82" s="77" t="s">
        <v>338</v>
      </c>
      <c r="R82" t="s">
        <v>320</v>
      </c>
      <c r="S82" t="s">
        <v>321</v>
      </c>
      <c r="T82" t="s">
        <v>322</v>
      </c>
      <c r="U82" t="s">
        <v>323</v>
      </c>
      <c r="X82" t="s">
        <v>324</v>
      </c>
      <c r="Y82" t="s">
        <v>325</v>
      </c>
    </row>
    <row r="83" spans="1:30" x14ac:dyDescent="0.25">
      <c r="A83">
        <v>96</v>
      </c>
      <c r="B83">
        <v>2.9467144665595781E-5</v>
      </c>
      <c r="C83" s="55">
        <v>2.9933000000000002E-7</v>
      </c>
      <c r="N83" s="57" t="s">
        <v>159</v>
      </c>
      <c r="R83" t="s">
        <v>8</v>
      </c>
      <c r="S83">
        <v>2.8000000000000001E-2</v>
      </c>
      <c r="T83" t="s">
        <v>19</v>
      </c>
      <c r="U83">
        <v>0.1668</v>
      </c>
      <c r="V83" t="s">
        <v>29</v>
      </c>
      <c r="W83">
        <v>5.5399999999999998E-2</v>
      </c>
      <c r="X83">
        <v>18800.599999999999</v>
      </c>
    </row>
    <row r="84" spans="1:30" ht="15.75" thickBot="1" x14ac:dyDescent="0.3">
      <c r="A84">
        <v>98</v>
      </c>
      <c r="B84">
        <v>2.6786379340969126E-5</v>
      </c>
      <c r="C84" s="55">
        <v>3.7235999999999998E-7</v>
      </c>
      <c r="N84" s="58" t="s">
        <v>29</v>
      </c>
      <c r="R84" t="s">
        <v>19</v>
      </c>
      <c r="S84">
        <v>0.24129999999999999</v>
      </c>
      <c r="T84" t="s">
        <v>29</v>
      </c>
      <c r="U84">
        <v>1.8700000000000001E-2</v>
      </c>
      <c r="X84">
        <v>6981.16</v>
      </c>
    </row>
    <row r="85" spans="1:30" x14ac:dyDescent="0.25">
      <c r="A85">
        <v>99</v>
      </c>
      <c r="B85">
        <v>2.6176861213810384E-5</v>
      </c>
      <c r="C85" s="55">
        <v>2.1981999999999999E-7</v>
      </c>
      <c r="R85" t="s">
        <v>29</v>
      </c>
      <c r="S85">
        <v>0.12759999999999999</v>
      </c>
      <c r="X85">
        <v>48745.34</v>
      </c>
    </row>
    <row r="86" spans="1:30" x14ac:dyDescent="0.25">
      <c r="A86">
        <v>100</v>
      </c>
      <c r="B86">
        <v>2.4307693732319047E-5</v>
      </c>
      <c r="C86" s="55">
        <v>2.0234E-7</v>
      </c>
      <c r="R86" t="s">
        <v>19</v>
      </c>
      <c r="S86">
        <v>9.6299999999999997E-2</v>
      </c>
      <c r="T86" t="s">
        <v>29</v>
      </c>
      <c r="U86">
        <v>0.126</v>
      </c>
      <c r="X86">
        <v>51835.44</v>
      </c>
    </row>
    <row r="87" spans="1:30" x14ac:dyDescent="0.25">
      <c r="A87">
        <v>101</v>
      </c>
      <c r="B87">
        <v>2.2884529172945602E-5</v>
      </c>
      <c r="C87" s="55">
        <v>1.8224E-7</v>
      </c>
      <c r="R87" t="s">
        <v>29</v>
      </c>
      <c r="S87">
        <v>0.1706</v>
      </c>
      <c r="X87">
        <v>74548.179999999993</v>
      </c>
    </row>
    <row r="88" spans="1:30" x14ac:dyDescent="0.25">
      <c r="A88">
        <v>102</v>
      </c>
      <c r="B88" s="55">
        <v>2.1426000000000001E-5</v>
      </c>
      <c r="C88" s="55">
        <v>1.6173999999999999E-7</v>
      </c>
      <c r="R88" t="s">
        <v>10</v>
      </c>
      <c r="S88">
        <v>1.0200000000000001E-2</v>
      </c>
      <c r="T88" t="s">
        <v>29</v>
      </c>
      <c r="U88">
        <v>0.3155</v>
      </c>
      <c r="X88">
        <v>150719.70000000001</v>
      </c>
    </row>
    <row r="89" spans="1:30" x14ac:dyDescent="0.25">
      <c r="A89">
        <v>104</v>
      </c>
      <c r="B89" s="55">
        <v>1.9184000000000001E-5</v>
      </c>
      <c r="C89" s="55">
        <v>1.6497E-7</v>
      </c>
      <c r="R89" t="s">
        <v>10</v>
      </c>
      <c r="S89">
        <v>0.1114</v>
      </c>
      <c r="T89" t="s">
        <v>29</v>
      </c>
      <c r="U89">
        <v>0.1862</v>
      </c>
      <c r="X89">
        <v>138731.79999999999</v>
      </c>
    </row>
    <row r="90" spans="1:30" x14ac:dyDescent="0.25">
      <c r="B90" s="55"/>
      <c r="C90" s="55"/>
    </row>
    <row r="91" spans="1:30" x14ac:dyDescent="0.25">
      <c r="A91" t="s">
        <v>141</v>
      </c>
      <c r="B91" s="55">
        <v>-1.2964E-6</v>
      </c>
      <c r="C91" s="55"/>
      <c r="D91" t="s">
        <v>341</v>
      </c>
      <c r="Q91" t="s">
        <v>331</v>
      </c>
      <c r="R91" t="s">
        <v>332</v>
      </c>
    </row>
    <row r="92" spans="1:30" x14ac:dyDescent="0.25">
      <c r="A92" t="s">
        <v>142</v>
      </c>
      <c r="B92">
        <v>1.5401E-4</v>
      </c>
      <c r="D92" s="92">
        <f>C84/B84</f>
        <v>1.3901094853475933E-2</v>
      </c>
      <c r="Q92" t="s">
        <v>8</v>
      </c>
      <c r="X92" t="s">
        <v>29</v>
      </c>
    </row>
    <row r="93" spans="1:30" x14ac:dyDescent="0.25">
      <c r="Q93" t="s">
        <v>19</v>
      </c>
      <c r="X93">
        <v>10</v>
      </c>
    </row>
    <row r="94" spans="1:30" ht="30" x14ac:dyDescent="0.25">
      <c r="B94" s="39" t="s">
        <v>125</v>
      </c>
      <c r="C94" s="39"/>
      <c r="Q94" t="s">
        <v>29</v>
      </c>
      <c r="X94" t="s">
        <v>10</v>
      </c>
    </row>
    <row r="95" spans="1:30" x14ac:dyDescent="0.25">
      <c r="A95">
        <v>102</v>
      </c>
      <c r="B95" s="60">
        <f>B91*A95+B92</f>
        <v>2.1777199999999992E-5</v>
      </c>
      <c r="C95" s="60"/>
      <c r="Q95" t="s">
        <v>10</v>
      </c>
      <c r="X95">
        <v>10</v>
      </c>
    </row>
    <row r="96" spans="1:30" x14ac:dyDescent="0.25">
      <c r="A96">
        <v>104</v>
      </c>
      <c r="B96" s="55">
        <f>A96*B91+B92</f>
        <v>1.9184399999999999E-5</v>
      </c>
      <c r="C96" s="55"/>
    </row>
    <row r="97" spans="1:30" x14ac:dyDescent="0.25">
      <c r="B97" t="s">
        <v>126</v>
      </c>
    </row>
    <row r="98" spans="1:30" x14ac:dyDescent="0.25">
      <c r="A98">
        <v>102</v>
      </c>
      <c r="B98" s="47">
        <v>2.1426316496981419E-5</v>
      </c>
      <c r="C98" s="47"/>
    </row>
    <row r="99" spans="1:30" ht="15.75" thickBot="1" x14ac:dyDescent="0.3">
      <c r="B99" s="41"/>
      <c r="C99" s="41"/>
    </row>
    <row r="100" spans="1:30" ht="15.75" thickBot="1" x14ac:dyDescent="0.3">
      <c r="A100" s="64"/>
      <c r="B100" s="93" t="s">
        <v>335</v>
      </c>
      <c r="C100" s="94">
        <f>((MAX(B83:B89)-MIN(B83:B89))/AVERAGE(MAX(B83:B89),MIN(B83:B89)))</f>
        <v>0.42272981391402387</v>
      </c>
      <c r="D100" s="72" t="s">
        <v>337</v>
      </c>
      <c r="E100" s="95">
        <f>C100/G100</f>
        <v>5.2841226739252983E-2</v>
      </c>
      <c r="F100" s="72" t="s">
        <v>336</v>
      </c>
      <c r="G100" s="73">
        <f>104-96</f>
        <v>8</v>
      </c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30.75" thickBot="1" x14ac:dyDescent="0.3">
      <c r="A101" t="s">
        <v>0</v>
      </c>
      <c r="B101" s="39" t="s">
        <v>164</v>
      </c>
      <c r="C101" s="77" t="s">
        <v>338</v>
      </c>
      <c r="R101" t="s">
        <v>320</v>
      </c>
      <c r="S101" t="s">
        <v>321</v>
      </c>
      <c r="T101" t="s">
        <v>322</v>
      </c>
      <c r="U101" t="s">
        <v>323</v>
      </c>
      <c r="X101" t="s">
        <v>324</v>
      </c>
      <c r="Y101" t="s">
        <v>325</v>
      </c>
    </row>
    <row r="102" spans="1:30" x14ac:dyDescent="0.25">
      <c r="A102">
        <v>102</v>
      </c>
      <c r="B102">
        <f>-0.0000017362*102+0.00020648</f>
        <v>2.9387599999999983E-5</v>
      </c>
      <c r="C102" s="55">
        <v>1.0485E-5</v>
      </c>
      <c r="D102" t="s">
        <v>127</v>
      </c>
      <c r="E102" t="s">
        <v>333</v>
      </c>
      <c r="I102" s="62"/>
      <c r="L102" s="63"/>
      <c r="N102" s="57" t="s">
        <v>162</v>
      </c>
      <c r="R102" t="s">
        <v>10</v>
      </c>
      <c r="S102">
        <v>1.0200000000000001E-2</v>
      </c>
      <c r="T102" t="s">
        <v>29</v>
      </c>
      <c r="U102">
        <v>0.3155</v>
      </c>
      <c r="X102">
        <v>150719.70000000001</v>
      </c>
    </row>
    <row r="103" spans="1:30" ht="15.75" thickBot="1" x14ac:dyDescent="0.3">
      <c r="A103">
        <v>104</v>
      </c>
      <c r="B103">
        <v>2.6731440458648408E-5</v>
      </c>
      <c r="C103" s="55">
        <v>5.3316999999999995E-7</v>
      </c>
      <c r="D103" t="s">
        <v>124</v>
      </c>
      <c r="E103" t="s">
        <v>334</v>
      </c>
      <c r="N103" s="58" t="s">
        <v>10</v>
      </c>
      <c r="R103" t="s">
        <v>10</v>
      </c>
      <c r="S103">
        <v>0.1114</v>
      </c>
      <c r="T103" t="s">
        <v>29</v>
      </c>
      <c r="U103">
        <v>0.1862</v>
      </c>
      <c r="X103">
        <v>138731.79999999999</v>
      </c>
    </row>
    <row r="104" spans="1:30" x14ac:dyDescent="0.25">
      <c r="A104">
        <v>105</v>
      </c>
      <c r="B104">
        <v>2.3392168180575388E-5</v>
      </c>
      <c r="C104" s="55">
        <v>1.8190999999999999E-7</v>
      </c>
      <c r="R104" t="s">
        <v>10</v>
      </c>
      <c r="S104">
        <v>0.2233</v>
      </c>
      <c r="X104">
        <v>95459.3</v>
      </c>
    </row>
    <row r="105" spans="1:30" x14ac:dyDescent="0.25">
      <c r="A105">
        <v>106</v>
      </c>
      <c r="B105">
        <v>2.2533653306263264E-5</v>
      </c>
      <c r="C105" s="55">
        <v>1.7197E-7</v>
      </c>
      <c r="R105" t="s">
        <v>10</v>
      </c>
      <c r="S105">
        <v>0.27329999999999999</v>
      </c>
      <c r="T105" t="s">
        <v>30</v>
      </c>
      <c r="U105">
        <v>1.2500000000000001E-2</v>
      </c>
      <c r="X105">
        <v>121285.3</v>
      </c>
    </row>
    <row r="106" spans="1:30" x14ac:dyDescent="0.25">
      <c r="A106">
        <v>108</v>
      </c>
      <c r="B106">
        <v>1.8351792628904698E-5</v>
      </c>
      <c r="C106" s="55">
        <v>1.3847E-7</v>
      </c>
      <c r="R106" t="s">
        <v>10</v>
      </c>
      <c r="S106">
        <v>0.2646</v>
      </c>
      <c r="T106" t="s">
        <v>30</v>
      </c>
      <c r="U106">
        <v>8.8999999999999999E-3</v>
      </c>
      <c r="X106">
        <v>144182.1</v>
      </c>
    </row>
    <row r="107" spans="1:30" x14ac:dyDescent="0.25">
      <c r="A107">
        <v>110</v>
      </c>
      <c r="B107">
        <v>1.6022836643625863E-5</v>
      </c>
      <c r="C107" s="55">
        <v>1.2785E-7</v>
      </c>
      <c r="F107" t="s">
        <v>341</v>
      </c>
      <c r="R107" t="s">
        <v>10</v>
      </c>
      <c r="S107">
        <v>0.1172</v>
      </c>
      <c r="T107" t="s">
        <v>30</v>
      </c>
      <c r="U107">
        <v>0.1249</v>
      </c>
      <c r="X107">
        <v>73145.600000000006</v>
      </c>
    </row>
    <row r="108" spans="1:30" ht="15.75" thickBot="1" x14ac:dyDescent="0.3">
      <c r="F108" s="92">
        <f>C102/B102</f>
        <v>0.35678313302209119</v>
      </c>
      <c r="Q108" s="64"/>
      <c r="R108" s="64"/>
      <c r="S108" s="64"/>
      <c r="T108" s="64"/>
      <c r="U108" s="64"/>
      <c r="V108" s="64"/>
      <c r="W108" s="64"/>
      <c r="X108" s="64"/>
      <c r="Y108" s="64"/>
    </row>
    <row r="109" spans="1:30" x14ac:dyDescent="0.25">
      <c r="A109" t="s">
        <v>141</v>
      </c>
      <c r="B109">
        <f>-0.0000017362</f>
        <v>-1.7362E-6</v>
      </c>
      <c r="Q109" t="s">
        <v>331</v>
      </c>
      <c r="R109" t="s">
        <v>332</v>
      </c>
      <c r="X109" t="s">
        <v>29</v>
      </c>
    </row>
    <row r="110" spans="1:30" x14ac:dyDescent="0.25">
      <c r="A110" t="s">
        <v>142</v>
      </c>
      <c r="B110">
        <f>0.00020648</f>
        <v>2.0647999999999999E-4</v>
      </c>
      <c r="Q110" t="s">
        <v>10</v>
      </c>
      <c r="X110">
        <v>10</v>
      </c>
    </row>
    <row r="111" spans="1:30" x14ac:dyDescent="0.25">
      <c r="Q111" t="s">
        <v>29</v>
      </c>
      <c r="X111" t="s">
        <v>10</v>
      </c>
    </row>
    <row r="112" spans="1:30" x14ac:dyDescent="0.25">
      <c r="A112">
        <v>102</v>
      </c>
      <c r="B112" s="61">
        <v>1.7455628670838299E-5</v>
      </c>
      <c r="C112" s="61"/>
      <c r="D112" t="s">
        <v>160</v>
      </c>
      <c r="Q112" t="s">
        <v>30</v>
      </c>
      <c r="X112">
        <v>10</v>
      </c>
    </row>
    <row r="113" spans="1:30" x14ac:dyDescent="0.25">
      <c r="A113">
        <v>102</v>
      </c>
      <c r="B113" s="47">
        <f>A113*B109+B110</f>
        <v>2.9387599999999983E-5</v>
      </c>
      <c r="C113" s="47"/>
      <c r="D113" t="s">
        <v>161</v>
      </c>
    </row>
    <row r="117" spans="1:30" ht="15.75" thickBot="1" x14ac:dyDescent="0.3"/>
    <row r="118" spans="1:30" ht="15.75" thickBot="1" x14ac:dyDescent="0.3">
      <c r="A118" s="48"/>
      <c r="B118" s="93" t="s">
        <v>335</v>
      </c>
      <c r="C118" s="94">
        <f>((MAX(B102:B107)-MIN(B102:B107))/AVERAGE(MAX(B102:B107),MIN(B102:B107)))</f>
        <v>0.58862078166121756</v>
      </c>
      <c r="D118" s="72" t="s">
        <v>337</v>
      </c>
      <c r="E118" s="95">
        <f>C118/G118</f>
        <v>7.3577597707652195E-2</v>
      </c>
      <c r="F118" s="72" t="s">
        <v>336</v>
      </c>
      <c r="G118" s="73">
        <f>104-96</f>
        <v>8</v>
      </c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30.75" thickBot="1" x14ac:dyDescent="0.3">
      <c r="A119" t="s">
        <v>0</v>
      </c>
      <c r="B119" s="39" t="s">
        <v>165</v>
      </c>
      <c r="C119" s="77" t="s">
        <v>338</v>
      </c>
      <c r="D119" s="39"/>
      <c r="E119" s="39"/>
      <c r="R119" t="s">
        <v>320</v>
      </c>
      <c r="S119" t="s">
        <v>321</v>
      </c>
      <c r="T119" t="s">
        <v>322</v>
      </c>
      <c r="U119" t="s">
        <v>323</v>
      </c>
      <c r="X119" t="s">
        <v>324</v>
      </c>
      <c r="Y119" t="s">
        <v>325</v>
      </c>
    </row>
    <row r="120" spans="1:30" x14ac:dyDescent="0.25">
      <c r="A120">
        <v>103</v>
      </c>
      <c r="B120">
        <v>2.1784039653225971E-5</v>
      </c>
      <c r="C120" s="55">
        <v>1.5736E-7</v>
      </c>
      <c r="E120" t="s">
        <v>341</v>
      </c>
      <c r="N120" s="57" t="s">
        <v>166</v>
      </c>
      <c r="R120" t="s">
        <v>20</v>
      </c>
      <c r="S120">
        <v>1</v>
      </c>
      <c r="X120">
        <v>459051.7</v>
      </c>
    </row>
    <row r="121" spans="1:30" ht="15.75" thickBot="1" x14ac:dyDescent="0.3">
      <c r="E121" s="92">
        <f>C120/B120</f>
        <v>7.2236372364800003E-3</v>
      </c>
      <c r="N121" s="58" t="s">
        <v>20</v>
      </c>
      <c r="Q121" s="64"/>
      <c r="R121" s="64"/>
      <c r="S121" s="64"/>
      <c r="T121" s="64"/>
      <c r="U121" s="64"/>
      <c r="V121" s="64"/>
      <c r="W121" s="64"/>
      <c r="X121" s="64"/>
      <c r="Y121" s="64"/>
    </row>
    <row r="122" spans="1:30" x14ac:dyDescent="0.25">
      <c r="Q122" t="s">
        <v>331</v>
      </c>
      <c r="R122" t="s">
        <v>332</v>
      </c>
      <c r="X122" t="s">
        <v>20</v>
      </c>
    </row>
    <row r="123" spans="1:30" x14ac:dyDescent="0.25">
      <c r="Q123" t="s">
        <v>20</v>
      </c>
      <c r="X123">
        <v>10</v>
      </c>
    </row>
    <row r="124" spans="1:30" ht="15.75" thickBot="1" x14ac:dyDescent="0.3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30.75" thickBot="1" x14ac:dyDescent="0.3">
      <c r="A125" t="s">
        <v>0</v>
      </c>
      <c r="B125" s="39" t="s">
        <v>168</v>
      </c>
      <c r="C125" s="77" t="s">
        <v>338</v>
      </c>
      <c r="D125" s="39" t="s">
        <v>169</v>
      </c>
      <c r="E125" s="77" t="s">
        <v>338</v>
      </c>
      <c r="R125" t="s">
        <v>320</v>
      </c>
      <c r="S125" t="s">
        <v>321</v>
      </c>
      <c r="T125" t="s">
        <v>322</v>
      </c>
      <c r="U125" t="s">
        <v>323</v>
      </c>
      <c r="X125" t="s">
        <v>324</v>
      </c>
      <c r="Y125" t="s">
        <v>325</v>
      </c>
    </row>
    <row r="126" spans="1:30" x14ac:dyDescent="0.25">
      <c r="A126">
        <v>106</v>
      </c>
      <c r="B126">
        <v>3.1168278294715083E-5</v>
      </c>
      <c r="C126" s="55">
        <v>5.0370000000000004E-7</v>
      </c>
      <c r="D126">
        <v>2.6392357803125887E-5</v>
      </c>
      <c r="E126" s="55">
        <v>3.9841999999999999E-7</v>
      </c>
      <c r="N126" s="57" t="s">
        <v>167</v>
      </c>
      <c r="R126" t="s">
        <v>10</v>
      </c>
      <c r="S126">
        <v>0.27329999999999999</v>
      </c>
      <c r="T126" t="s">
        <v>30</v>
      </c>
      <c r="U126">
        <v>1.2500000000000001E-2</v>
      </c>
      <c r="X126">
        <v>4604.04</v>
      </c>
      <c r="Y126">
        <v>5437.18</v>
      </c>
    </row>
    <row r="127" spans="1:30" ht="15.75" thickBot="1" x14ac:dyDescent="0.3">
      <c r="A127">
        <v>108</v>
      </c>
      <c r="B127">
        <v>2.5538913773796191E-5</v>
      </c>
      <c r="C127" s="55">
        <v>4.3785000000000002E-7</v>
      </c>
      <c r="D127">
        <v>2.126403769469627E-5</v>
      </c>
      <c r="E127" s="55">
        <v>3.3761999999999998E-7</v>
      </c>
      <c r="F127" t="s">
        <v>170</v>
      </c>
      <c r="N127" s="58" t="s">
        <v>30</v>
      </c>
      <c r="R127" t="s">
        <v>10</v>
      </c>
      <c r="S127">
        <v>0.2646</v>
      </c>
      <c r="T127" t="s">
        <v>30</v>
      </c>
      <c r="U127">
        <v>8.8999999999999999E-3</v>
      </c>
      <c r="X127">
        <v>4000.64</v>
      </c>
      <c r="Y127">
        <v>4804.92</v>
      </c>
    </row>
    <row r="128" spans="1:30" x14ac:dyDescent="0.25">
      <c r="A128">
        <v>110</v>
      </c>
      <c r="B128">
        <v>2.2459102670935487E-5</v>
      </c>
      <c r="C128" s="55">
        <v>1.7343000000000001E-7</v>
      </c>
      <c r="D128">
        <v>1.9053493753556293E-5</v>
      </c>
      <c r="E128" s="55">
        <v>1.4418000000000001E-7</v>
      </c>
      <c r="R128" t="s">
        <v>10</v>
      </c>
      <c r="S128">
        <v>0.1172</v>
      </c>
      <c r="T128" t="s">
        <v>30</v>
      </c>
      <c r="U128">
        <v>0.1249</v>
      </c>
      <c r="X128">
        <v>63842.8</v>
      </c>
      <c r="Y128">
        <v>75254.02</v>
      </c>
    </row>
    <row r="129" spans="1:30" x14ac:dyDescent="0.25">
      <c r="A129">
        <v>111</v>
      </c>
      <c r="B129">
        <v>2.0710783070107492E-5</v>
      </c>
      <c r="C129" s="55">
        <v>1.5781999999999999E-7</v>
      </c>
      <c r="D129">
        <v>1.8068638792486091E-5</v>
      </c>
      <c r="E129" s="55">
        <v>1.3553E-7</v>
      </c>
      <c r="R129" t="s">
        <v>30</v>
      </c>
      <c r="S129">
        <v>0.128</v>
      </c>
      <c r="X129">
        <v>70950.48</v>
      </c>
      <c r="Y129">
        <v>81325.440000000002</v>
      </c>
    </row>
    <row r="130" spans="1:30" x14ac:dyDescent="0.25">
      <c r="A130">
        <v>112</v>
      </c>
      <c r="B130">
        <v>1.9852254240810681E-5</v>
      </c>
      <c r="C130" s="55">
        <v>1.4196000000000001E-7</v>
      </c>
      <c r="D130">
        <v>1.7306601141934645E-5</v>
      </c>
      <c r="E130" s="55">
        <v>1.2263999999999999E-7</v>
      </c>
      <c r="R130" t="s">
        <v>11</v>
      </c>
      <c r="S130">
        <v>9.7000000000000003E-3</v>
      </c>
      <c r="T130" t="s">
        <v>30</v>
      </c>
      <c r="U130">
        <v>0.24129999999999999</v>
      </c>
      <c r="X130">
        <v>139537</v>
      </c>
      <c r="Y130">
        <v>160061.70000000001</v>
      </c>
    </row>
    <row r="131" spans="1:30" x14ac:dyDescent="0.25">
      <c r="A131">
        <v>113</v>
      </c>
      <c r="B131" s="55">
        <f>A131*B135+B136</f>
        <v>1.9219199999999994E-5</v>
      </c>
      <c r="C131" s="55">
        <v>1.9562E-7</v>
      </c>
      <c r="D131" s="55">
        <f>A131*D135+D136</f>
        <v>1.6711599999999998E-5</v>
      </c>
      <c r="E131" s="55">
        <v>1.7018999999999999E-7</v>
      </c>
      <c r="F131" t="s">
        <v>136</v>
      </c>
      <c r="R131" t="s">
        <v>22</v>
      </c>
      <c r="S131">
        <v>4.2900000000000001E-2</v>
      </c>
      <c r="T131" t="s">
        <v>30</v>
      </c>
      <c r="U131">
        <v>0.1222</v>
      </c>
      <c r="X131">
        <v>147273.4</v>
      </c>
      <c r="Y131">
        <v>173465.2</v>
      </c>
    </row>
    <row r="132" spans="1:30" x14ac:dyDescent="0.25">
      <c r="A132">
        <v>114</v>
      </c>
      <c r="B132">
        <v>1.8853012076842368E-5</v>
      </c>
      <c r="C132" s="55">
        <v>1.3288999999999999E-7</v>
      </c>
      <c r="D132">
        <v>1.6623063643747749E-5</v>
      </c>
      <c r="E132" s="55">
        <v>1.1637E-7</v>
      </c>
      <c r="R132" t="s">
        <v>11</v>
      </c>
      <c r="S132">
        <v>6.6E-3</v>
      </c>
      <c r="T132" t="s">
        <v>30</v>
      </c>
      <c r="U132">
        <v>0.2873</v>
      </c>
      <c r="X132">
        <v>174943.1</v>
      </c>
      <c r="Y132">
        <v>198411.3</v>
      </c>
    </row>
    <row r="133" spans="1:30" x14ac:dyDescent="0.25">
      <c r="A133">
        <v>116</v>
      </c>
      <c r="B133">
        <v>1.5798424442237999E-5</v>
      </c>
      <c r="C133" s="55">
        <v>1.2473999999999999E-7</v>
      </c>
      <c r="D133">
        <v>1.3891443272120761E-5</v>
      </c>
      <c r="E133" s="55">
        <v>1.0771E-7</v>
      </c>
      <c r="R133" t="s">
        <v>11</v>
      </c>
      <c r="S133">
        <v>0.1454</v>
      </c>
      <c r="T133" t="s">
        <v>30</v>
      </c>
      <c r="U133">
        <v>7.4899999999999994E-2</v>
      </c>
      <c r="X133">
        <v>54426.44</v>
      </c>
      <c r="Y133">
        <v>61897.96</v>
      </c>
    </row>
    <row r="134" spans="1:30" ht="15.75" thickBot="1" x14ac:dyDescent="0.3">
      <c r="C134" t="s">
        <v>340</v>
      </c>
      <c r="E134" t="s">
        <v>340</v>
      </c>
      <c r="Q134" s="64"/>
      <c r="R134" s="64"/>
      <c r="S134" s="64"/>
      <c r="T134" s="64"/>
      <c r="U134" s="64"/>
      <c r="V134" s="64"/>
      <c r="W134" s="64"/>
      <c r="X134" s="64"/>
      <c r="Y134" s="64"/>
    </row>
    <row r="135" spans="1:30" x14ac:dyDescent="0.25">
      <c r="A135" t="s">
        <v>141</v>
      </c>
      <c r="B135" s="55">
        <v>-1.4216000000000001E-6</v>
      </c>
      <c r="C135" s="92">
        <f>C126/B126</f>
        <v>1.6160661658536583E-2</v>
      </c>
      <c r="D135" s="55">
        <v>-1.1168E-6</v>
      </c>
      <c r="E135" s="92">
        <f>E126/D126</f>
        <v>1.5096036624390243E-2</v>
      </c>
      <c r="Q135" t="s">
        <v>331</v>
      </c>
      <c r="R135" t="s">
        <v>332</v>
      </c>
      <c r="X135" t="s">
        <v>30</v>
      </c>
      <c r="Y135" t="s">
        <v>30</v>
      </c>
    </row>
    <row r="136" spans="1:30" x14ac:dyDescent="0.25">
      <c r="A136" t="s">
        <v>142</v>
      </c>
      <c r="B136">
        <v>1.7986E-4</v>
      </c>
      <c r="C136" s="92">
        <f t="shared" ref="C136:C138" si="3">C127/B127</f>
        <v>1.7144425322006031E-2</v>
      </c>
      <c r="D136">
        <v>1.4291E-4</v>
      </c>
      <c r="E136" s="92">
        <f t="shared" ref="E136:E138" si="4">E127/D127</f>
        <v>1.5877511357319029E-2</v>
      </c>
      <c r="Q136" t="s">
        <v>10</v>
      </c>
      <c r="X136">
        <v>11.48</v>
      </c>
      <c r="Y136">
        <v>11.48</v>
      </c>
    </row>
    <row r="137" spans="1:30" x14ac:dyDescent="0.25">
      <c r="C137" s="92">
        <f t="shared" si="3"/>
        <v>7.7220360288230584E-3</v>
      </c>
      <c r="E137" s="92">
        <f t="shared" si="4"/>
        <v>7.5671161344406527E-3</v>
      </c>
      <c r="Q137" t="s">
        <v>30</v>
      </c>
      <c r="X137" t="s">
        <v>22</v>
      </c>
      <c r="Y137" t="s">
        <v>22</v>
      </c>
    </row>
    <row r="138" spans="1:30" x14ac:dyDescent="0.25">
      <c r="C138" s="92">
        <f t="shared" si="3"/>
        <v>7.6201850729529603E-3</v>
      </c>
      <c r="E138" s="92">
        <f t="shared" si="4"/>
        <v>7.5008417378048774E-3</v>
      </c>
      <c r="Q138" t="s">
        <v>11</v>
      </c>
      <c r="X138">
        <v>20.61</v>
      </c>
      <c r="Y138">
        <v>20.61</v>
      </c>
    </row>
    <row r="139" spans="1:30" ht="15.75" thickBot="1" x14ac:dyDescent="0.3">
      <c r="Q139" t="s">
        <v>22</v>
      </c>
    </row>
    <row r="140" spans="1:30" ht="15.75" thickBot="1" x14ac:dyDescent="0.3">
      <c r="A140" s="64"/>
      <c r="B140" s="93" t="s">
        <v>335</v>
      </c>
      <c r="C140" s="94">
        <f>((MAX(B126:B133,D126:D133)-MIN(B126:B133,D126:D133))/AVERAGE(MAX(B126:B133,D126:D133),MIN(B126:B133,D126:D133)))</f>
        <v>0.76684162359805397</v>
      </c>
      <c r="D140" s="72" t="s">
        <v>337</v>
      </c>
      <c r="E140" s="95">
        <f>C140/G140</f>
        <v>7.6684162359805394E-2</v>
      </c>
      <c r="F140" s="72" t="s">
        <v>336</v>
      </c>
      <c r="G140" s="73">
        <v>10</v>
      </c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</row>
    <row r="141" spans="1:30" ht="30.75" thickBot="1" x14ac:dyDescent="0.3">
      <c r="A141" t="s">
        <v>0</v>
      </c>
      <c r="B141" s="39" t="s">
        <v>171</v>
      </c>
      <c r="C141" s="77" t="s">
        <v>338</v>
      </c>
      <c r="D141" s="39" t="s">
        <v>174</v>
      </c>
      <c r="E141" s="77" t="s">
        <v>338</v>
      </c>
      <c r="R141" t="s">
        <v>320</v>
      </c>
      <c r="S141" t="s">
        <v>321</v>
      </c>
      <c r="T141" t="s">
        <v>322</v>
      </c>
      <c r="U141" t="s">
        <v>323</v>
      </c>
      <c r="X141" t="s">
        <v>324</v>
      </c>
      <c r="Y141" t="s">
        <v>325</v>
      </c>
    </row>
    <row r="142" spans="1:30" x14ac:dyDescent="0.25">
      <c r="A142">
        <v>113</v>
      </c>
      <c r="B142">
        <v>1.1903027859575625E-5</v>
      </c>
      <c r="C142" s="55">
        <v>1.1929999999999999E-7</v>
      </c>
      <c r="D142">
        <v>9.8767633588587748E-6</v>
      </c>
      <c r="E142" s="55">
        <v>9.4449000000000001E-8</v>
      </c>
      <c r="F142" t="s">
        <v>173</v>
      </c>
      <c r="N142" s="65" t="s">
        <v>172</v>
      </c>
      <c r="R142" t="s">
        <v>22</v>
      </c>
      <c r="S142">
        <v>4.2900000000000001E-2</v>
      </c>
      <c r="T142" t="s">
        <v>30</v>
      </c>
      <c r="U142">
        <v>0.1222</v>
      </c>
      <c r="X142">
        <v>147273.4</v>
      </c>
      <c r="Y142">
        <v>173465.2</v>
      </c>
    </row>
    <row r="143" spans="1:30" ht="15.75" thickBot="1" x14ac:dyDescent="0.3">
      <c r="A143">
        <v>115</v>
      </c>
      <c r="B143">
        <v>1.1280145282836826E-5</v>
      </c>
      <c r="C143" s="55">
        <v>6.3267000000000007E-8</v>
      </c>
      <c r="D143">
        <v>9.6006296579647836E-6</v>
      </c>
      <c r="E143" s="55">
        <v>5.3774000000000002E-8</v>
      </c>
      <c r="N143" s="66" t="s">
        <v>22</v>
      </c>
      <c r="R143" t="s">
        <v>11</v>
      </c>
      <c r="S143">
        <v>3.3999999999999998E-3</v>
      </c>
      <c r="T143" t="s">
        <v>22</v>
      </c>
      <c r="U143">
        <v>0.95709999999999995</v>
      </c>
      <c r="X143">
        <v>1748721</v>
      </c>
      <c r="Y143">
        <v>2054639</v>
      </c>
    </row>
    <row r="144" spans="1:30" ht="15.75" thickBot="1" x14ac:dyDescent="0.3">
      <c r="C144" t="s">
        <v>340</v>
      </c>
      <c r="E144" t="s">
        <v>340</v>
      </c>
      <c r="Q144" s="64"/>
      <c r="R144" s="64"/>
      <c r="S144" s="64"/>
      <c r="T144" s="64"/>
      <c r="U144" s="64"/>
      <c r="V144" s="64"/>
      <c r="W144" s="64"/>
      <c r="X144" s="64"/>
      <c r="Y144" s="64"/>
    </row>
    <row r="145" spans="1:30" x14ac:dyDescent="0.25">
      <c r="C145" s="92">
        <f t="shared" ref="C145" si="5">C142/B142</f>
        <v>1.0022659898592672E-2</v>
      </c>
      <c r="D145" s="55"/>
      <c r="E145" s="92">
        <f>E142/D142</f>
        <v>9.5627480955373673E-3</v>
      </c>
      <c r="Q145" t="s">
        <v>331</v>
      </c>
      <c r="R145" t="s">
        <v>332</v>
      </c>
      <c r="X145" t="s">
        <v>30</v>
      </c>
      <c r="Y145" t="s">
        <v>30</v>
      </c>
    </row>
    <row r="146" spans="1:30" x14ac:dyDescent="0.25">
      <c r="C146" s="92">
        <f t="shared" ref="C146" si="6">C143/B143</f>
        <v>5.6087043574042598E-3</v>
      </c>
      <c r="D146" s="55"/>
      <c r="E146" s="92">
        <f>E143/D143</f>
        <v>5.6010909612984111E-3</v>
      </c>
      <c r="Q146" t="s">
        <v>22</v>
      </c>
      <c r="X146">
        <v>11.48</v>
      </c>
      <c r="Y146">
        <v>11.48</v>
      </c>
    </row>
    <row r="147" spans="1:30" x14ac:dyDescent="0.25">
      <c r="Q147" t="s">
        <v>11</v>
      </c>
      <c r="X147" t="s">
        <v>22</v>
      </c>
      <c r="Y147" t="s">
        <v>22</v>
      </c>
    </row>
    <row r="148" spans="1:30" x14ac:dyDescent="0.25">
      <c r="Q148" t="s">
        <v>30</v>
      </c>
      <c r="X148">
        <v>20.61</v>
      </c>
      <c r="Y148">
        <v>20.61</v>
      </c>
    </row>
    <row r="150" spans="1:30" ht="15.75" thickBot="1" x14ac:dyDescent="0.3"/>
    <row r="151" spans="1:30" ht="15.75" thickBot="1" x14ac:dyDescent="0.3">
      <c r="A151" s="64"/>
      <c r="B151" s="93" t="s">
        <v>335</v>
      </c>
      <c r="C151" s="94">
        <f>((MAX(B142:B143,D142:D143)-MIN(B142:B143,D142:D143))/AVERAGE(MAX(B142:B143,D142:D143),MIN(B142:B143,D142:D143)))</f>
        <v>0.21414014799415293</v>
      </c>
      <c r="D151" s="72" t="s">
        <v>337</v>
      </c>
      <c r="E151" s="95">
        <f>C151/G151</f>
        <v>0.10707007399707646</v>
      </c>
      <c r="F151" s="72" t="s">
        <v>336</v>
      </c>
      <c r="G151" s="73">
        <v>2</v>
      </c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</row>
    <row r="152" spans="1:30" ht="30.75" thickBot="1" x14ac:dyDescent="0.3">
      <c r="A152" t="s">
        <v>0</v>
      </c>
      <c r="B152" s="39" t="s">
        <v>175</v>
      </c>
      <c r="C152" s="77" t="s">
        <v>338</v>
      </c>
      <c r="D152" s="39" t="s">
        <v>328</v>
      </c>
      <c r="E152" s="77" t="s">
        <v>338</v>
      </c>
      <c r="R152" t="s">
        <v>320</v>
      </c>
      <c r="S152" t="s">
        <v>321</v>
      </c>
      <c r="T152" t="s">
        <v>322</v>
      </c>
      <c r="U152" t="s">
        <v>323</v>
      </c>
      <c r="X152" t="s">
        <v>324</v>
      </c>
      <c r="Y152" t="s">
        <v>325</v>
      </c>
    </row>
    <row r="153" spans="1:30" x14ac:dyDescent="0.25">
      <c r="A153">
        <v>107</v>
      </c>
      <c r="B153">
        <v>2.2766651884510655E-5</v>
      </c>
      <c r="C153" s="55">
        <v>1.5739999999999999E-7</v>
      </c>
      <c r="D153">
        <v>1.8923963479473106E-5</v>
      </c>
      <c r="E153" s="55">
        <v>1.2994000000000001E-7</v>
      </c>
      <c r="N153" s="65" t="s">
        <v>176</v>
      </c>
      <c r="R153" t="s">
        <v>21</v>
      </c>
      <c r="S153">
        <v>0.51839000000000002</v>
      </c>
      <c r="X153">
        <v>261396.2</v>
      </c>
      <c r="Y153">
        <v>314475.2</v>
      </c>
    </row>
    <row r="154" spans="1:30" ht="15.75" thickBot="1" x14ac:dyDescent="0.3">
      <c r="A154">
        <v>109</v>
      </c>
      <c r="B154">
        <v>1.9231785036887966E-5</v>
      </c>
      <c r="C154" s="55">
        <v>1.3246999999999999E-7</v>
      </c>
      <c r="D154">
        <v>1.5495775552960631E-5</v>
      </c>
      <c r="E154" s="55">
        <v>1.0598E-7</v>
      </c>
      <c r="N154" s="66" t="s">
        <v>21</v>
      </c>
      <c r="R154" t="s">
        <v>21</v>
      </c>
      <c r="S154">
        <v>0.48160999999999998</v>
      </c>
      <c r="X154">
        <v>287486.7</v>
      </c>
      <c r="Y154">
        <v>356799.4</v>
      </c>
    </row>
    <row r="155" spans="1:30" ht="15.75" thickBot="1" x14ac:dyDescent="0.3">
      <c r="Q155" s="64"/>
      <c r="R155" s="64"/>
      <c r="S155" s="64"/>
      <c r="T155" s="64"/>
      <c r="U155" s="64"/>
      <c r="V155" s="64"/>
      <c r="W155" s="64"/>
      <c r="X155" s="64"/>
      <c r="Y155" s="64"/>
    </row>
    <row r="156" spans="1:30" x14ac:dyDescent="0.25">
      <c r="Q156" t="s">
        <v>331</v>
      </c>
      <c r="R156" t="s">
        <v>332</v>
      </c>
      <c r="X156" t="s">
        <v>21</v>
      </c>
      <c r="Y156" t="s">
        <v>21</v>
      </c>
    </row>
    <row r="157" spans="1:30" x14ac:dyDescent="0.25">
      <c r="Q157" t="s">
        <v>21</v>
      </c>
      <c r="X157">
        <v>11.48</v>
      </c>
      <c r="Y157">
        <v>11.48</v>
      </c>
    </row>
    <row r="158" spans="1:30" ht="15.75" thickBot="1" x14ac:dyDescent="0.3"/>
    <row r="159" spans="1:30" ht="15.75" thickBot="1" x14ac:dyDescent="0.3">
      <c r="A159" s="64"/>
      <c r="B159" s="93" t="s">
        <v>335</v>
      </c>
      <c r="C159" s="94">
        <f>((MAX(B153:B154,D153:D154)-MIN(B153:B154,D153:D154))/AVERAGE(MAX(B153:B154,D153:D154),MIN(B153:B154,D153:D154)))</f>
        <v>0.3800530608483812</v>
      </c>
      <c r="D159" s="72" t="s">
        <v>337</v>
      </c>
      <c r="E159" s="95">
        <f>C159/G159</f>
        <v>0.1900265304241906</v>
      </c>
      <c r="F159" s="72" t="s">
        <v>336</v>
      </c>
      <c r="G159" s="73">
        <v>2</v>
      </c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</row>
    <row r="160" spans="1:30" ht="30.75" thickBot="1" x14ac:dyDescent="0.3">
      <c r="A160" t="s">
        <v>0</v>
      </c>
      <c r="B160" s="39" t="s">
        <v>177</v>
      </c>
      <c r="C160" s="77" t="s">
        <v>338</v>
      </c>
      <c r="R160" t="s">
        <v>320</v>
      </c>
      <c r="S160" t="s">
        <v>321</v>
      </c>
      <c r="T160" t="s">
        <v>322</v>
      </c>
      <c r="U160" t="s">
        <v>323</v>
      </c>
      <c r="X160" t="s">
        <v>324</v>
      </c>
      <c r="Y160" t="s">
        <v>325</v>
      </c>
    </row>
    <row r="161" spans="1:30" x14ac:dyDescent="0.25">
      <c r="A161">
        <v>112</v>
      </c>
      <c r="B161">
        <v>1.2329547187846371E-5</v>
      </c>
      <c r="C161" s="55">
        <v>1.6408E-7</v>
      </c>
      <c r="N161" s="65" t="s">
        <v>178</v>
      </c>
      <c r="R161" t="s">
        <v>11</v>
      </c>
      <c r="S161">
        <v>9.7000000000000003E-3</v>
      </c>
      <c r="T161" t="s">
        <v>30</v>
      </c>
      <c r="U161">
        <v>0.24129999999999999</v>
      </c>
      <c r="X161">
        <v>7867.28</v>
      </c>
    </row>
    <row r="162" spans="1:30" ht="15.75" thickBot="1" x14ac:dyDescent="0.3">
      <c r="A162">
        <v>114</v>
      </c>
      <c r="B162">
        <v>1.1788114008923246E-5</v>
      </c>
      <c r="C162" s="55">
        <v>1.7823E-7</v>
      </c>
      <c r="N162" s="66" t="s">
        <v>11</v>
      </c>
      <c r="R162" t="s">
        <v>11</v>
      </c>
      <c r="S162">
        <v>6.6E-3</v>
      </c>
      <c r="T162" t="s">
        <v>30</v>
      </c>
      <c r="U162">
        <v>0.2873</v>
      </c>
      <c r="X162">
        <v>5598.86</v>
      </c>
    </row>
    <row r="163" spans="1:30" x14ac:dyDescent="0.25">
      <c r="A163">
        <v>115</v>
      </c>
      <c r="B163">
        <v>1.1560064736362522E-5</v>
      </c>
      <c r="C163" s="55">
        <v>2.2828999999999999E-7</v>
      </c>
      <c r="R163" t="s">
        <v>11</v>
      </c>
      <c r="S163">
        <v>3.3999999999999998E-3</v>
      </c>
      <c r="T163" t="s">
        <v>22</v>
      </c>
      <c r="U163">
        <v>0.95709999999999995</v>
      </c>
      <c r="X163">
        <v>2941.16</v>
      </c>
    </row>
    <row r="164" spans="1:30" x14ac:dyDescent="0.25">
      <c r="A164">
        <v>116</v>
      </c>
      <c r="B164">
        <v>1.1643714508292503E-5</v>
      </c>
      <c r="C164" s="55">
        <v>8.8682E-8</v>
      </c>
      <c r="R164" t="s">
        <v>11</v>
      </c>
      <c r="S164">
        <v>0.1454</v>
      </c>
      <c r="T164" t="s">
        <v>30</v>
      </c>
      <c r="U164">
        <v>7.4899999999999994E-2</v>
      </c>
      <c r="X164">
        <v>124874.2</v>
      </c>
    </row>
    <row r="165" spans="1:30" x14ac:dyDescent="0.25">
      <c r="A165">
        <v>117</v>
      </c>
      <c r="B165">
        <v>1.1577727708125483E-5</v>
      </c>
      <c r="C165" s="55">
        <v>9.3396999999999999E-8</v>
      </c>
      <c r="R165" t="s">
        <v>11</v>
      </c>
      <c r="S165">
        <v>7.6799999999999993E-2</v>
      </c>
      <c r="X165">
        <v>66334.259999999995</v>
      </c>
    </row>
    <row r="166" spans="1:30" x14ac:dyDescent="0.25">
      <c r="A166">
        <v>118</v>
      </c>
      <c r="B166">
        <v>1.158487499384165E-5</v>
      </c>
      <c r="C166" s="55">
        <v>8.5746000000000006E-8</v>
      </c>
      <c r="R166" t="s">
        <v>11</v>
      </c>
      <c r="S166">
        <v>0.2422</v>
      </c>
      <c r="X166">
        <v>209065.7</v>
      </c>
    </row>
    <row r="167" spans="1:30" x14ac:dyDescent="0.25">
      <c r="A167">
        <v>119</v>
      </c>
      <c r="B167">
        <v>1.1689921763259351E-5</v>
      </c>
      <c r="C167" s="55">
        <v>9.3232999999999998E-8</v>
      </c>
      <c r="R167" t="s">
        <v>11</v>
      </c>
      <c r="S167">
        <v>8.5900000000000004E-2</v>
      </c>
      <c r="X167">
        <v>73482.100000000006</v>
      </c>
    </row>
    <row r="168" spans="1:30" x14ac:dyDescent="0.25">
      <c r="A168">
        <v>120</v>
      </c>
      <c r="B168" s="52">
        <f>MassSpecRept!AR23</f>
        <v>1.1755210180595706E-5</v>
      </c>
      <c r="C168" s="55">
        <v>8.6070000000000002E-8</v>
      </c>
      <c r="D168" s="67" t="s">
        <v>190</v>
      </c>
      <c r="E168" s="67"/>
      <c r="R168" t="s">
        <v>11</v>
      </c>
      <c r="S168">
        <v>0.32579999999999998</v>
      </c>
      <c r="T168" t="s">
        <v>31</v>
      </c>
      <c r="U168">
        <v>8.9999999999999998E-4</v>
      </c>
      <c r="X168">
        <v>277266.8</v>
      </c>
    </row>
    <row r="169" spans="1:30" x14ac:dyDescent="0.25">
      <c r="A169">
        <v>122</v>
      </c>
      <c r="B169" s="52">
        <f>MassSpecRept!AT23</f>
        <v>1.1703094232123653E-5</v>
      </c>
      <c r="C169" s="55">
        <v>1.0348E-7</v>
      </c>
      <c r="D169" s="67" t="s">
        <v>190</v>
      </c>
      <c r="E169" s="67"/>
      <c r="R169" t="s">
        <v>11</v>
      </c>
      <c r="S169">
        <v>4.6300000000000001E-2</v>
      </c>
      <c r="T169" t="s">
        <v>31</v>
      </c>
      <c r="U169">
        <v>2.5499999999999998E-2</v>
      </c>
      <c r="X169">
        <v>42785.18</v>
      </c>
    </row>
    <row r="170" spans="1:30" x14ac:dyDescent="0.25">
      <c r="A170">
        <v>124</v>
      </c>
      <c r="B170" s="52">
        <v>1.1863E-5</v>
      </c>
      <c r="C170" s="55">
        <v>1.0206E-7</v>
      </c>
      <c r="D170" s="67" t="s">
        <v>190</v>
      </c>
      <c r="E170" s="67"/>
      <c r="R170" t="s">
        <v>11</v>
      </c>
      <c r="S170">
        <v>5.79E-2</v>
      </c>
      <c r="T170" t="s">
        <v>12</v>
      </c>
      <c r="U170">
        <v>8.9999999999999998E-4</v>
      </c>
      <c r="V170" t="s">
        <v>31</v>
      </c>
      <c r="W170">
        <v>4.7399999999999998E-2</v>
      </c>
      <c r="X170">
        <v>55180.12</v>
      </c>
    </row>
    <row r="171" spans="1:30" ht="15.75" thickBot="1" x14ac:dyDescent="0.3">
      <c r="C171" t="s">
        <v>340</v>
      </c>
      <c r="Q171" s="64"/>
      <c r="R171" s="64"/>
      <c r="S171" s="64"/>
      <c r="T171" s="64"/>
      <c r="U171" s="64"/>
      <c r="V171" s="64"/>
      <c r="W171" s="64"/>
      <c r="X171" s="64"/>
    </row>
    <row r="172" spans="1:30" x14ac:dyDescent="0.25">
      <c r="A172" t="s">
        <v>141</v>
      </c>
      <c r="C172" s="92">
        <f>C161/B161</f>
        <v>1.3307869096907217E-2</v>
      </c>
      <c r="Q172" t="s">
        <v>331</v>
      </c>
      <c r="R172" t="s">
        <v>332</v>
      </c>
      <c r="X172" t="s">
        <v>11</v>
      </c>
    </row>
    <row r="173" spans="1:30" x14ac:dyDescent="0.25">
      <c r="A173" t="s">
        <v>142</v>
      </c>
      <c r="C173" s="92">
        <f t="shared" ref="C173:C174" si="7">C162/B162</f>
        <v>1.5119466936363636E-2</v>
      </c>
      <c r="Q173" t="s">
        <v>11</v>
      </c>
      <c r="R173" t="s">
        <v>31</v>
      </c>
      <c r="X173">
        <v>10</v>
      </c>
    </row>
    <row r="174" spans="1:30" ht="15.75" thickBot="1" x14ac:dyDescent="0.3">
      <c r="C174" s="92">
        <f t="shared" si="7"/>
        <v>1.9748159305882355E-2</v>
      </c>
      <c r="Q174" t="s">
        <v>30</v>
      </c>
      <c r="R174" t="s">
        <v>12</v>
      </c>
      <c r="X174" t="s">
        <v>31</v>
      </c>
    </row>
    <row r="175" spans="1:30" ht="15.75" thickBot="1" x14ac:dyDescent="0.3">
      <c r="A175" s="64"/>
      <c r="B175" s="93" t="s">
        <v>335</v>
      </c>
      <c r="C175" s="94">
        <f>((MAX(B161:B170)-MIN(B161:B170))/AVERAGE(MAX(B161:B170),MIN(B161:B170)))</f>
        <v>6.4419836866758173E-2</v>
      </c>
      <c r="D175" s="72" t="s">
        <v>337</v>
      </c>
      <c r="E175" s="95">
        <f>C175/G175</f>
        <v>5.3683197388965142E-3</v>
      </c>
      <c r="F175" s="72" t="s">
        <v>336</v>
      </c>
      <c r="G175" s="73">
        <f>124-112</f>
        <v>12</v>
      </c>
      <c r="H175" s="64"/>
      <c r="I175" s="64"/>
      <c r="J175" s="64"/>
      <c r="K175" s="64"/>
      <c r="L175" s="64"/>
      <c r="M175" s="64"/>
      <c r="N175" s="64"/>
      <c r="O175" s="64"/>
      <c r="P175" s="64"/>
      <c r="Q175" s="64" t="s">
        <v>22</v>
      </c>
      <c r="R175" s="64"/>
      <c r="S175" s="64"/>
      <c r="T175" s="64"/>
      <c r="U175" s="64"/>
      <c r="V175" s="64"/>
      <c r="W175" s="64"/>
      <c r="X175" s="64">
        <v>10</v>
      </c>
      <c r="Y175" s="64"/>
      <c r="Z175" s="64"/>
      <c r="AA175" s="64"/>
      <c r="AB175" s="64"/>
      <c r="AC175" s="64"/>
      <c r="AD175" s="64"/>
    </row>
    <row r="176" spans="1:30" ht="30.75" thickBot="1" x14ac:dyDescent="0.3">
      <c r="A176" t="s">
        <v>0</v>
      </c>
      <c r="B176" s="39" t="s">
        <v>179</v>
      </c>
      <c r="C176" s="77" t="s">
        <v>338</v>
      </c>
      <c r="R176" t="s">
        <v>320</v>
      </c>
      <c r="S176" t="s">
        <v>321</v>
      </c>
      <c r="T176" t="s">
        <v>322</v>
      </c>
      <c r="U176" t="s">
        <v>323</v>
      </c>
      <c r="X176" t="s">
        <v>324</v>
      </c>
      <c r="Y176" t="s">
        <v>325</v>
      </c>
    </row>
    <row r="177" spans="1:30" x14ac:dyDescent="0.25">
      <c r="A177">
        <v>120</v>
      </c>
      <c r="B177" s="55">
        <v>7.9604000000000006E-5</v>
      </c>
      <c r="C177" s="55">
        <f>0.00143*0.05</f>
        <v>7.1500000000000003E-5</v>
      </c>
      <c r="D177" s="67" t="s">
        <v>189</v>
      </c>
      <c r="E177" s="67"/>
      <c r="N177" s="65" t="s">
        <v>180</v>
      </c>
      <c r="R177" t="s">
        <v>11</v>
      </c>
      <c r="S177">
        <v>0.32579999999999998</v>
      </c>
      <c r="T177" t="s">
        <v>31</v>
      </c>
      <c r="U177">
        <v>8.9999999999999998E-4</v>
      </c>
      <c r="X177">
        <v>277266.8</v>
      </c>
    </row>
    <row r="178" spans="1:30" ht="15.75" thickBot="1" x14ac:dyDescent="0.3">
      <c r="A178">
        <v>122</v>
      </c>
      <c r="B178" s="55">
        <v>7.9118999999999999E-5</v>
      </c>
      <c r="C178" s="55">
        <v>8.5590000000000006E-6</v>
      </c>
      <c r="D178" s="67" t="s">
        <v>189</v>
      </c>
      <c r="E178" s="67"/>
      <c r="N178" s="66" t="s">
        <v>31</v>
      </c>
      <c r="R178" t="s">
        <v>11</v>
      </c>
      <c r="S178">
        <v>4.6300000000000001E-2</v>
      </c>
      <c r="T178" t="s">
        <v>31</v>
      </c>
      <c r="U178">
        <v>2.5499999999999998E-2</v>
      </c>
      <c r="X178">
        <v>42785.18</v>
      </c>
    </row>
    <row r="179" spans="1:30" ht="45" x14ac:dyDescent="0.25">
      <c r="A179">
        <v>123</v>
      </c>
      <c r="B179">
        <f>MassSpecRept!AU23</f>
        <v>6.3258246769317162E-5</v>
      </c>
      <c r="C179" s="55">
        <v>6.9642999999999997E-5</v>
      </c>
      <c r="D179" s="68" t="s">
        <v>186</v>
      </c>
      <c r="E179" s="68"/>
      <c r="R179" t="s">
        <v>23</v>
      </c>
      <c r="S179">
        <v>0.4279</v>
      </c>
      <c r="T179" t="s">
        <v>31</v>
      </c>
      <c r="U179">
        <v>8.8999999999999999E-3</v>
      </c>
      <c r="X179">
        <v>143425.60000000001</v>
      </c>
    </row>
    <row r="180" spans="1:30" x14ac:dyDescent="0.25">
      <c r="A180">
        <v>124</v>
      </c>
      <c r="B180" s="55">
        <v>7.4377999999999998E-5</v>
      </c>
      <c r="C180" s="55">
        <v>4.9007000000000004E-6</v>
      </c>
      <c r="D180" s="67" t="s">
        <v>189</v>
      </c>
      <c r="E180" s="67"/>
      <c r="R180" t="s">
        <v>11</v>
      </c>
      <c r="S180">
        <v>5.79E-2</v>
      </c>
      <c r="T180" t="s">
        <v>12</v>
      </c>
      <c r="U180">
        <v>8.9999999999999998E-4</v>
      </c>
      <c r="V180" t="s">
        <v>329</v>
      </c>
      <c r="W180">
        <v>4.7399999999999998E-2</v>
      </c>
      <c r="X180">
        <v>55180.12</v>
      </c>
    </row>
    <row r="181" spans="1:30" x14ac:dyDescent="0.25">
      <c r="A181">
        <v>125</v>
      </c>
      <c r="B181">
        <v>7.3141916007837666E-5</v>
      </c>
      <c r="C181" s="55">
        <v>9.0605999999999995E-7</v>
      </c>
      <c r="R181" t="s">
        <v>31</v>
      </c>
      <c r="S181">
        <v>7.0699999999999999E-2</v>
      </c>
      <c r="X181">
        <v>9666.14</v>
      </c>
    </row>
    <row r="182" spans="1:30" x14ac:dyDescent="0.25">
      <c r="A182">
        <v>126</v>
      </c>
      <c r="B182">
        <v>7.1828508292685154E-5</v>
      </c>
      <c r="C182" s="55">
        <v>6.7428999999999998E-7</v>
      </c>
      <c r="R182" t="s">
        <v>12</v>
      </c>
      <c r="S182">
        <v>8.9999999999999998E-4</v>
      </c>
      <c r="T182" t="s">
        <v>31</v>
      </c>
      <c r="U182">
        <v>0.18840000000000001</v>
      </c>
      <c r="X182">
        <v>26229.14</v>
      </c>
    </row>
    <row r="183" spans="1:30" x14ac:dyDescent="0.25">
      <c r="A183">
        <v>128</v>
      </c>
      <c r="B183">
        <v>6.929453188858384E-5</v>
      </c>
      <c r="C183" s="55">
        <v>5.8729999999999997E-7</v>
      </c>
      <c r="R183" t="s">
        <v>12</v>
      </c>
      <c r="S183">
        <v>1.9199999999999998E-2</v>
      </c>
      <c r="T183" t="s">
        <v>31</v>
      </c>
      <c r="U183">
        <v>0.31740000000000002</v>
      </c>
      <c r="X183">
        <v>45804.480000000003</v>
      </c>
    </row>
    <row r="184" spans="1:30" x14ac:dyDescent="0.25">
      <c r="A184">
        <v>130</v>
      </c>
      <c r="B184">
        <v>6.6845732680619789E-5</v>
      </c>
      <c r="C184" s="55">
        <v>5.5772999999999995E-7</v>
      </c>
      <c r="R184" t="s">
        <v>12</v>
      </c>
      <c r="S184">
        <v>4.0800000000000003E-2</v>
      </c>
      <c r="T184" t="s">
        <v>25</v>
      </c>
      <c r="U184">
        <v>1.06E-3</v>
      </c>
      <c r="V184" t="s">
        <v>31</v>
      </c>
      <c r="W184">
        <v>0.34079999999999999</v>
      </c>
      <c r="X184">
        <v>50983.06</v>
      </c>
    </row>
    <row r="185" spans="1:30" ht="15.75" thickBot="1" x14ac:dyDescent="0.3">
      <c r="C185" t="s">
        <v>340</v>
      </c>
      <c r="Q185" s="64"/>
      <c r="R185" s="64"/>
      <c r="S185" s="64"/>
      <c r="T185" s="64"/>
      <c r="U185" s="64"/>
      <c r="V185" s="64"/>
      <c r="W185" s="64"/>
      <c r="X185" s="64"/>
      <c r="Y185" s="64"/>
    </row>
    <row r="186" spans="1:30" x14ac:dyDescent="0.25">
      <c r="A186" t="s">
        <v>141</v>
      </c>
      <c r="B186" s="55">
        <v>-1.2582000000000001E-6</v>
      </c>
      <c r="C186" s="92">
        <f>C177/B177</f>
        <v>0.89819607054921857</v>
      </c>
      <c r="D186" t="s">
        <v>188</v>
      </c>
      <c r="Q186" t="s">
        <v>331</v>
      </c>
      <c r="R186" t="s">
        <v>332</v>
      </c>
      <c r="X186" t="s">
        <v>11</v>
      </c>
      <c r="Y186">
        <v>10</v>
      </c>
    </row>
    <row r="187" spans="1:30" x14ac:dyDescent="0.25">
      <c r="A187" t="s">
        <v>142</v>
      </c>
      <c r="B187">
        <v>2.3038E-4</v>
      </c>
      <c r="C187" s="92">
        <f>C178/B178</f>
        <v>0.10817881924695712</v>
      </c>
      <c r="Q187" t="s">
        <v>11</v>
      </c>
      <c r="R187" t="s">
        <v>25</v>
      </c>
      <c r="X187" t="s">
        <v>31</v>
      </c>
      <c r="Y187">
        <v>10</v>
      </c>
    </row>
    <row r="188" spans="1:30" x14ac:dyDescent="0.25">
      <c r="C188" s="92">
        <f>C179/B179</f>
        <v>1.1009315552795198</v>
      </c>
      <c r="Q188" t="s">
        <v>31</v>
      </c>
      <c r="X188" t="s">
        <v>23</v>
      </c>
      <c r="Y188">
        <v>10</v>
      </c>
    </row>
    <row r="189" spans="1:30" x14ac:dyDescent="0.25">
      <c r="A189">
        <v>123</v>
      </c>
      <c r="B189" s="55">
        <f>A189*B186+B187</f>
        <v>7.5621400000000001E-5</v>
      </c>
      <c r="C189" s="92">
        <f>C180/B180</f>
        <v>6.5889106994003604E-2</v>
      </c>
      <c r="Q189" t="s">
        <v>23</v>
      </c>
    </row>
    <row r="190" spans="1:30" ht="15.75" thickBot="1" x14ac:dyDescent="0.3">
      <c r="Q190" t="s">
        <v>12</v>
      </c>
    </row>
    <row r="191" spans="1:30" ht="15.75" thickBot="1" x14ac:dyDescent="0.3">
      <c r="A191" s="64"/>
      <c r="B191" s="93" t="s">
        <v>335</v>
      </c>
      <c r="C191" s="94">
        <f>((MAX(B177:B184)-MIN(B177:B184))/AVERAGE(MAX(B177:B184),MIN(B177:B184)))</f>
        <v>0.22883236964733858</v>
      </c>
      <c r="D191" s="72" t="s">
        <v>337</v>
      </c>
      <c r="E191" s="95">
        <f>C191/G191</f>
        <v>2.2883236964733857E-2</v>
      </c>
      <c r="F191" s="72" t="s">
        <v>336</v>
      </c>
      <c r="G191" s="73">
        <f>130-120</f>
        <v>10</v>
      </c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</row>
    <row r="192" spans="1:30" ht="45.75" thickBot="1" x14ac:dyDescent="0.3">
      <c r="A192" t="s">
        <v>0</v>
      </c>
      <c r="B192" s="39" t="s">
        <v>182</v>
      </c>
      <c r="C192" s="77" t="s">
        <v>338</v>
      </c>
      <c r="D192" s="39" t="s">
        <v>183</v>
      </c>
      <c r="E192" s="77" t="s">
        <v>338</v>
      </c>
      <c r="F192" s="39" t="s">
        <v>184</v>
      </c>
      <c r="G192" s="77" t="s">
        <v>338</v>
      </c>
      <c r="R192" t="s">
        <v>320</v>
      </c>
      <c r="S192" t="s">
        <v>321</v>
      </c>
      <c r="T192" t="s">
        <v>322</v>
      </c>
      <c r="U192" t="s">
        <v>323</v>
      </c>
      <c r="X192" t="s">
        <v>324</v>
      </c>
      <c r="Y192" t="s">
        <v>325</v>
      </c>
    </row>
    <row r="193" spans="1:30" x14ac:dyDescent="0.25">
      <c r="A193">
        <v>121</v>
      </c>
      <c r="B193">
        <v>3.1043701814066999E-5</v>
      </c>
      <c r="C193" s="55">
        <v>2.1663E-7</v>
      </c>
      <c r="D193" s="55">
        <v>2.7817000000000002E-5</v>
      </c>
      <c r="E193" s="55">
        <v>1.9313000000000001E-7</v>
      </c>
      <c r="F193">
        <v>3.0294901083785388E-5</v>
      </c>
      <c r="G193" s="55">
        <v>2.2527999999999999E-7</v>
      </c>
      <c r="N193" s="65" t="s">
        <v>181</v>
      </c>
      <c r="R193" t="s">
        <v>23</v>
      </c>
      <c r="S193">
        <v>0.57210000000000005</v>
      </c>
      <c r="X193">
        <v>211563.3</v>
      </c>
      <c r="Y193">
        <v>236105</v>
      </c>
      <c r="Z193">
        <v>188843.66000000003</v>
      </c>
    </row>
    <row r="194" spans="1:30" ht="15.75" thickBot="1" x14ac:dyDescent="0.3">
      <c r="A194">
        <v>123</v>
      </c>
      <c r="B194" s="55">
        <v>3.0750999999999997E-5</v>
      </c>
      <c r="C194" s="55">
        <v>2.1806000000000001E-7</v>
      </c>
      <c r="D194">
        <v>2.7789012022445757E-5</v>
      </c>
      <c r="E194" s="55">
        <v>1.9585E-7</v>
      </c>
      <c r="F194" s="85">
        <v>3.0130000000000001E-5</v>
      </c>
      <c r="G194" s="85">
        <v>2.2770999999999999E-7</v>
      </c>
      <c r="H194" t="s">
        <v>187</v>
      </c>
      <c r="J194">
        <f>(1-((AVERAGE(B193,D193)-F193)/(AVERAGE(B193,D193))))*AVERAGE(B194,D194)</f>
        <v>3.012984587349526E-5</v>
      </c>
      <c r="K194" t="s">
        <v>185</v>
      </c>
      <c r="N194" s="66" t="s">
        <v>23</v>
      </c>
      <c r="R194" t="s">
        <v>23</v>
      </c>
      <c r="S194">
        <v>0.4279</v>
      </c>
      <c r="T194" t="s">
        <v>31</v>
      </c>
      <c r="U194">
        <v>8.8999999999999999E-3</v>
      </c>
      <c r="X194">
        <v>159742.79999999999</v>
      </c>
      <c r="Y194">
        <v>176771</v>
      </c>
      <c r="Z194">
        <v>143425.58000000002</v>
      </c>
    </row>
    <row r="195" spans="1:30" ht="15.75" thickBot="1" x14ac:dyDescent="0.3"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30" x14ac:dyDescent="0.25">
      <c r="Q196" t="s">
        <v>331</v>
      </c>
      <c r="R196" t="s">
        <v>332</v>
      </c>
      <c r="X196" t="s">
        <v>23</v>
      </c>
      <c r="Y196" t="s">
        <v>23</v>
      </c>
      <c r="Z196" t="s">
        <v>23</v>
      </c>
    </row>
    <row r="197" spans="1:30" x14ac:dyDescent="0.25">
      <c r="Q197" t="s">
        <v>23</v>
      </c>
      <c r="X197">
        <v>11.48</v>
      </c>
      <c r="Y197">
        <v>11.48</v>
      </c>
      <c r="Z197">
        <v>10</v>
      </c>
    </row>
    <row r="198" spans="1:30" ht="15.75" thickBot="1" x14ac:dyDescent="0.3">
      <c r="Q198" t="s">
        <v>31</v>
      </c>
      <c r="Z198" t="s">
        <v>31</v>
      </c>
    </row>
    <row r="199" spans="1:30" ht="15.75" thickBot="1" x14ac:dyDescent="0.3">
      <c r="A199" s="64"/>
      <c r="B199" s="93" t="s">
        <v>335</v>
      </c>
      <c r="C199" s="94">
        <f>((MAX(B193:B194,D193:D194,F193:F194)-MIN(B193:B194,D193:D194,F193:F194))/AVERAGE(MAX(B193:B194,D193:D194,F193:F194),MIN(B193:B194,D193:D194,F193:F194)))</f>
        <v>0.11064217777427486</v>
      </c>
      <c r="D199" s="72" t="s">
        <v>337</v>
      </c>
      <c r="E199" s="95">
        <f>C199/G199</f>
        <v>5.532108888713743E-2</v>
      </c>
      <c r="F199" s="72" t="s">
        <v>336</v>
      </c>
      <c r="G199" s="73">
        <v>2</v>
      </c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>
        <v>10</v>
      </c>
    </row>
    <row r="200" spans="1:30" ht="15.75" thickBot="1" x14ac:dyDescent="0.3"/>
    <row r="201" spans="1:30" x14ac:dyDescent="0.25">
      <c r="B201" t="s">
        <v>191</v>
      </c>
      <c r="N201" s="65" t="s">
        <v>197</v>
      </c>
    </row>
    <row r="202" spans="1:30" ht="15.75" thickBot="1" x14ac:dyDescent="0.3">
      <c r="N202" s="66" t="s">
        <v>24</v>
      </c>
    </row>
    <row r="204" spans="1:30" ht="15.75" thickBo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</row>
    <row r="205" spans="1:30" ht="45.75" thickBot="1" x14ac:dyDescent="0.3">
      <c r="A205" t="s">
        <v>0</v>
      </c>
      <c r="B205" s="39" t="s">
        <v>192</v>
      </c>
      <c r="C205" s="77" t="s">
        <v>338</v>
      </c>
      <c r="D205" s="39" t="s">
        <v>193</v>
      </c>
      <c r="E205" s="77" t="s">
        <v>338</v>
      </c>
      <c r="F205" s="39" t="s">
        <v>194</v>
      </c>
      <c r="G205" s="77" t="s">
        <v>338</v>
      </c>
      <c r="H205" s="39" t="s">
        <v>195</v>
      </c>
      <c r="I205" s="77" t="s">
        <v>338</v>
      </c>
      <c r="R205" t="s">
        <v>320</v>
      </c>
      <c r="S205" t="s">
        <v>321</v>
      </c>
      <c r="T205" t="s">
        <v>322</v>
      </c>
      <c r="U205" t="s">
        <v>323</v>
      </c>
      <c r="X205" t="s">
        <v>324</v>
      </c>
      <c r="Y205" t="s">
        <v>325</v>
      </c>
    </row>
    <row r="206" spans="1:30" x14ac:dyDescent="0.25">
      <c r="A206">
        <v>130</v>
      </c>
      <c r="B206">
        <v>1.3992273019961364E-5</v>
      </c>
      <c r="C206" s="55">
        <v>4.8345999999999996E-7</v>
      </c>
      <c r="D206">
        <v>1.1158917927556199E-5</v>
      </c>
      <c r="E206" s="55">
        <v>3.4592000000000002E-7</v>
      </c>
      <c r="F206">
        <v>1.2318073087524905E-5</v>
      </c>
      <c r="G206" s="55">
        <v>4.6484999999999998E-7</v>
      </c>
      <c r="H206">
        <v>1.03889173898032E-5</v>
      </c>
      <c r="I206" s="55">
        <v>3.6142999999999997E-7</v>
      </c>
      <c r="N206" s="65" t="s">
        <v>196</v>
      </c>
      <c r="R206" t="s">
        <v>12</v>
      </c>
      <c r="S206">
        <v>4.0800000000000003E-2</v>
      </c>
      <c r="T206" t="s">
        <v>25</v>
      </c>
      <c r="U206">
        <v>1.06E-3</v>
      </c>
      <c r="V206" t="s">
        <v>31</v>
      </c>
      <c r="W206">
        <v>0.34079999999999999</v>
      </c>
      <c r="X206">
        <v>869.68</v>
      </c>
      <c r="Y206">
        <v>1090.5</v>
      </c>
      <c r="Z206">
        <v>732.82</v>
      </c>
      <c r="AA206">
        <v>868.9</v>
      </c>
    </row>
    <row r="207" spans="1:30" ht="15.75" thickBot="1" x14ac:dyDescent="0.3">
      <c r="A207">
        <v>132</v>
      </c>
      <c r="B207">
        <v>1.2055062277765068E-5</v>
      </c>
      <c r="C207" s="55">
        <v>3.9684E-7</v>
      </c>
      <c r="D207">
        <v>1.0813220427500283E-5</v>
      </c>
      <c r="E207" s="55">
        <v>3.3789999999999998E-7</v>
      </c>
      <c r="F207">
        <v>1.2796256427041184E-5</v>
      </c>
      <c r="G207" s="55">
        <v>5.0333999999999995E-7</v>
      </c>
      <c r="H207">
        <v>1.0727278273883766E-5</v>
      </c>
      <c r="I207" s="55">
        <v>3.8776999999999998E-7</v>
      </c>
      <c r="N207" s="66" t="s">
        <v>25</v>
      </c>
      <c r="R207" t="s">
        <v>12</v>
      </c>
      <c r="S207">
        <v>0.26889999999999997</v>
      </c>
      <c r="T207" t="s">
        <v>25</v>
      </c>
      <c r="U207">
        <v>1.01E-3</v>
      </c>
      <c r="X207">
        <v>961.82</v>
      </c>
      <c r="Y207">
        <v>1072.28</v>
      </c>
      <c r="Z207">
        <v>672.16</v>
      </c>
      <c r="AA207">
        <v>801.8</v>
      </c>
    </row>
    <row r="208" spans="1:30" x14ac:dyDescent="0.25">
      <c r="A208">
        <v>134</v>
      </c>
      <c r="B208">
        <v>1.2063332237740226E-5</v>
      </c>
      <c r="C208" s="55">
        <v>1.1281E-7</v>
      </c>
      <c r="D208">
        <v>1.0322757779133619E-5</v>
      </c>
      <c r="E208" s="55">
        <v>9.3002000000000001E-8</v>
      </c>
      <c r="F208">
        <v>1.1665159713776299E-5</v>
      </c>
      <c r="G208" s="55">
        <v>1.2571999999999999E-7</v>
      </c>
      <c r="H208">
        <v>1.0339267883281342E-5</v>
      </c>
      <c r="I208" s="55">
        <v>1.0829E-7</v>
      </c>
      <c r="R208" t="s">
        <v>12</v>
      </c>
      <c r="S208">
        <v>0.10440000000000001</v>
      </c>
      <c r="T208" t="s">
        <v>25</v>
      </c>
      <c r="U208">
        <v>2.4170000000000001E-2</v>
      </c>
      <c r="X208">
        <v>23001.24</v>
      </c>
      <c r="Y208">
        <v>26879.599999999999</v>
      </c>
      <c r="Z208">
        <v>17644.939999999999</v>
      </c>
      <c r="AA208">
        <v>19907.7</v>
      </c>
    </row>
    <row r="209" spans="1:30" x14ac:dyDescent="0.25">
      <c r="A209">
        <v>135</v>
      </c>
      <c r="B209">
        <v>1.2106000708992044E-5</v>
      </c>
      <c r="C209" s="55">
        <v>9.3746999999999999E-8</v>
      </c>
      <c r="D209">
        <v>1.037757759031611E-5</v>
      </c>
      <c r="E209" s="55">
        <v>7.8815999999999996E-8</v>
      </c>
      <c r="F209">
        <v>1.1742998609765946E-5</v>
      </c>
      <c r="G209" s="55">
        <v>1.0529E-7</v>
      </c>
      <c r="H209">
        <v>1.0438860064540341E-5</v>
      </c>
      <c r="I209" s="55">
        <v>9.2234000000000004E-8</v>
      </c>
      <c r="R209" t="s">
        <v>25</v>
      </c>
      <c r="S209">
        <v>6.5920000000000006E-2</v>
      </c>
      <c r="X209">
        <v>62511.28</v>
      </c>
      <c r="Y209">
        <v>72922.759999999995</v>
      </c>
      <c r="Z209">
        <v>47804.9</v>
      </c>
      <c r="AA209">
        <v>53777.2</v>
      </c>
    </row>
    <row r="210" spans="1:30" x14ac:dyDescent="0.25">
      <c r="A210">
        <v>136</v>
      </c>
      <c r="B210">
        <v>1.1797912739543089E-5</v>
      </c>
      <c r="C210" s="55">
        <v>8.9115000000000001E-8</v>
      </c>
      <c r="D210">
        <v>1.0471866213091354E-5</v>
      </c>
      <c r="E210" s="55">
        <v>7.8073E-8</v>
      </c>
      <c r="F210">
        <v>1.167047410733261E-5</v>
      </c>
      <c r="G210" s="55">
        <v>1.0236E-7</v>
      </c>
      <c r="H210">
        <v>1.0315185091599789E-5</v>
      </c>
      <c r="I210" s="55">
        <v>8.9269000000000003E-8</v>
      </c>
      <c r="R210" t="s">
        <v>13</v>
      </c>
      <c r="S210">
        <v>1.8500000000000001E-3</v>
      </c>
      <c r="T210" t="s">
        <v>25</v>
      </c>
      <c r="U210">
        <v>7.8539999999999999E-2</v>
      </c>
      <c r="V210" t="s">
        <v>12</v>
      </c>
      <c r="W210">
        <v>8.8700000000000001E-2</v>
      </c>
      <c r="X210">
        <v>76423.62</v>
      </c>
      <c r="Y210">
        <v>86101.1</v>
      </c>
      <c r="Z210">
        <v>57310.82</v>
      </c>
      <c r="AA210">
        <v>64840.76</v>
      </c>
    </row>
    <row r="211" spans="1:30" x14ac:dyDescent="0.25">
      <c r="A211">
        <v>137</v>
      </c>
      <c r="B211">
        <v>1.1735813996837039E-5</v>
      </c>
      <c r="C211" s="55">
        <v>8.5494999999999999E-8</v>
      </c>
      <c r="D211">
        <v>1.00972470957663E-5</v>
      </c>
      <c r="E211" s="55">
        <v>7.2672000000000004E-8</v>
      </c>
      <c r="F211">
        <v>1.159712263453678E-5</v>
      </c>
      <c r="G211" s="55">
        <v>9.8129000000000005E-8</v>
      </c>
      <c r="H211">
        <v>1.0176074637783849E-5</v>
      </c>
      <c r="I211" s="55">
        <v>8.5207000000000003E-8</v>
      </c>
      <c r="R211" t="s">
        <v>25</v>
      </c>
      <c r="S211">
        <v>0.11232</v>
      </c>
      <c r="X211">
        <v>109871.7</v>
      </c>
      <c r="Y211">
        <v>127701.5</v>
      </c>
      <c r="Z211">
        <v>82478.559999999998</v>
      </c>
      <c r="AA211">
        <v>93996.36</v>
      </c>
    </row>
    <row r="212" spans="1:30" x14ac:dyDescent="0.25">
      <c r="A212">
        <v>138</v>
      </c>
      <c r="B212" s="87">
        <f>B220</f>
        <v>1.1699323695286571E-5</v>
      </c>
      <c r="C212" s="74">
        <v>7.8817999999999998E-8</v>
      </c>
      <c r="D212" s="87">
        <f>D220</f>
        <v>1.0241204308391281E-5</v>
      </c>
      <c r="E212" s="74">
        <v>6.8859999999999996E-8</v>
      </c>
      <c r="F212" s="63">
        <v>1.1553601763718688E-5</v>
      </c>
      <c r="G212" s="86">
        <v>9.0508999999999993E-8</v>
      </c>
      <c r="H212" s="63">
        <v>1.0124721269288153E-5</v>
      </c>
      <c r="I212" s="55">
        <v>7.9163999999999993E-8</v>
      </c>
      <c r="R212" t="s">
        <v>13</v>
      </c>
      <c r="S212">
        <v>2.5100000000000001E-3</v>
      </c>
      <c r="T212" t="s">
        <v>25</v>
      </c>
      <c r="U212">
        <v>0.71697999999999995</v>
      </c>
      <c r="V212" t="s">
        <v>33</v>
      </c>
      <c r="W212">
        <v>8.9999999999999998E-4</v>
      </c>
      <c r="X212">
        <v>704422.1</v>
      </c>
      <c r="Y212">
        <v>804716.1</v>
      </c>
      <c r="Z212">
        <v>528474.30000000005</v>
      </c>
      <c r="AA212">
        <v>603056.80000000005</v>
      </c>
    </row>
    <row r="213" spans="1:30" ht="15.75" thickBot="1" x14ac:dyDescent="0.3">
      <c r="C213" t="s">
        <v>340</v>
      </c>
      <c r="E213" t="s">
        <v>340</v>
      </c>
      <c r="G213" t="s">
        <v>340</v>
      </c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spans="1:30" x14ac:dyDescent="0.25">
      <c r="A214" t="s">
        <v>141</v>
      </c>
      <c r="B214" s="55">
        <v>-2.6971E-7</v>
      </c>
      <c r="C214" s="92">
        <f>C206/B206</f>
        <v>3.4551927289461576E-2</v>
      </c>
      <c r="D214" s="55">
        <v>-1.3673999999999999E-7</v>
      </c>
      <c r="E214" s="92">
        <f>E206/D206</f>
        <v>3.0999421471303572E-2</v>
      </c>
      <c r="F214" s="55">
        <v>-1.3414000000000001E-7</v>
      </c>
      <c r="G214" s="92">
        <f>G206/F206</f>
        <v>3.7737233469638656E-2</v>
      </c>
      <c r="H214" s="55">
        <v>-4.9216000000000002E-8</v>
      </c>
      <c r="Q214" t="s">
        <v>331</v>
      </c>
      <c r="R214" t="s">
        <v>332</v>
      </c>
      <c r="X214" t="s">
        <v>33</v>
      </c>
      <c r="Y214" t="s">
        <v>33</v>
      </c>
      <c r="Z214" t="s">
        <v>25</v>
      </c>
      <c r="AA214" t="s">
        <v>25</v>
      </c>
    </row>
    <row r="215" spans="1:30" x14ac:dyDescent="0.25">
      <c r="A215" t="s">
        <v>142</v>
      </c>
      <c r="B215" s="55">
        <v>4.8433000000000002E-5</v>
      </c>
      <c r="C215" s="92">
        <f t="shared" ref="C215:E218" si="8">C207/B207</f>
        <v>3.2918950633042406E-2</v>
      </c>
      <c r="D215" s="55">
        <v>2.8863000000000001E-5</v>
      </c>
      <c r="E215" s="92">
        <f t="shared" si="8"/>
        <v>3.1248784972573902E-2</v>
      </c>
      <c r="F215" s="55">
        <v>2.9957000000000001E-5</v>
      </c>
      <c r="G215" s="92">
        <f t="shared" ref="G215" si="9">G207/F207</f>
        <v>3.933494165811937E-2</v>
      </c>
      <c r="H215" s="55">
        <v>1.6982000000000001E-5</v>
      </c>
      <c r="Q215" t="s">
        <v>12</v>
      </c>
      <c r="X215">
        <v>11.48</v>
      </c>
      <c r="Y215">
        <v>11.48</v>
      </c>
      <c r="Z215">
        <v>8.5159719999999997</v>
      </c>
      <c r="AA215">
        <v>8.5159719999999997</v>
      </c>
    </row>
    <row r="216" spans="1:30" x14ac:dyDescent="0.25">
      <c r="C216" s="92">
        <f t="shared" si="8"/>
        <v>9.3514791582273646E-3</v>
      </c>
      <c r="E216" s="92">
        <f t="shared" si="8"/>
        <v>9.0094141497724448E-3</v>
      </c>
      <c r="G216" s="92">
        <f t="shared" ref="G216" si="10">G208/F208</f>
        <v>1.0777392087613462E-2</v>
      </c>
      <c r="Q216" t="s">
        <v>25</v>
      </c>
      <c r="X216" t="s">
        <v>25</v>
      </c>
      <c r="Y216" t="s">
        <v>25</v>
      </c>
    </row>
    <row r="217" spans="1:30" x14ac:dyDescent="0.25">
      <c r="A217">
        <v>138</v>
      </c>
      <c r="B217" s="55">
        <f>$A217*B$214+B$215</f>
        <v>1.1213020000000004E-5</v>
      </c>
      <c r="C217" s="92">
        <f>C209/B209</f>
        <v>7.7438455732426149E-3</v>
      </c>
      <c r="D217" s="55">
        <f t="shared" ref="D217:H217" si="11">$A217*D$214+D$215</f>
        <v>9.9928800000000025E-6</v>
      </c>
      <c r="E217" s="92">
        <f>E209/D209</f>
        <v>7.5948360119752374E-3</v>
      </c>
      <c r="F217" s="55">
        <f t="shared" si="11"/>
        <v>1.144568E-5</v>
      </c>
      <c r="G217" s="92">
        <f>G209/F209</f>
        <v>8.9661936868864686E-3</v>
      </c>
      <c r="H217" s="55">
        <f t="shared" si="11"/>
        <v>1.0190192000000001E-5</v>
      </c>
      <c r="Q217" t="s">
        <v>31</v>
      </c>
      <c r="X217">
        <v>11.48</v>
      </c>
      <c r="Y217">
        <v>11.48</v>
      </c>
    </row>
    <row r="218" spans="1:30" x14ac:dyDescent="0.25">
      <c r="C218" s="92">
        <f t="shared" si="8"/>
        <v>7.553454748085487E-3</v>
      </c>
      <c r="E218" s="92">
        <f t="shared" si="8"/>
        <v>7.4555001383036588E-3</v>
      </c>
      <c r="G218" s="92">
        <f t="shared" ref="G218" si="12">G210/F210</f>
        <v>8.7708519001543188E-3</v>
      </c>
      <c r="Q218" t="s">
        <v>13</v>
      </c>
    </row>
    <row r="219" spans="1:30" x14ac:dyDescent="0.25">
      <c r="Q219" t="s">
        <v>33</v>
      </c>
    </row>
    <row r="220" spans="1:30" x14ac:dyDescent="0.25">
      <c r="A220">
        <v>138</v>
      </c>
      <c r="B220" s="55">
        <f>MassSpecRept!BJ13</f>
        <v>1.1699323695286571E-5</v>
      </c>
      <c r="C220" s="55"/>
      <c r="D220">
        <f>MassSpecRept!BJ33</f>
        <v>1.0241204308391281E-5</v>
      </c>
      <c r="F220" t="s">
        <v>316</v>
      </c>
    </row>
    <row r="223" spans="1:30" ht="15.75" thickBot="1" x14ac:dyDescent="0.3"/>
    <row r="224" spans="1:30" ht="15.75" thickBot="1" x14ac:dyDescent="0.3">
      <c r="A224" s="64"/>
      <c r="B224" s="93" t="s">
        <v>335</v>
      </c>
      <c r="C224" s="94">
        <f>((MAX(B206:B212,D206:D212,F206:F212,H206:H212)-MIN(B206:B212,D206:D212,F206:F212,H206:H212))/AVERAGE(MAX(B206:B212,D206:D212,F206:F212,H206:H212),MIN(B206:B212,D206:D212,F206:F212,H206:H212)))</f>
        <v>0.32337928738165805</v>
      </c>
      <c r="D224" s="72" t="s">
        <v>337</v>
      </c>
      <c r="E224" s="95">
        <f>C224/G224</f>
        <v>4.0422410922707257E-2</v>
      </c>
      <c r="F224" s="72" t="s">
        <v>336</v>
      </c>
      <c r="G224" s="73">
        <f>138-130</f>
        <v>8</v>
      </c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</row>
    <row r="225" spans="1:30" ht="45.75" thickBot="1" x14ac:dyDescent="0.3">
      <c r="A225" t="s">
        <v>0</v>
      </c>
      <c r="B225" s="39" t="s">
        <v>198</v>
      </c>
      <c r="C225" s="77" t="s">
        <v>338</v>
      </c>
      <c r="D225" s="39" t="s">
        <v>199</v>
      </c>
      <c r="E225" s="77" t="s">
        <v>338</v>
      </c>
      <c r="F225" s="39" t="s">
        <v>200</v>
      </c>
      <c r="G225" s="77" t="s">
        <v>338</v>
      </c>
      <c r="H225" s="39" t="s">
        <v>201</v>
      </c>
      <c r="I225" s="77" t="s">
        <v>338</v>
      </c>
      <c r="R225" t="s">
        <v>320</v>
      </c>
      <c r="S225" t="s">
        <v>321</v>
      </c>
      <c r="T225" t="s">
        <v>322</v>
      </c>
      <c r="U225" t="s">
        <v>323</v>
      </c>
      <c r="X225" t="s">
        <v>324</v>
      </c>
      <c r="Y225" t="s">
        <v>325</v>
      </c>
    </row>
    <row r="226" spans="1:30" x14ac:dyDescent="0.25">
      <c r="A226">
        <v>138</v>
      </c>
      <c r="B226" s="55"/>
      <c r="C226" s="55"/>
      <c r="I226" t="s">
        <v>317</v>
      </c>
      <c r="J226" t="s">
        <v>319</v>
      </c>
      <c r="N226" s="65" t="s">
        <v>202</v>
      </c>
      <c r="R226" t="s">
        <v>13</v>
      </c>
      <c r="S226">
        <v>2.5100000000000001E-3</v>
      </c>
      <c r="T226" t="s">
        <v>25</v>
      </c>
      <c r="U226">
        <v>0.71697999999999995</v>
      </c>
      <c r="V226" t="s">
        <v>33</v>
      </c>
      <c r="W226">
        <v>8.9999999999999998E-4</v>
      </c>
      <c r="X226">
        <v>704422.1</v>
      </c>
      <c r="Y226">
        <v>804716.1</v>
      </c>
      <c r="Z226">
        <v>2817.1</v>
      </c>
      <c r="AA226">
        <v>3058.8</v>
      </c>
    </row>
    <row r="227" spans="1:30" ht="15.75" thickBot="1" x14ac:dyDescent="0.3">
      <c r="A227">
        <v>139</v>
      </c>
      <c r="B227" s="8">
        <v>1.250426460095033E-5</v>
      </c>
      <c r="C227" s="56">
        <v>8.3937000000000006E-8</v>
      </c>
      <c r="D227" s="8">
        <v>1.0939621252291547E-5</v>
      </c>
      <c r="E227" s="56">
        <v>7.3323000000000001E-8</v>
      </c>
      <c r="F227" s="8">
        <v>1.2627891018217312E-5</v>
      </c>
      <c r="G227" s="56">
        <v>8.9575000000000006E-8</v>
      </c>
      <c r="H227" s="8">
        <v>1.1947872227888068E-5</v>
      </c>
      <c r="I227" s="55">
        <v>8.4695000000000005E-8</v>
      </c>
      <c r="N227" s="66" t="s">
        <v>33</v>
      </c>
      <c r="R227" t="s">
        <v>33</v>
      </c>
      <c r="S227">
        <v>0.99909999999999999</v>
      </c>
      <c r="X227">
        <v>917260.5</v>
      </c>
      <c r="Y227">
        <v>1048452</v>
      </c>
      <c r="Z227">
        <v>806217.7</v>
      </c>
      <c r="AA227">
        <v>852103.9</v>
      </c>
    </row>
    <row r="228" spans="1:30" ht="15.75" thickBot="1" x14ac:dyDescent="0.3"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30" x14ac:dyDescent="0.25">
      <c r="Q229" t="s">
        <v>331</v>
      </c>
      <c r="R229" t="s">
        <v>332</v>
      </c>
      <c r="X229" t="s">
        <v>33</v>
      </c>
      <c r="Y229" t="s">
        <v>33</v>
      </c>
      <c r="Z229" t="s">
        <v>13</v>
      </c>
      <c r="AA229" t="s">
        <v>13</v>
      </c>
    </row>
    <row r="230" spans="1:30" x14ac:dyDescent="0.25">
      <c r="Q230" t="s">
        <v>13</v>
      </c>
      <c r="X230">
        <v>11.48</v>
      </c>
      <c r="Y230">
        <v>11.48</v>
      </c>
      <c r="Z230">
        <v>10.19</v>
      </c>
      <c r="AA230">
        <v>10.19</v>
      </c>
    </row>
    <row r="231" spans="1:30" x14ac:dyDescent="0.25">
      <c r="Q231" t="s">
        <v>33</v>
      </c>
      <c r="X231" t="s">
        <v>25</v>
      </c>
      <c r="Y231" t="s">
        <v>25</v>
      </c>
      <c r="Z231" t="s">
        <v>33</v>
      </c>
      <c r="AA231" t="s">
        <v>33</v>
      </c>
    </row>
    <row r="232" spans="1:30" ht="15.75" thickBot="1" x14ac:dyDescent="0.3">
      <c r="Q232" t="s">
        <v>25</v>
      </c>
      <c r="X232">
        <v>11.48</v>
      </c>
      <c r="Y232">
        <v>11.48</v>
      </c>
      <c r="Z232">
        <v>10.19</v>
      </c>
      <c r="AA232">
        <v>10.19</v>
      </c>
    </row>
    <row r="233" spans="1:30" ht="15.75" thickBot="1" x14ac:dyDescent="0.3">
      <c r="A233" s="64"/>
      <c r="B233" s="93" t="s">
        <v>335</v>
      </c>
      <c r="C233" s="94">
        <f>((MAX(B227,D227,F227,H227)-MIN(B227,D227,F227,H227))/AVERAGE(MAX(B227,D227,F227,H227),MIN(B227,D227,F227,H227)))</f>
        <v>0.14327093556144041</v>
      </c>
      <c r="D233" s="72" t="s">
        <v>337</v>
      </c>
      <c r="E233" s="95">
        <f>C233/G233</f>
        <v>0.14327093556144041</v>
      </c>
      <c r="F233" s="72" t="s">
        <v>336</v>
      </c>
      <c r="G233" s="73">
        <v>1</v>
      </c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</row>
    <row r="234" spans="1:30" ht="30.75" thickBot="1" x14ac:dyDescent="0.3">
      <c r="A234" t="s">
        <v>0</v>
      </c>
      <c r="B234" s="39" t="s">
        <v>204</v>
      </c>
      <c r="C234" s="77" t="s">
        <v>338</v>
      </c>
      <c r="D234" s="70" t="s">
        <v>205</v>
      </c>
      <c r="E234" s="77" t="s">
        <v>338</v>
      </c>
      <c r="R234" t="s">
        <v>320</v>
      </c>
      <c r="S234" t="s">
        <v>321</v>
      </c>
      <c r="T234" t="s">
        <v>322</v>
      </c>
      <c r="U234" t="s">
        <v>323</v>
      </c>
      <c r="X234" t="s">
        <v>324</v>
      </c>
      <c r="Y234" t="s">
        <v>325</v>
      </c>
    </row>
    <row r="235" spans="1:30" x14ac:dyDescent="0.25">
      <c r="A235">
        <v>136</v>
      </c>
      <c r="B235" s="8">
        <v>1.1208854587832373E-5</v>
      </c>
      <c r="C235" s="56">
        <v>2.8437E-7</v>
      </c>
      <c r="D235" s="8">
        <v>1.1426398031300387E-5</v>
      </c>
      <c r="E235" s="56">
        <v>2.9248999999999999E-7</v>
      </c>
      <c r="N235" s="69" t="s">
        <v>203</v>
      </c>
      <c r="R235" t="s">
        <v>13</v>
      </c>
      <c r="S235">
        <v>1.8500000000000001E-3</v>
      </c>
      <c r="T235" t="s">
        <v>25</v>
      </c>
      <c r="U235">
        <v>7.8539999999999999E-2</v>
      </c>
      <c r="V235" t="s">
        <v>12</v>
      </c>
      <c r="W235">
        <v>8.8700000000000001E-2</v>
      </c>
      <c r="X235">
        <v>1681.84</v>
      </c>
      <c r="Y235">
        <v>1649.82</v>
      </c>
    </row>
    <row r="236" spans="1:30" ht="15.75" thickBot="1" x14ac:dyDescent="0.3">
      <c r="A236">
        <v>138</v>
      </c>
      <c r="B236">
        <f>MassSpecRept!BJ15</f>
        <v>1.2232773432395395E-5</v>
      </c>
      <c r="C236" s="55">
        <v>3.2399999999999999E-7</v>
      </c>
      <c r="D236" s="8">
        <f>MassSpecRept!BJ25</f>
        <v>1.116302616249068E-5</v>
      </c>
      <c r="E236" s="56">
        <v>2.9970000000000002E-7</v>
      </c>
      <c r="F236" t="s">
        <v>318</v>
      </c>
      <c r="N236" s="66" t="s">
        <v>13</v>
      </c>
      <c r="R236" t="s">
        <v>13</v>
      </c>
      <c r="S236">
        <v>2.5100000000000001E-3</v>
      </c>
      <c r="T236" t="s">
        <v>25</v>
      </c>
      <c r="U236">
        <v>0.71697999999999995</v>
      </c>
      <c r="V236" t="s">
        <v>33</v>
      </c>
      <c r="W236">
        <v>8.9999999999999998E-4</v>
      </c>
      <c r="X236">
        <v>2817.1</v>
      </c>
      <c r="Y236">
        <v>3058.8</v>
      </c>
    </row>
    <row r="237" spans="1:30" x14ac:dyDescent="0.25">
      <c r="A237">
        <v>140</v>
      </c>
      <c r="B237" s="8">
        <v>1.184988032653669E-5</v>
      </c>
      <c r="C237" s="56">
        <v>8.4117999999999999E-8</v>
      </c>
      <c r="D237" s="8">
        <v>1.1322345679241876E-5</v>
      </c>
      <c r="E237" s="56">
        <v>8.0327000000000002E-8</v>
      </c>
      <c r="R237" t="s">
        <v>13</v>
      </c>
      <c r="S237">
        <v>0.88449999999999995</v>
      </c>
      <c r="X237">
        <v>760603</v>
      </c>
      <c r="Y237">
        <v>796041.3</v>
      </c>
    </row>
    <row r="238" spans="1:30" x14ac:dyDescent="0.25">
      <c r="A238">
        <v>142</v>
      </c>
      <c r="B238">
        <v>1.2054921112994076E-5</v>
      </c>
      <c r="C238" s="55">
        <v>2.5502999999999997E-7</v>
      </c>
      <c r="D238">
        <v>1.1172269767816761E-5</v>
      </c>
      <c r="E238" s="55">
        <v>2.2851E-7</v>
      </c>
      <c r="R238" t="s">
        <v>13</v>
      </c>
      <c r="S238">
        <v>0.11114</v>
      </c>
      <c r="T238" t="s">
        <v>34</v>
      </c>
      <c r="U238">
        <v>0.27200000000000002</v>
      </c>
      <c r="X238">
        <v>347353.1</v>
      </c>
      <c r="Y238">
        <v>364951.9</v>
      </c>
    </row>
    <row r="239" spans="1:30" ht="15.75" thickBot="1" x14ac:dyDescent="0.3">
      <c r="C239" t="s">
        <v>340</v>
      </c>
      <c r="E239" t="s">
        <v>340</v>
      </c>
      <c r="Q239" s="64"/>
      <c r="R239" s="64"/>
      <c r="S239" s="64"/>
      <c r="T239" s="64"/>
      <c r="U239" s="64"/>
      <c r="V239" s="64"/>
      <c r="W239" s="64"/>
      <c r="X239" s="64"/>
      <c r="Y239" s="64"/>
    </row>
    <row r="240" spans="1:30" x14ac:dyDescent="0.25">
      <c r="C240" s="92">
        <f>C235/B235</f>
        <v>2.5370121252950698E-2</v>
      </c>
      <c r="D240" s="92"/>
      <c r="E240" s="92">
        <f t="shared" ref="E240" si="13">E235/D235</f>
        <v>2.559774298066466E-2</v>
      </c>
      <c r="Q240" t="s">
        <v>331</v>
      </c>
      <c r="R240" t="s">
        <v>332</v>
      </c>
    </row>
    <row r="241" spans="1:30" x14ac:dyDescent="0.25">
      <c r="C241" s="92">
        <f t="shared" ref="C241:E243" si="14">C236/B236</f>
        <v>2.6486225857986403E-2</v>
      </c>
      <c r="D241" s="92"/>
      <c r="E241" s="92">
        <f t="shared" si="14"/>
        <v>2.6847558685030561E-2</v>
      </c>
      <c r="Q241" t="s">
        <v>13</v>
      </c>
      <c r="X241" t="s">
        <v>13</v>
      </c>
      <c r="Y241" t="s">
        <v>13</v>
      </c>
    </row>
    <row r="242" spans="1:30" x14ac:dyDescent="0.25">
      <c r="C242" s="92">
        <f t="shared" si="14"/>
        <v>7.0986370901675406E-3</v>
      </c>
      <c r="D242" s="92"/>
      <c r="E242" s="92">
        <f t="shared" si="14"/>
        <v>7.094554633433392E-3</v>
      </c>
      <c r="Q242" t="s">
        <v>25</v>
      </c>
      <c r="X242">
        <v>10.19</v>
      </c>
      <c r="Y242">
        <v>10.19</v>
      </c>
    </row>
    <row r="243" spans="1:30" x14ac:dyDescent="0.25">
      <c r="C243" s="92">
        <f t="shared" si="14"/>
        <v>2.1155675562663078E-2</v>
      </c>
      <c r="D243" s="92"/>
      <c r="E243" s="92">
        <f t="shared" si="14"/>
        <v>2.0453319222406719E-2</v>
      </c>
      <c r="Q243" t="s">
        <v>34</v>
      </c>
      <c r="X243" t="s">
        <v>34</v>
      </c>
      <c r="Y243" t="s">
        <v>34</v>
      </c>
    </row>
    <row r="244" spans="1:30" x14ac:dyDescent="0.25">
      <c r="Q244" t="s">
        <v>33</v>
      </c>
      <c r="X244">
        <v>10.19</v>
      </c>
      <c r="Y244">
        <v>10.19</v>
      </c>
    </row>
    <row r="245" spans="1:30" x14ac:dyDescent="0.25">
      <c r="Q245" t="s">
        <v>12</v>
      </c>
      <c r="X245" t="s">
        <v>33</v>
      </c>
      <c r="Y245" t="s">
        <v>33</v>
      </c>
    </row>
    <row r="246" spans="1:30" x14ac:dyDescent="0.25">
      <c r="X246">
        <v>10.19</v>
      </c>
      <c r="Y246">
        <v>10.19</v>
      </c>
    </row>
    <row r="254" spans="1:30" ht="15.75" thickBot="1" x14ac:dyDescent="0.3"/>
    <row r="255" spans="1:30" ht="15.75" thickBot="1" x14ac:dyDescent="0.3">
      <c r="A255" s="64"/>
      <c r="B255" s="93" t="s">
        <v>335</v>
      </c>
      <c r="C255" s="94">
        <f>((MAX(B235:B238,D235:D238)-MIN(B235:B238,D235:D238))/AVERAGE(MAX(B235:B238,D235:D238),MIN(B235:B238,D235:D238)))</f>
        <v>9.1447805882090394E-2</v>
      </c>
      <c r="D255" s="72" t="s">
        <v>337</v>
      </c>
      <c r="E255" s="95">
        <f>C255/G255</f>
        <v>1.5241300980348399E-2</v>
      </c>
      <c r="F255" s="72" t="s">
        <v>336</v>
      </c>
      <c r="G255" s="73">
        <f>142-136</f>
        <v>6</v>
      </c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</row>
    <row r="256" spans="1:30" ht="30.75" thickBot="1" x14ac:dyDescent="0.3">
      <c r="A256" t="s">
        <v>0</v>
      </c>
      <c r="B256" s="39" t="s">
        <v>206</v>
      </c>
      <c r="C256" s="77" t="s">
        <v>338</v>
      </c>
      <c r="D256" s="70" t="s">
        <v>207</v>
      </c>
      <c r="E256" s="77" t="s">
        <v>338</v>
      </c>
      <c r="F256" s="1"/>
      <c r="G256" s="1"/>
      <c r="R256" t="s">
        <v>320</v>
      </c>
      <c r="S256" t="s">
        <v>321</v>
      </c>
      <c r="T256" t="s">
        <v>322</v>
      </c>
      <c r="U256" t="s">
        <v>323</v>
      </c>
      <c r="X256" t="s">
        <v>324</v>
      </c>
      <c r="Y256" t="s">
        <v>325</v>
      </c>
    </row>
    <row r="257" spans="1:30" x14ac:dyDescent="0.25">
      <c r="A257">
        <v>133</v>
      </c>
      <c r="B257">
        <v>1.2521469171582777E-5</v>
      </c>
      <c r="C257" s="55">
        <v>5.9638E-7</v>
      </c>
      <c r="D257">
        <v>1.1103831536683074E-5</v>
      </c>
      <c r="E257" s="55">
        <v>5.2870000000000002E-7</v>
      </c>
      <c r="F257" s="1"/>
      <c r="G257" s="1"/>
      <c r="N257" s="65" t="s">
        <v>208</v>
      </c>
      <c r="R257" t="s">
        <v>32</v>
      </c>
      <c r="S257">
        <v>1</v>
      </c>
      <c r="X257">
        <v>84528.18</v>
      </c>
      <c r="Y257">
        <v>95319.98</v>
      </c>
    </row>
    <row r="258" spans="1:30" ht="15.75" thickBot="1" x14ac:dyDescent="0.3">
      <c r="C258" t="s">
        <v>340</v>
      </c>
      <c r="E258" t="s">
        <v>340</v>
      </c>
      <c r="N258" s="66" t="s">
        <v>32</v>
      </c>
      <c r="Q258" s="64"/>
      <c r="R258" s="64"/>
      <c r="S258" s="64"/>
      <c r="T258" s="64"/>
      <c r="U258" s="64"/>
      <c r="V258" s="64"/>
      <c r="W258" s="64"/>
      <c r="X258" s="64"/>
      <c r="Y258" s="64"/>
    </row>
    <row r="259" spans="1:30" x14ac:dyDescent="0.25">
      <c r="C259" s="92">
        <f>C257/B257</f>
        <v>4.7628596279538221E-2</v>
      </c>
      <c r="D259" s="92"/>
      <c r="E259" s="92">
        <f t="shared" ref="E259" si="15">E257/D257</f>
        <v>4.7614194996867969E-2</v>
      </c>
      <c r="Q259" t="s">
        <v>331</v>
      </c>
      <c r="R259" t="s">
        <v>332</v>
      </c>
      <c r="X259" t="s">
        <v>32</v>
      </c>
      <c r="Y259" t="s">
        <v>32</v>
      </c>
    </row>
    <row r="260" spans="1:30" ht="15.75" thickBot="1" x14ac:dyDescent="0.3">
      <c r="Q260" t="s">
        <v>32</v>
      </c>
      <c r="X260">
        <v>1.0584169999999999</v>
      </c>
      <c r="Y260">
        <v>1.0584169999999999</v>
      </c>
    </row>
    <row r="261" spans="1:30" ht="15.75" thickBot="1" x14ac:dyDescent="0.3">
      <c r="A261" s="64"/>
      <c r="B261" s="93" t="s">
        <v>335</v>
      </c>
      <c r="C261" s="94">
        <f>((MAX(B257,D257)-MIN(B257,D257))/AVERAGE(MAX(B257,D257),MIN(B257,D257)))</f>
        <v>0.12001012409579279</v>
      </c>
      <c r="D261" s="72" t="s">
        <v>337</v>
      </c>
      <c r="E261" s="95">
        <f>C261/G261</f>
        <v>0.12001012409579279</v>
      </c>
      <c r="F261" s="72" t="s">
        <v>336</v>
      </c>
      <c r="G261" s="73">
        <v>1</v>
      </c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</row>
    <row r="262" spans="1:30" ht="30.75" thickBot="1" x14ac:dyDescent="0.3">
      <c r="A262" t="s">
        <v>0</v>
      </c>
      <c r="B262" s="39" t="s">
        <v>209</v>
      </c>
      <c r="C262" s="77" t="s">
        <v>338</v>
      </c>
      <c r="D262" s="39" t="s">
        <v>210</v>
      </c>
      <c r="E262" s="77" t="s">
        <v>338</v>
      </c>
      <c r="R262" t="s">
        <v>320</v>
      </c>
      <c r="S262" t="s">
        <v>321</v>
      </c>
      <c r="T262" t="s">
        <v>322</v>
      </c>
      <c r="U262" t="s">
        <v>323</v>
      </c>
      <c r="X262" t="s">
        <v>324</v>
      </c>
      <c r="Y262" t="s">
        <v>325</v>
      </c>
    </row>
    <row r="263" spans="1:30" x14ac:dyDescent="0.25">
      <c r="A263">
        <v>141</v>
      </c>
      <c r="B263">
        <v>1.0744242614825166E-5</v>
      </c>
      <c r="C263" s="55">
        <v>7.6072999999999996E-8</v>
      </c>
      <c r="D263">
        <v>1.0306238707133633E-5</v>
      </c>
      <c r="E263" s="55">
        <v>7.2940000000000003E-8</v>
      </c>
      <c r="N263" s="65" t="s">
        <v>211</v>
      </c>
      <c r="R263" t="s">
        <v>26</v>
      </c>
      <c r="S263">
        <v>1</v>
      </c>
      <c r="X263">
        <v>948414.9</v>
      </c>
      <c r="Y263">
        <v>988721.5</v>
      </c>
    </row>
    <row r="264" spans="1:30" ht="15.75" thickBot="1" x14ac:dyDescent="0.3">
      <c r="N264" s="66" t="s">
        <v>26</v>
      </c>
      <c r="Q264" s="64"/>
      <c r="R264" s="64"/>
      <c r="S264" s="64"/>
      <c r="T264" s="64"/>
      <c r="U264" s="64"/>
      <c r="V264" s="64"/>
      <c r="W264" s="64"/>
      <c r="X264" s="64"/>
      <c r="Y264" s="64"/>
    </row>
    <row r="265" spans="1:30" x14ac:dyDescent="0.25">
      <c r="Q265" t="s">
        <v>331</v>
      </c>
      <c r="R265" t="s">
        <v>332</v>
      </c>
      <c r="X265" t="s">
        <v>26</v>
      </c>
    </row>
    <row r="266" spans="1:30" x14ac:dyDescent="0.25">
      <c r="Q266" t="s">
        <v>26</v>
      </c>
      <c r="X266">
        <v>10.19</v>
      </c>
    </row>
    <row r="267" spans="1:30" ht="15.75" thickBot="1" x14ac:dyDescent="0.3"/>
    <row r="268" spans="1:30" ht="15.75" thickBot="1" x14ac:dyDescent="0.3">
      <c r="A268" s="64"/>
      <c r="B268" s="93" t="s">
        <v>335</v>
      </c>
      <c r="C268" s="94">
        <f>((MAX(B263,D263)-MIN(B263,D263))/AVERAGE(MAX(B263,D263),MIN(B263,D263)))</f>
        <v>4.1614621631917662E-2</v>
      </c>
      <c r="D268" s="72" t="s">
        <v>337</v>
      </c>
      <c r="E268" s="95">
        <f>C268/G268</f>
        <v>4.1614621631917662E-2</v>
      </c>
      <c r="F268" s="72" t="s">
        <v>336</v>
      </c>
      <c r="G268" s="73">
        <v>1</v>
      </c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</row>
    <row r="269" spans="1:30" ht="30.75" thickBot="1" x14ac:dyDescent="0.3">
      <c r="A269" t="s">
        <v>0</v>
      </c>
      <c r="B269" s="39" t="s">
        <v>213</v>
      </c>
      <c r="C269" s="77" t="s">
        <v>338</v>
      </c>
      <c r="D269" s="39" t="s">
        <v>214</v>
      </c>
      <c r="E269" s="77" t="s">
        <v>338</v>
      </c>
      <c r="R269" t="s">
        <v>320</v>
      </c>
      <c r="S269" t="s">
        <v>321</v>
      </c>
      <c r="T269" t="s">
        <v>322</v>
      </c>
      <c r="U269" t="s">
        <v>323</v>
      </c>
      <c r="X269" t="s">
        <v>324</v>
      </c>
      <c r="Y269" t="s">
        <v>325</v>
      </c>
    </row>
    <row r="270" spans="1:30" x14ac:dyDescent="0.25">
      <c r="A270">
        <v>142</v>
      </c>
      <c r="B270">
        <f>1/(A270*B278+B279)</f>
        <v>1.0937674203747295E-5</v>
      </c>
      <c r="C270" s="55">
        <v>8.5699000000000005E-8</v>
      </c>
      <c r="D270">
        <f>(A270*D283+D284)</f>
        <v>1.0515382E-5</v>
      </c>
      <c r="E270" s="55">
        <v>8.2634999999999998E-8</v>
      </c>
      <c r="F270" t="s">
        <v>304</v>
      </c>
      <c r="N270" s="65" t="s">
        <v>212</v>
      </c>
      <c r="R270" t="s">
        <v>13</v>
      </c>
      <c r="S270">
        <v>0.11114</v>
      </c>
      <c r="T270" t="s">
        <v>34</v>
      </c>
      <c r="U270">
        <v>0.27200000000000002</v>
      </c>
      <c r="X270">
        <v>347353.1</v>
      </c>
      <c r="Y270">
        <v>364951.9</v>
      </c>
    </row>
    <row r="271" spans="1:30" ht="15.75" thickBot="1" x14ac:dyDescent="0.3">
      <c r="A271">
        <v>143</v>
      </c>
      <c r="B271">
        <v>1.0864424275876918E-5</v>
      </c>
      <c r="C271" s="55">
        <v>8.2608999999999995E-8</v>
      </c>
      <c r="D271">
        <v>1.0377112955923771E-5</v>
      </c>
      <c r="E271" s="55">
        <v>7.8636000000000003E-8</v>
      </c>
      <c r="N271" s="66" t="s">
        <v>34</v>
      </c>
      <c r="R271" t="s">
        <v>34</v>
      </c>
      <c r="S271">
        <v>0.122</v>
      </c>
      <c r="X271">
        <v>114426.7</v>
      </c>
      <c r="Y271">
        <v>119800.2</v>
      </c>
    </row>
    <row r="272" spans="1:30" x14ac:dyDescent="0.25">
      <c r="A272">
        <v>144</v>
      </c>
      <c r="B272">
        <f>1/(A272*B278+B279)</f>
        <v>1.0815039452887618E-5</v>
      </c>
      <c r="C272" s="55">
        <v>8.0100999999999997E-8</v>
      </c>
      <c r="D272">
        <f>(A272*D283+D284)</f>
        <v>1.0433282E-5</v>
      </c>
      <c r="E272" s="55">
        <v>7.7192999999999995E-8</v>
      </c>
      <c r="F272" t="s">
        <v>304</v>
      </c>
      <c r="R272" t="s">
        <v>14</v>
      </c>
      <c r="S272">
        <v>3.0700000000000002E-2</v>
      </c>
      <c r="T272" t="s">
        <v>34</v>
      </c>
      <c r="U272">
        <v>0.23799999999999999</v>
      </c>
      <c r="X272">
        <v>252207.2</v>
      </c>
      <c r="Y272">
        <v>261595.6</v>
      </c>
    </row>
    <row r="273" spans="1:25" x14ac:dyDescent="0.25">
      <c r="A273">
        <v>145</v>
      </c>
      <c r="B273">
        <v>1.0788611985249001E-5</v>
      </c>
      <c r="C273" s="55">
        <v>8.4835000000000005E-8</v>
      </c>
      <c r="D273">
        <v>1.0295039168304666E-5</v>
      </c>
      <c r="E273" s="55">
        <v>8.0571000000000001E-8</v>
      </c>
      <c r="R273" t="s">
        <v>34</v>
      </c>
      <c r="S273">
        <v>8.3000000000000004E-2</v>
      </c>
      <c r="X273">
        <v>78394.7</v>
      </c>
      <c r="Y273">
        <v>82153.16</v>
      </c>
    </row>
    <row r="274" spans="1:25" x14ac:dyDescent="0.25">
      <c r="A274">
        <v>146</v>
      </c>
      <c r="B274">
        <v>1.072465392755541E-5</v>
      </c>
      <c r="C274" s="55">
        <v>7.9677000000000006E-8</v>
      </c>
      <c r="D274">
        <v>1.0408289670514218E-5</v>
      </c>
      <c r="E274" s="55">
        <v>7.7200000000000003E-8</v>
      </c>
      <c r="R274" t="s">
        <v>34</v>
      </c>
      <c r="S274">
        <v>0.17199999999999999</v>
      </c>
      <c r="X274">
        <v>163425.29999999999</v>
      </c>
      <c r="Y274">
        <v>168392.7</v>
      </c>
    </row>
    <row r="275" spans="1:25" x14ac:dyDescent="0.25">
      <c r="A275">
        <v>148</v>
      </c>
      <c r="B275">
        <f>1/(A275*B278+B279)</f>
        <v>1.0577838997663276E-5</v>
      </c>
      <c r="C275" s="55">
        <v>1.7651000000000001E-7</v>
      </c>
      <c r="D275">
        <f>(A275*D283+D284)</f>
        <v>1.0269082E-5</v>
      </c>
      <c r="E275" s="89">
        <v>1.6128E-7</v>
      </c>
      <c r="F275" t="s">
        <v>304</v>
      </c>
      <c r="R275" t="s">
        <v>14</v>
      </c>
      <c r="S275">
        <v>0.1124</v>
      </c>
      <c r="T275" t="s">
        <v>34</v>
      </c>
      <c r="U275">
        <v>5.7000000000000002E-2</v>
      </c>
      <c r="X275">
        <v>159080.6</v>
      </c>
      <c r="Y275">
        <v>166099.1</v>
      </c>
    </row>
    <row r="276" spans="1:25" x14ac:dyDescent="0.25">
      <c r="A276">
        <v>150</v>
      </c>
      <c r="B276">
        <f>1/(A276*B278+B279)</f>
        <v>1.0463098238919852E-5</v>
      </c>
      <c r="C276" s="55">
        <v>1.3608000000000001E-7</v>
      </c>
      <c r="D276">
        <f>1/(A276*D278+D279)</f>
        <v>9.7060326878135408E-6</v>
      </c>
      <c r="E276" s="55">
        <v>1.2253E-7</v>
      </c>
      <c r="F276" t="s">
        <v>304</v>
      </c>
      <c r="R276" t="s">
        <v>14</v>
      </c>
      <c r="S276">
        <v>7.3800000000000004E-2</v>
      </c>
      <c r="T276" t="s">
        <v>34</v>
      </c>
      <c r="U276">
        <v>5.6000000000000001E-2</v>
      </c>
      <c r="X276">
        <v>123524.2</v>
      </c>
      <c r="Y276">
        <v>130299.7</v>
      </c>
    </row>
    <row r="277" spans="1:25" ht="15.75" thickBot="1" x14ac:dyDescent="0.3">
      <c r="C277" t="s">
        <v>340</v>
      </c>
      <c r="E277" t="s">
        <v>340</v>
      </c>
      <c r="Q277" s="64"/>
      <c r="R277" s="64"/>
      <c r="S277" s="64"/>
      <c r="T277" s="64"/>
      <c r="U277" s="64"/>
      <c r="V277" s="64"/>
      <c r="W277" s="64"/>
      <c r="X277" s="64"/>
      <c r="Y277" s="64"/>
    </row>
    <row r="278" spans="1:25" x14ac:dyDescent="0.25">
      <c r="A278" t="s">
        <v>141</v>
      </c>
      <c r="B278">
        <v>518.35878867681504</v>
      </c>
      <c r="C278" s="92">
        <f>C270/B270</f>
        <v>7.835212349864942E-3</v>
      </c>
      <c r="D278">
        <v>1165.15495101996</v>
      </c>
      <c r="E278" s="92">
        <f>E270/D270</f>
        <v>7.8584876897482177E-3</v>
      </c>
      <c r="F278" t="s">
        <v>304</v>
      </c>
      <c r="Q278" t="s">
        <v>331</v>
      </c>
      <c r="R278" t="s">
        <v>332</v>
      </c>
    </row>
    <row r="279" spans="1:25" x14ac:dyDescent="0.25">
      <c r="A279" t="s">
        <v>142</v>
      </c>
      <c r="B279">
        <v>17820.167258536301</v>
      </c>
      <c r="C279" s="92">
        <f t="shared" ref="C279:C282" si="16">C271/B271</f>
        <v>7.6036242604610761E-3</v>
      </c>
      <c r="D279">
        <v>-71744.535439226296</v>
      </c>
      <c r="E279" s="92">
        <f t="shared" ref="E279:E283" si="17">E271/D271</f>
        <v>7.577830205183482E-3</v>
      </c>
      <c r="F279" t="s">
        <v>304</v>
      </c>
      <c r="Q279" t="s">
        <v>13</v>
      </c>
      <c r="X279" t="s">
        <v>13</v>
      </c>
      <c r="Y279">
        <v>10.19</v>
      </c>
    </row>
    <row r="280" spans="1:25" x14ac:dyDescent="0.25">
      <c r="C280" s="92">
        <f t="shared" si="16"/>
        <v>7.4064454733554401E-3</v>
      </c>
      <c r="E280" s="92">
        <f t="shared" si="17"/>
        <v>7.3987264985265417E-3</v>
      </c>
      <c r="Q280" t="s">
        <v>34</v>
      </c>
      <c r="X280" t="s">
        <v>34</v>
      </c>
      <c r="Y280">
        <v>10.19</v>
      </c>
    </row>
    <row r="281" spans="1:25" x14ac:dyDescent="0.25">
      <c r="A281">
        <v>146</v>
      </c>
      <c r="B281">
        <f>1/($A$281*B278+B279)</f>
        <v>1.0695124206913409E-5</v>
      </c>
      <c r="C281" s="92">
        <f t="shared" si="16"/>
        <v>7.8633841050167325E-3</v>
      </c>
      <c r="D281">
        <f>1/($A$281*D278+D279)</f>
        <v>1.0165898578826229E-5</v>
      </c>
      <c r="E281" s="92">
        <f t="shared" si="17"/>
        <v>7.826196547950387E-3</v>
      </c>
      <c r="Q281" t="s">
        <v>14</v>
      </c>
      <c r="X281" t="s">
        <v>14</v>
      </c>
      <c r="Y281">
        <v>10.19</v>
      </c>
    </row>
    <row r="282" spans="1:25" x14ac:dyDescent="0.25">
      <c r="C282" s="92">
        <f t="shared" si="16"/>
        <v>7.429330637446655E-3</v>
      </c>
      <c r="E282" s="92">
        <f t="shared" si="17"/>
        <v>7.4171648218727907E-3</v>
      </c>
    </row>
    <row r="283" spans="1:25" x14ac:dyDescent="0.25">
      <c r="A283" t="s">
        <v>141</v>
      </c>
      <c r="B283" s="55">
        <v>-5.8674E-8</v>
      </c>
      <c r="C283" s="92">
        <f>C275/B275</f>
        <v>1.6686773171627249E-2</v>
      </c>
      <c r="D283" s="55">
        <v>-4.105E-8</v>
      </c>
      <c r="E283" s="92">
        <f t="shared" si="17"/>
        <v>1.5705396061692758E-2</v>
      </c>
      <c r="F283" t="s">
        <v>305</v>
      </c>
    </row>
    <row r="284" spans="1:25" x14ac:dyDescent="0.25">
      <c r="A284" t="s">
        <v>142</v>
      </c>
      <c r="B284" s="55">
        <v>1.9272000000000001E-5</v>
      </c>
      <c r="C284" s="55"/>
      <c r="D284" s="55">
        <f>0.000016247*H286</f>
        <v>1.6344482E-5</v>
      </c>
      <c r="E284" s="55"/>
      <c r="F284" t="s">
        <v>305</v>
      </c>
    </row>
    <row r="286" spans="1:25" x14ac:dyDescent="0.25">
      <c r="A286">
        <v>144</v>
      </c>
      <c r="B286" s="55">
        <f>B283*A286+B284</f>
        <v>1.0822944000000001E-5</v>
      </c>
      <c r="C286" s="55"/>
      <c r="D286" s="55">
        <f>A286*D283+D284</f>
        <v>1.0433282E-5</v>
      </c>
      <c r="E286" s="55"/>
      <c r="H286">
        <v>1.006</v>
      </c>
    </row>
    <row r="287" spans="1:25" x14ac:dyDescent="0.25">
      <c r="A287">
        <v>148</v>
      </c>
      <c r="B287" s="55">
        <f>A287*B283+B284</f>
        <v>1.0588248000000001E-5</v>
      </c>
      <c r="C287" s="55"/>
      <c r="D287" s="55">
        <f>A287*D283+D284</f>
        <v>1.0269082E-5</v>
      </c>
      <c r="E287" s="55"/>
    </row>
    <row r="288" spans="1:25" x14ac:dyDescent="0.25">
      <c r="A288">
        <v>150</v>
      </c>
      <c r="B288" s="55">
        <f>A288*B283+B284</f>
        <v>1.0470900000000002E-5</v>
      </c>
      <c r="C288" s="55"/>
      <c r="D288" s="55">
        <f>A288*D283+D284</f>
        <v>1.0186982E-5</v>
      </c>
      <c r="E288" s="55"/>
    </row>
    <row r="289" spans="1:30" ht="15.75" thickBot="1" x14ac:dyDescent="0.3">
      <c r="B289" s="55"/>
      <c r="C289" s="55"/>
      <c r="D289" s="55"/>
      <c r="E289" s="55"/>
    </row>
    <row r="290" spans="1:30" ht="15.75" thickBot="1" x14ac:dyDescent="0.3">
      <c r="A290" s="64"/>
      <c r="B290" s="93" t="s">
        <v>335</v>
      </c>
      <c r="C290" s="94">
        <f>((MAX(B270:B276,D270:D276)-MIN(B270:B276,D270:D276))/AVERAGE(MAX(B270:B276,D270:D276),MIN(B270:B276,D270:D276)))</f>
        <v>0.11932367790372475</v>
      </c>
      <c r="D290" s="72" t="s">
        <v>337</v>
      </c>
      <c r="E290" s="95">
        <f>C290/G290</f>
        <v>1.4915459737965594E-2</v>
      </c>
      <c r="F290" s="72" t="s">
        <v>336</v>
      </c>
      <c r="G290" s="73">
        <f>150-142</f>
        <v>8</v>
      </c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</row>
    <row r="291" spans="1:30" ht="30.75" thickBot="1" x14ac:dyDescent="0.3">
      <c r="A291" t="s">
        <v>0</v>
      </c>
      <c r="B291" s="39" t="s">
        <v>216</v>
      </c>
      <c r="C291" s="77" t="s">
        <v>338</v>
      </c>
      <c r="D291" s="39" t="s">
        <v>217</v>
      </c>
      <c r="E291" s="77" t="s">
        <v>338</v>
      </c>
      <c r="R291" t="s">
        <v>320</v>
      </c>
      <c r="S291" t="s">
        <v>321</v>
      </c>
      <c r="T291" t="s">
        <v>322</v>
      </c>
      <c r="U291" t="s">
        <v>323</v>
      </c>
      <c r="X291" t="s">
        <v>324</v>
      </c>
      <c r="Y291" t="s">
        <v>325</v>
      </c>
    </row>
    <row r="292" spans="1:30" x14ac:dyDescent="0.25">
      <c r="A292">
        <v>144</v>
      </c>
      <c r="B292">
        <f>MassSpecRept!BP15</f>
        <v>1.1187757224552104E-5</v>
      </c>
      <c r="C292" s="55">
        <v>6.6977000000000005E-7</v>
      </c>
      <c r="D292" s="55">
        <f>MassSpecRept!BP25</f>
        <v>1.0733575154350286E-5</v>
      </c>
      <c r="E292" s="55">
        <v>6.3303999999999996E-7</v>
      </c>
      <c r="F292" t="s">
        <v>306</v>
      </c>
      <c r="J292" s="55"/>
      <c r="N292" s="65" t="s">
        <v>215</v>
      </c>
      <c r="R292" t="s">
        <v>14</v>
      </c>
      <c r="S292">
        <v>3.0700000000000002E-2</v>
      </c>
      <c r="T292" t="s">
        <v>34</v>
      </c>
      <c r="U292">
        <v>0.23799999999999999</v>
      </c>
      <c r="X292">
        <v>252207.2</v>
      </c>
      <c r="Y292">
        <v>261595.6</v>
      </c>
    </row>
    <row r="293" spans="1:30" ht="15.75" thickBot="1" x14ac:dyDescent="0.3">
      <c r="A293">
        <v>147</v>
      </c>
      <c r="B293">
        <v>1.0884432609381889E-5</v>
      </c>
      <c r="C293" s="55">
        <v>8.1599000000000002E-8</v>
      </c>
      <c r="D293">
        <v>1.050020361368229E-5</v>
      </c>
      <c r="E293" s="55">
        <v>7.8541000000000002E-8</v>
      </c>
      <c r="N293" s="66" t="s">
        <v>14</v>
      </c>
      <c r="R293" t="s">
        <v>14</v>
      </c>
      <c r="S293">
        <v>0.14990000000000001</v>
      </c>
      <c r="X293">
        <v>140336.29999999999</v>
      </c>
      <c r="Y293">
        <v>145471.6</v>
      </c>
    </row>
    <row r="294" spans="1:30" x14ac:dyDescent="0.25">
      <c r="A294">
        <v>148</v>
      </c>
      <c r="B294">
        <f>MassSpecRept!BT15</f>
        <v>1.0995015238285821E-5</v>
      </c>
      <c r="C294" s="55">
        <v>9.6714000000000002E-8</v>
      </c>
      <c r="D294" s="88">
        <f>1/(A294*D300+D301)</f>
        <v>1.0643538812233694E-5</v>
      </c>
      <c r="E294" s="89">
        <v>9.1158000000000001E-8</v>
      </c>
      <c r="F294" t="s">
        <v>306</v>
      </c>
      <c r="R294" t="s">
        <v>14</v>
      </c>
      <c r="S294">
        <v>0.1124</v>
      </c>
      <c r="T294" t="s">
        <v>34</v>
      </c>
      <c r="U294">
        <v>5.7000000000000002E-2</v>
      </c>
      <c r="X294">
        <v>159080.6</v>
      </c>
      <c r="Y294">
        <v>166099.1</v>
      </c>
    </row>
    <row r="295" spans="1:30" x14ac:dyDescent="0.25">
      <c r="A295">
        <v>149</v>
      </c>
      <c r="B295">
        <v>1.1100931866008549E-5</v>
      </c>
      <c r="C295" s="55">
        <v>8.378E-8</v>
      </c>
      <c r="D295">
        <v>1.0500882345002041E-5</v>
      </c>
      <c r="E295" s="55">
        <v>7.8953999999999993E-8</v>
      </c>
      <c r="R295" t="s">
        <v>14</v>
      </c>
      <c r="S295">
        <v>0.13819999999999999</v>
      </c>
      <c r="X295">
        <v>126859.4</v>
      </c>
      <c r="Y295">
        <v>134108.5</v>
      </c>
    </row>
    <row r="296" spans="1:30" x14ac:dyDescent="0.25">
      <c r="A296">
        <v>150</v>
      </c>
      <c r="B296">
        <f>MassSpecRept!BV15</f>
        <v>1.0901100202055012E-5</v>
      </c>
      <c r="C296" s="55">
        <v>1.1208E-7</v>
      </c>
      <c r="D296">
        <f>MassSpecRept!BV25</f>
        <v>1.0516696103393728E-5</v>
      </c>
      <c r="E296" s="55">
        <v>1.0916000000000001E-7</v>
      </c>
      <c r="F296" t="s">
        <v>306</v>
      </c>
      <c r="R296" t="s">
        <v>14</v>
      </c>
      <c r="S296">
        <v>7.3800000000000004E-2</v>
      </c>
      <c r="T296" t="s">
        <v>34</v>
      </c>
      <c r="U296">
        <v>5.6000000000000001E-2</v>
      </c>
      <c r="X296">
        <v>123524.2</v>
      </c>
      <c r="Y296">
        <v>130299.7</v>
      </c>
    </row>
    <row r="297" spans="1:30" x14ac:dyDescent="0.25">
      <c r="A297">
        <v>152</v>
      </c>
      <c r="B297">
        <f>1/(B300*A297+B301)</f>
        <v>1.080878624187457E-5</v>
      </c>
      <c r="C297" s="89">
        <v>7.8161999999999995E-8</v>
      </c>
      <c r="D297" s="52">
        <f>D311</f>
        <v>1.0392852536192114E-5</v>
      </c>
      <c r="E297" s="89">
        <v>7.5063000000000002E-8</v>
      </c>
      <c r="R297" t="s">
        <v>14</v>
      </c>
      <c r="S297">
        <v>0.26750000000000002</v>
      </c>
      <c r="T297" t="s">
        <v>35</v>
      </c>
      <c r="U297">
        <v>2.0000000000000001E-4</v>
      </c>
      <c r="X297">
        <v>254124.3</v>
      </c>
      <c r="Y297">
        <v>264231.8</v>
      </c>
    </row>
    <row r="298" spans="1:30" x14ac:dyDescent="0.25">
      <c r="A298">
        <v>154</v>
      </c>
      <c r="B298">
        <f>1/(A298*B300+B301)</f>
        <v>1.0718019585198509E-5</v>
      </c>
      <c r="C298" s="55">
        <v>7.9156999999999999E-8</v>
      </c>
      <c r="D298" s="52">
        <f>D312</f>
        <v>1.0271886148419345E-5</v>
      </c>
      <c r="E298" s="55">
        <v>7.5686999999999995E-8</v>
      </c>
      <c r="R298" t="s">
        <v>14</v>
      </c>
      <c r="S298">
        <v>0.22750000000000001</v>
      </c>
      <c r="T298" t="s">
        <v>35</v>
      </c>
      <c r="U298">
        <v>2.18E-2</v>
      </c>
      <c r="X298">
        <v>236974.6</v>
      </c>
      <c r="Y298">
        <v>246588.6</v>
      </c>
    </row>
    <row r="299" spans="1:30" ht="15.75" thickBot="1" x14ac:dyDescent="0.3">
      <c r="C299" t="s">
        <v>340</v>
      </c>
      <c r="E299" t="s">
        <v>340</v>
      </c>
      <c r="Q299" s="64"/>
      <c r="R299" s="64"/>
      <c r="S299" s="64"/>
      <c r="T299" s="64"/>
      <c r="U299" s="64"/>
      <c r="V299" s="64"/>
      <c r="W299" s="64"/>
      <c r="X299" s="64"/>
      <c r="Y299" s="64"/>
    </row>
    <row r="300" spans="1:30" x14ac:dyDescent="0.25">
      <c r="A300" t="s">
        <v>141</v>
      </c>
      <c r="B300">
        <v>391.74626877127599</v>
      </c>
      <c r="C300" s="92">
        <f>C292/B292</f>
        <v>5.9866333042171815E-2</v>
      </c>
      <c r="D300">
        <v>566.56501584360694</v>
      </c>
      <c r="E300" s="92">
        <f>E292/D292</f>
        <v>5.8977553228705043E-2</v>
      </c>
      <c r="F300" t="s">
        <v>304</v>
      </c>
      <c r="Q300" t="s">
        <v>331</v>
      </c>
      <c r="R300" t="s">
        <v>332</v>
      </c>
    </row>
    <row r="301" spans="1:30" x14ac:dyDescent="0.25">
      <c r="A301" t="s">
        <v>142</v>
      </c>
      <c r="B301">
        <v>32971.893109405297</v>
      </c>
      <c r="C301" s="92">
        <f t="shared" ref="C301:E306" si="18">C293/B293</f>
        <v>7.4968538028950954E-3</v>
      </c>
      <c r="D301">
        <v>10102.091513040799</v>
      </c>
      <c r="E301" s="92">
        <f t="shared" si="18"/>
        <v>7.4799501885522632E-3</v>
      </c>
      <c r="F301" t="s">
        <v>304</v>
      </c>
      <c r="Q301" t="s">
        <v>14</v>
      </c>
      <c r="X301" t="s">
        <v>14</v>
      </c>
      <c r="Y301">
        <v>10.19</v>
      </c>
    </row>
    <row r="302" spans="1:30" x14ac:dyDescent="0.25">
      <c r="C302" s="92">
        <f t="shared" si="18"/>
        <v>8.7961678909940465E-3</v>
      </c>
      <c r="E302" s="92">
        <f t="shared" si="18"/>
        <v>8.5646326478579574E-3</v>
      </c>
      <c r="Q302" t="s">
        <v>34</v>
      </c>
      <c r="X302" t="s">
        <v>34</v>
      </c>
      <c r="Y302">
        <v>10.19</v>
      </c>
    </row>
    <row r="303" spans="1:30" x14ac:dyDescent="0.25">
      <c r="A303">
        <v>149</v>
      </c>
      <c r="B303">
        <f>1/(A303*B300+B301)</f>
        <v>1.0947855814686737E-5</v>
      </c>
      <c r="C303" s="92">
        <f t="shared" si="18"/>
        <v>7.5471141532304472E-3</v>
      </c>
      <c r="D303">
        <f>1/(A303*D300+D301)</f>
        <v>1.0579740262254374E-5</v>
      </c>
      <c r="E303" s="92">
        <f t="shared" si="18"/>
        <v>7.5187967454543123E-3</v>
      </c>
      <c r="Q303" t="s">
        <v>35</v>
      </c>
      <c r="X303" t="s">
        <v>35</v>
      </c>
      <c r="Y303">
        <v>10.19</v>
      </c>
    </row>
    <row r="304" spans="1:30" x14ac:dyDescent="0.25">
      <c r="C304" s="92">
        <f t="shared" si="18"/>
        <v>1.0281531031048712E-2</v>
      </c>
      <c r="E304" s="92">
        <f t="shared" si="18"/>
        <v>1.0379685685200523E-2</v>
      </c>
    </row>
    <row r="305" spans="1:30" x14ac:dyDescent="0.25">
      <c r="A305" t="s">
        <v>141</v>
      </c>
      <c r="B305" s="55">
        <v>-3.3245999999999999E-8</v>
      </c>
      <c r="C305" s="92">
        <f t="shared" si="18"/>
        <v>7.2313392318918077E-3</v>
      </c>
      <c r="D305" s="55">
        <v>-2.9309999999999999E-8</v>
      </c>
      <c r="E305" s="92">
        <f t="shared" si="18"/>
        <v>7.2225599024522179E-3</v>
      </c>
      <c r="F305" t="s">
        <v>307</v>
      </c>
    </row>
    <row r="306" spans="1:30" x14ac:dyDescent="0.25">
      <c r="A306" t="s">
        <v>142</v>
      </c>
      <c r="B306" s="55">
        <v>1.5920999999999999E-5</v>
      </c>
      <c r="C306" s="92">
        <f t="shared" si="18"/>
        <v>7.3854128900188911E-3</v>
      </c>
      <c r="D306" s="55">
        <v>1.4898E-5</v>
      </c>
      <c r="E306" s="92">
        <f t="shared" si="18"/>
        <v>7.3683643788874003E-3</v>
      </c>
    </row>
    <row r="308" spans="1:30" x14ac:dyDescent="0.25">
      <c r="A308">
        <v>152</v>
      </c>
      <c r="B308" s="52">
        <f>A308*B305+B306</f>
        <v>1.0867607999999999E-5</v>
      </c>
      <c r="C308" s="52"/>
      <c r="D308" s="52">
        <f>A308*D305+D306</f>
        <v>1.044288E-5</v>
      </c>
      <c r="E308" s="52"/>
      <c r="F308" t="s">
        <v>309</v>
      </c>
    </row>
    <row r="309" spans="1:30" x14ac:dyDescent="0.25">
      <c r="A309">
        <v>154</v>
      </c>
      <c r="B309" s="52">
        <f>A309*B305+B306</f>
        <v>1.0801115999999999E-5</v>
      </c>
      <c r="C309" s="52"/>
      <c r="D309" s="52">
        <f>A309*D305+D306</f>
        <v>1.038426E-5</v>
      </c>
      <c r="E309" s="52"/>
      <c r="F309" t="s">
        <v>309</v>
      </c>
    </row>
    <row r="311" spans="1:30" x14ac:dyDescent="0.25">
      <c r="A311">
        <v>152</v>
      </c>
      <c r="B311">
        <f>1/(B300*A297+B301)</f>
        <v>1.080878624187457E-5</v>
      </c>
      <c r="D311">
        <f>1/(A297*D300+D301)</f>
        <v>1.0392852536192114E-5</v>
      </c>
      <c r="F311" t="s">
        <v>308</v>
      </c>
    </row>
    <row r="312" spans="1:30" x14ac:dyDescent="0.25">
      <c r="A312">
        <v>154</v>
      </c>
      <c r="B312">
        <f>1/(A298*B300+B301)</f>
        <v>1.0718019585198509E-5</v>
      </c>
      <c r="D312">
        <f>1/(A298*D300+D301)</f>
        <v>1.0271886148419345E-5</v>
      </c>
      <c r="F312" t="s">
        <v>308</v>
      </c>
    </row>
    <row r="313" spans="1:30" ht="16.5" customHeight="1" x14ac:dyDescent="0.25"/>
    <row r="314" spans="1:30" ht="15.75" thickBot="1" x14ac:dyDescent="0.3"/>
    <row r="315" spans="1:30" ht="15.75" thickBot="1" x14ac:dyDescent="0.3">
      <c r="A315" s="64"/>
      <c r="B315" s="93" t="s">
        <v>335</v>
      </c>
      <c r="C315" s="94">
        <f>((MAX(B292:B298,D292:D298)-MIN(B292:B298,D292:D298))/AVERAGE(MAX(B292:B298,D292:D298),MIN(B292:B298,D292:D298)))</f>
        <v>8.5357529965880474E-2</v>
      </c>
      <c r="D315" s="72" t="s">
        <v>337</v>
      </c>
      <c r="E315" s="95">
        <f>C315/G315</f>
        <v>8.5357529965880471E-3</v>
      </c>
      <c r="F315" s="72" t="s">
        <v>336</v>
      </c>
      <c r="G315" s="73">
        <f>154-144</f>
        <v>10</v>
      </c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</row>
    <row r="316" spans="1:30" ht="45.75" thickBot="1" x14ac:dyDescent="0.3">
      <c r="A316" t="s">
        <v>0</v>
      </c>
      <c r="B316" s="39" t="s">
        <v>221</v>
      </c>
      <c r="C316" s="77" t="s">
        <v>338</v>
      </c>
      <c r="D316" s="39" t="s">
        <v>222</v>
      </c>
      <c r="E316" s="77" t="s">
        <v>338</v>
      </c>
      <c r="F316" s="39" t="s">
        <v>219</v>
      </c>
      <c r="G316" s="77" t="s">
        <v>338</v>
      </c>
      <c r="H316" s="39" t="s">
        <v>220</v>
      </c>
      <c r="I316" s="77" t="s">
        <v>338</v>
      </c>
      <c r="R316" t="s">
        <v>320</v>
      </c>
      <c r="S316" t="s">
        <v>321</v>
      </c>
      <c r="T316" t="s">
        <v>322</v>
      </c>
      <c r="U316" t="s">
        <v>323</v>
      </c>
      <c r="X316" t="s">
        <v>324</v>
      </c>
      <c r="Y316" t="s">
        <v>325</v>
      </c>
    </row>
    <row r="317" spans="1:30" x14ac:dyDescent="0.25">
      <c r="A317">
        <v>151</v>
      </c>
      <c r="B317" s="8">
        <v>1.0466337111527967E-5</v>
      </c>
      <c r="C317" s="56">
        <v>7.0890999999999996E-8</v>
      </c>
      <c r="D317" s="8">
        <v>9.1121439314808324E-6</v>
      </c>
      <c r="E317" s="56">
        <v>6.1551999999999994E-8</v>
      </c>
      <c r="F317" s="8">
        <v>1.0880387801270742E-5</v>
      </c>
      <c r="G317" s="56">
        <v>7.7937000000000005E-8</v>
      </c>
      <c r="H317" s="8">
        <v>1.0186175230752094E-5</v>
      </c>
      <c r="I317" s="55">
        <v>7.2862999999999995E-8</v>
      </c>
      <c r="N317" s="65" t="s">
        <v>218</v>
      </c>
      <c r="R317" t="s">
        <v>27</v>
      </c>
      <c r="S317">
        <v>0.47810000000000002</v>
      </c>
      <c r="X317">
        <v>524403.9</v>
      </c>
      <c r="Y317">
        <v>602337.69999999995</v>
      </c>
      <c r="Z317">
        <v>447763.4</v>
      </c>
      <c r="AA317">
        <v>478279.5</v>
      </c>
    </row>
    <row r="318" spans="1:30" ht="15.75" thickBot="1" x14ac:dyDescent="0.3">
      <c r="A318">
        <v>153</v>
      </c>
      <c r="B318" s="8">
        <v>1.0199865134743534E-5</v>
      </c>
      <c r="C318" s="56">
        <v>6.8931999999999998E-8</v>
      </c>
      <c r="D318" s="8">
        <v>8.8981000721630706E-6</v>
      </c>
      <c r="E318" s="56">
        <v>5.9990999999999998E-8</v>
      </c>
      <c r="F318" s="8">
        <v>1.0532828533396552E-5</v>
      </c>
      <c r="G318" s="56">
        <v>7.5261000000000001E-8</v>
      </c>
      <c r="H318" s="8">
        <v>1.011210213134527E-5</v>
      </c>
      <c r="I318" s="55">
        <v>7.2198999999999997E-8</v>
      </c>
      <c r="N318" s="66" t="s">
        <v>27</v>
      </c>
      <c r="R318" t="s">
        <v>27</v>
      </c>
      <c r="S318">
        <v>0.52190000000000003</v>
      </c>
      <c r="X318">
        <v>587401.1</v>
      </c>
      <c r="Y318">
        <v>673336.1</v>
      </c>
      <c r="Z318">
        <v>504912.9</v>
      </c>
      <c r="AA318">
        <v>525920.4</v>
      </c>
    </row>
    <row r="319" spans="1:30" ht="15.75" thickBot="1" x14ac:dyDescent="0.3">
      <c r="B319" s="8"/>
      <c r="C319" t="s">
        <v>340</v>
      </c>
      <c r="D319" s="8"/>
      <c r="E319" t="s">
        <v>340</v>
      </c>
      <c r="F319" s="8"/>
      <c r="G319" t="s">
        <v>340</v>
      </c>
      <c r="H319" s="8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30" x14ac:dyDescent="0.25">
      <c r="B320" s="8"/>
      <c r="C320" s="96">
        <f>C317/B317</f>
        <v>6.7732387409840181E-3</v>
      </c>
      <c r="D320" s="96"/>
      <c r="E320" s="96">
        <f>E317/D317</f>
        <v>6.7549415881534543E-3</v>
      </c>
      <c r="F320" s="96"/>
      <c r="G320" s="96">
        <f t="shared" ref="G320" si="19">G317/F317</f>
        <v>7.1630718889355753E-3</v>
      </c>
      <c r="H320" s="8"/>
      <c r="Q320" t="s">
        <v>331</v>
      </c>
      <c r="R320" t="s">
        <v>332</v>
      </c>
      <c r="X320" t="s">
        <v>27</v>
      </c>
      <c r="Y320" t="s">
        <v>27</v>
      </c>
      <c r="Z320" t="s">
        <v>27</v>
      </c>
      <c r="AA320" t="s">
        <v>27</v>
      </c>
    </row>
    <row r="321" spans="1:30" ht="15.75" thickBot="1" x14ac:dyDescent="0.3">
      <c r="B321" s="8"/>
      <c r="C321" s="8"/>
      <c r="D321" s="8"/>
      <c r="E321" s="8"/>
      <c r="F321" s="8"/>
      <c r="G321" s="8"/>
      <c r="H321" s="8"/>
      <c r="Q321" t="s">
        <v>27</v>
      </c>
      <c r="X321">
        <v>11.48</v>
      </c>
      <c r="Y321">
        <v>11.48</v>
      </c>
      <c r="Z321">
        <v>10.19</v>
      </c>
      <c r="AA321">
        <v>10.19</v>
      </c>
    </row>
    <row r="322" spans="1:30" ht="15.75" thickBot="1" x14ac:dyDescent="0.3">
      <c r="A322" s="64"/>
      <c r="B322" s="93" t="s">
        <v>335</v>
      </c>
      <c r="C322" s="94">
        <f>((MAX(B317:B318,D317:D318,F317:F318,H317:H318)-MIN(B317:B318,D317:D318,F317:F318,H317:H318))/AVERAGE(MAX(B317:B318,D317:D318,F317:F318,H317:H318),MIN(B317:B318,D317:D318,F317:F318,H317:H318)))</f>
        <v>0.20044886563550213</v>
      </c>
      <c r="D322" s="72" t="s">
        <v>337</v>
      </c>
      <c r="E322" s="95">
        <f>C322/G322</f>
        <v>0.10022443281775106</v>
      </c>
      <c r="F322" s="72" t="s">
        <v>336</v>
      </c>
      <c r="G322" s="73">
        <f>153-151</f>
        <v>2</v>
      </c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</row>
    <row r="323" spans="1:30" ht="30.75" thickBot="1" x14ac:dyDescent="0.3">
      <c r="A323" t="s">
        <v>0</v>
      </c>
      <c r="B323" s="39" t="s">
        <v>225</v>
      </c>
      <c r="C323" s="77" t="s">
        <v>338</v>
      </c>
      <c r="D323" s="39" t="s">
        <v>226</v>
      </c>
      <c r="E323" s="77" t="s">
        <v>338</v>
      </c>
      <c r="R323" t="s">
        <v>320</v>
      </c>
      <c r="S323" t="s">
        <v>321</v>
      </c>
      <c r="T323" t="s">
        <v>322</v>
      </c>
      <c r="U323" t="s">
        <v>323</v>
      </c>
      <c r="X323" t="s">
        <v>324</v>
      </c>
      <c r="Y323" t="s">
        <v>325</v>
      </c>
    </row>
    <row r="324" spans="1:30" x14ac:dyDescent="0.25">
      <c r="A324">
        <v>152</v>
      </c>
      <c r="B324">
        <f>MassSpecRept!BX15</f>
        <v>1.0514585475003793E-5</v>
      </c>
      <c r="C324" s="55">
        <v>9.9663999999999996E-7</v>
      </c>
      <c r="D324" s="8">
        <f>MassSpecRept!BX25</f>
        <v>1.0435283498438151E-5</v>
      </c>
      <c r="E324" s="56">
        <v>1.018E-6</v>
      </c>
      <c r="F324" t="s">
        <v>310</v>
      </c>
      <c r="N324" s="65" t="s">
        <v>224</v>
      </c>
      <c r="R324" t="s">
        <v>14</v>
      </c>
      <c r="S324">
        <v>0.26750000000000002</v>
      </c>
      <c r="T324" t="s">
        <v>35</v>
      </c>
      <c r="U324">
        <v>2.0000000000000001E-4</v>
      </c>
      <c r="X324">
        <v>254124.3</v>
      </c>
      <c r="Y324">
        <v>264231.8</v>
      </c>
    </row>
    <row r="325" spans="1:30" ht="15.75" thickBot="1" x14ac:dyDescent="0.3">
      <c r="A325">
        <v>154</v>
      </c>
      <c r="B325" s="8">
        <f>MassSpecRept!BZ15</f>
        <v>1.0780299947630339E-5</v>
      </c>
      <c r="C325" s="56">
        <v>8.2991000000000005E-7</v>
      </c>
      <c r="D325" s="8">
        <f>MassSpecRept!BZ25</f>
        <v>1.0668179958331799E-5</v>
      </c>
      <c r="E325" s="91">
        <v>8.4582000000000004E-7</v>
      </c>
      <c r="F325" t="s">
        <v>310</v>
      </c>
      <c r="N325" s="66" t="s">
        <v>35</v>
      </c>
      <c r="R325" t="s">
        <v>14</v>
      </c>
      <c r="S325">
        <v>0.22750000000000001</v>
      </c>
      <c r="T325" t="s">
        <v>35</v>
      </c>
      <c r="U325">
        <v>2.18E-2</v>
      </c>
      <c r="X325">
        <v>236974.6</v>
      </c>
      <c r="Y325">
        <v>246588.6</v>
      </c>
    </row>
    <row r="326" spans="1:30" x14ac:dyDescent="0.25">
      <c r="A326">
        <v>155</v>
      </c>
      <c r="B326">
        <v>1.0771613257858045E-5</v>
      </c>
      <c r="C326" s="55">
        <v>8.0764999999999996E-8</v>
      </c>
      <c r="D326" s="8">
        <v>1.0067035245704227E-5</v>
      </c>
      <c r="E326" s="56">
        <v>7.5167000000000001E-8</v>
      </c>
      <c r="R326" t="s">
        <v>35</v>
      </c>
      <c r="S326">
        <v>0.14799999999999999</v>
      </c>
      <c r="X326">
        <v>140008.70000000001</v>
      </c>
      <c r="Y326">
        <v>149807.79999999999</v>
      </c>
    </row>
    <row r="327" spans="1:30" x14ac:dyDescent="0.25">
      <c r="A327">
        <v>156</v>
      </c>
      <c r="B327" s="8">
        <f>J346</f>
        <v>1.1013500864335813E-5</v>
      </c>
      <c r="C327" s="90">
        <v>8.6940999999999997E-8</v>
      </c>
      <c r="D327" s="8">
        <f>K346</f>
        <v>1.0242075440956102E-5</v>
      </c>
      <c r="E327" s="90">
        <v>8.0121000000000007E-8</v>
      </c>
      <c r="F327" t="s">
        <v>136</v>
      </c>
      <c r="R327" t="s">
        <v>15</v>
      </c>
      <c r="S327">
        <v>5.9999999999999995E-4</v>
      </c>
      <c r="T327" t="s">
        <v>35</v>
      </c>
      <c r="U327">
        <v>0.20469999999999999</v>
      </c>
      <c r="X327">
        <v>189949.3</v>
      </c>
      <c r="Y327">
        <v>204256.2</v>
      </c>
    </row>
    <row r="328" spans="1:30" x14ac:dyDescent="0.25">
      <c r="A328">
        <v>157</v>
      </c>
      <c r="B328">
        <v>1.0528136846534731E-5</v>
      </c>
      <c r="C328" s="55">
        <v>7.8557999999999994E-8</v>
      </c>
      <c r="D328" s="8">
        <v>9.8422047832299953E-6</v>
      </c>
      <c r="E328" s="56">
        <v>7.3155999999999997E-8</v>
      </c>
      <c r="R328" t="s">
        <v>35</v>
      </c>
      <c r="S328">
        <v>0.1565</v>
      </c>
      <c r="X328">
        <v>151473.60000000001</v>
      </c>
      <c r="Y328">
        <v>162030.29999999999</v>
      </c>
    </row>
    <row r="329" spans="1:30" x14ac:dyDescent="0.25">
      <c r="A329">
        <v>158</v>
      </c>
      <c r="B329">
        <f>J347</f>
        <v>1.1239224410523449E-5</v>
      </c>
      <c r="C329" s="55">
        <v>8.1899999999999999E-8</v>
      </c>
      <c r="D329">
        <f>K347</f>
        <v>1.0596821052923017E-5</v>
      </c>
      <c r="E329" s="55">
        <v>7.7378999999999994E-8</v>
      </c>
      <c r="F329" t="s">
        <v>136</v>
      </c>
      <c r="R329" t="s">
        <v>15</v>
      </c>
      <c r="S329">
        <v>1E-4</v>
      </c>
      <c r="T329" t="s">
        <v>35</v>
      </c>
      <c r="U329">
        <v>0.24840000000000001</v>
      </c>
      <c r="X329">
        <v>226117.6</v>
      </c>
      <c r="Y329">
        <v>239825.3</v>
      </c>
    </row>
    <row r="330" spans="1:30" x14ac:dyDescent="0.25">
      <c r="A330">
        <v>160</v>
      </c>
      <c r="B330">
        <f>B344</f>
        <v>1.1481310640920646E-5</v>
      </c>
      <c r="C330" s="55">
        <v>8.6122999999999996E-8</v>
      </c>
      <c r="D330">
        <f>D344</f>
        <v>1.1249950241947503E-5</v>
      </c>
      <c r="E330" s="55">
        <v>8.4676999999999998E-8</v>
      </c>
      <c r="F330" t="s">
        <v>136</v>
      </c>
      <c r="R330" t="s">
        <v>15</v>
      </c>
      <c r="S330">
        <v>2.3400000000000001E-2</v>
      </c>
      <c r="T330" t="s">
        <v>35</v>
      </c>
      <c r="U330">
        <v>0.21859999999999999</v>
      </c>
      <c r="X330">
        <v>224639.7</v>
      </c>
      <c r="Y330">
        <v>233891.7</v>
      </c>
    </row>
    <row r="331" spans="1:30" ht="15.75" thickBot="1" x14ac:dyDescent="0.3">
      <c r="C331" t="s">
        <v>340</v>
      </c>
      <c r="E331" t="s">
        <v>340</v>
      </c>
      <c r="Q331" s="64"/>
      <c r="R331" s="64"/>
      <c r="S331" s="64"/>
      <c r="T331" s="64"/>
      <c r="U331" s="64"/>
      <c r="V331" s="64"/>
      <c r="W331" s="64"/>
      <c r="X331" s="64"/>
      <c r="Y331" s="64"/>
    </row>
    <row r="332" spans="1:30" x14ac:dyDescent="0.25">
      <c r="A332" t="s">
        <v>141</v>
      </c>
      <c r="B332">
        <v>-1000.98925142717</v>
      </c>
      <c r="C332" s="92">
        <f>C324/B324</f>
        <v>9.478642808785008E-2</v>
      </c>
      <c r="D332">
        <v>-867.43141591360495</v>
      </c>
      <c r="E332" s="92">
        <f>E324/D324</f>
        <v>9.7553650569470796E-2</v>
      </c>
      <c r="F332" t="s">
        <v>304</v>
      </c>
      <c r="Q332" t="s">
        <v>331</v>
      </c>
      <c r="R332" t="s">
        <v>332</v>
      </c>
    </row>
    <row r="333" spans="1:30" x14ac:dyDescent="0.25">
      <c r="A333" t="s">
        <v>142</v>
      </c>
      <c r="B333">
        <v>247256.350411719</v>
      </c>
      <c r="C333" s="92">
        <f t="shared" ref="C333:E338" si="20">C325/B325</f>
        <v>7.6983943306923097E-2</v>
      </c>
      <c r="D333">
        <v>227678.30858684899</v>
      </c>
      <c r="E333" s="92">
        <f t="shared" si="20"/>
        <v>7.9284376838752002E-2</v>
      </c>
      <c r="F333" t="s">
        <v>304</v>
      </c>
      <c r="Q333" t="s">
        <v>14</v>
      </c>
      <c r="X333" t="s">
        <v>14</v>
      </c>
      <c r="Y333">
        <v>10.19</v>
      </c>
    </row>
    <row r="334" spans="1:30" x14ac:dyDescent="0.25">
      <c r="C334" s="92">
        <f t="shared" si="20"/>
        <v>7.4979483635917565E-3</v>
      </c>
      <c r="E334" s="92">
        <f t="shared" si="20"/>
        <v>7.4666471473888024E-3</v>
      </c>
      <c r="Q334" t="s">
        <v>15</v>
      </c>
      <c r="X334" t="s">
        <v>15</v>
      </c>
      <c r="Y334">
        <v>10.19</v>
      </c>
    </row>
    <row r="335" spans="1:30" x14ac:dyDescent="0.25">
      <c r="A335">
        <v>155</v>
      </c>
      <c r="B335">
        <f>1/($A$335*B332+B333)</f>
        <v>1.0857407701146602E-5</v>
      </c>
      <c r="C335" s="92">
        <f t="shared" si="20"/>
        <v>7.8940385142688332E-3</v>
      </c>
      <c r="D335">
        <f>1/($A$335*D332+D333)</f>
        <v>1.0726570803699097E-5</v>
      </c>
      <c r="E335" s="92">
        <f t="shared" si="20"/>
        <v>7.8227308968660241E-3</v>
      </c>
      <c r="Q335" t="s">
        <v>35</v>
      </c>
      <c r="X335" t="s">
        <v>35</v>
      </c>
      <c r="Y335">
        <v>10.19</v>
      </c>
    </row>
    <row r="336" spans="1:30" x14ac:dyDescent="0.25">
      <c r="C336" s="92">
        <f t="shared" si="20"/>
        <v>7.4617191194524465E-3</v>
      </c>
      <c r="E336" s="92">
        <f t="shared" si="20"/>
        <v>7.4328874079768745E-3</v>
      </c>
    </row>
    <row r="337" spans="1:30" x14ac:dyDescent="0.25">
      <c r="A337" t="s">
        <v>141</v>
      </c>
      <c r="B337" s="55">
        <v>2.2615000000000001E-9</v>
      </c>
      <c r="C337" s="92">
        <f t="shared" si="20"/>
        <v>7.2869796890358239E-3</v>
      </c>
      <c r="D337" s="55">
        <v>-1.3717999999999999E-7</v>
      </c>
      <c r="E337" s="92">
        <f t="shared" si="20"/>
        <v>7.3020955637120855E-3</v>
      </c>
      <c r="F337" t="s">
        <v>312</v>
      </c>
    </row>
    <row r="338" spans="1:30" x14ac:dyDescent="0.25">
      <c r="A338" t="s">
        <v>142</v>
      </c>
      <c r="B338" s="55">
        <v>1.0299000000000001E-5</v>
      </c>
      <c r="C338" s="92">
        <f t="shared" si="20"/>
        <v>7.5011470984025297E-3</v>
      </c>
      <c r="D338" s="55">
        <v>3.1448000000000001E-5</v>
      </c>
      <c r="E338" s="92">
        <f t="shared" si="20"/>
        <v>7.5268777353579997E-3</v>
      </c>
      <c r="F338" t="s">
        <v>312</v>
      </c>
    </row>
    <row r="339" spans="1:30" x14ac:dyDescent="0.25">
      <c r="B339" s="55"/>
      <c r="C339" s="92"/>
      <c r="D339" s="55"/>
      <c r="E339" s="55"/>
    </row>
    <row r="340" spans="1:30" x14ac:dyDescent="0.25">
      <c r="A340">
        <v>152</v>
      </c>
      <c r="B340">
        <f t="shared" ref="B340:D341" si="21">1/($A340*B$332+B$333)</f>
        <v>1.0514585474998846E-5</v>
      </c>
      <c r="C340" s="92"/>
      <c r="D340">
        <f t="shared" si="21"/>
        <v>1.0435283498530796E-5</v>
      </c>
    </row>
    <row r="341" spans="1:30" x14ac:dyDescent="0.25">
      <c r="A341">
        <v>154</v>
      </c>
      <c r="B341">
        <f t="shared" si="21"/>
        <v>1.0740676435650129E-5</v>
      </c>
      <c r="D341">
        <f t="shared" si="21"/>
        <v>1.0627684824759851E-5</v>
      </c>
    </row>
    <row r="342" spans="1:30" x14ac:dyDescent="0.25">
      <c r="A342">
        <v>156</v>
      </c>
      <c r="B342">
        <f>1/($A342*B$332+B$333)</f>
        <v>1.0976704150880412E-5</v>
      </c>
      <c r="D342">
        <f>1/($A342*D$332+D$333)</f>
        <v>1.0827314247478152E-5</v>
      </c>
      <c r="F342" t="s">
        <v>304</v>
      </c>
    </row>
    <row r="343" spans="1:30" x14ac:dyDescent="0.25">
      <c r="A343">
        <v>158</v>
      </c>
      <c r="B343">
        <f t="shared" ref="B343" si="22">1/($A343*B$332+B$333)</f>
        <v>1.1223338423995591E-5</v>
      </c>
      <c r="D343">
        <f>1/($A343*D$332+D$333)</f>
        <v>1.1034586879764951E-5</v>
      </c>
      <c r="F343" t="s">
        <v>304</v>
      </c>
    </row>
    <row r="344" spans="1:30" x14ac:dyDescent="0.25">
      <c r="A344">
        <v>160</v>
      </c>
      <c r="B344">
        <f>1/($A344*B$332+B$333)</f>
        <v>1.1481310640920646E-5</v>
      </c>
      <c r="D344">
        <f>1/($A344*D$332+D$333)</f>
        <v>1.1249950241947503E-5</v>
      </c>
      <c r="F344" t="s">
        <v>304</v>
      </c>
    </row>
    <row r="346" spans="1:30" x14ac:dyDescent="0.25">
      <c r="A346">
        <v>156</v>
      </c>
      <c r="B346">
        <f>($A346*B$337+B$338)</f>
        <v>1.0651794E-5</v>
      </c>
      <c r="D346">
        <f>($A346*D$337+D$338)</f>
        <v>1.0047920000000004E-5</v>
      </c>
      <c r="F346" t="s">
        <v>311</v>
      </c>
      <c r="J346">
        <v>1.1013500864335813E-5</v>
      </c>
      <c r="K346">
        <v>1.0242075440956102E-5</v>
      </c>
      <c r="L346" t="s">
        <v>314</v>
      </c>
    </row>
    <row r="347" spans="1:30" x14ac:dyDescent="0.25">
      <c r="A347">
        <v>158</v>
      </c>
      <c r="B347">
        <f t="shared" ref="B347" si="23">($A347*B$337+B$338)</f>
        <v>1.0656317000000001E-5</v>
      </c>
      <c r="D347">
        <f>($A347*D$337+D$338)</f>
        <v>9.7735600000000013E-6</v>
      </c>
      <c r="F347" t="s">
        <v>311</v>
      </c>
      <c r="J347">
        <v>1.1239224410523449E-5</v>
      </c>
      <c r="K347">
        <v>1.0596821052923017E-5</v>
      </c>
      <c r="L347" t="s">
        <v>314</v>
      </c>
    </row>
    <row r="348" spans="1:30" x14ac:dyDescent="0.25">
      <c r="A348">
        <v>160</v>
      </c>
      <c r="B348">
        <f>($A348*B$337+B$338)</f>
        <v>1.0660840000000001E-5</v>
      </c>
      <c r="D348">
        <f>($A348*D$337+D$338)</f>
        <v>9.4992000000000022E-6</v>
      </c>
      <c r="F348" t="s">
        <v>311</v>
      </c>
    </row>
    <row r="349" spans="1:30" ht="15.75" thickBot="1" x14ac:dyDescent="0.3"/>
    <row r="350" spans="1:30" ht="15.75" thickBot="1" x14ac:dyDescent="0.3">
      <c r="A350" s="64"/>
      <c r="B350" s="93" t="s">
        <v>335</v>
      </c>
      <c r="C350" s="94">
        <f>((MAX(B324:B330,D324:D330)-MIN(B324:B330,D324:D330))/AVERAGE(MAX(B324:B330,D324:D330),MIN(B324:B330,D324:D330)))</f>
        <v>0.15373692611999878</v>
      </c>
      <c r="D350" s="72" t="s">
        <v>337</v>
      </c>
      <c r="E350" s="95">
        <f>C350/G350</f>
        <v>1.9217115764999848E-2</v>
      </c>
      <c r="F350" s="72" t="s">
        <v>336</v>
      </c>
      <c r="G350" s="73">
        <f>160-152</f>
        <v>8</v>
      </c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</row>
    <row r="351" spans="1:30" ht="30.75" thickBot="1" x14ac:dyDescent="0.3">
      <c r="A351" t="s">
        <v>0</v>
      </c>
      <c r="B351" s="39" t="s">
        <v>228</v>
      </c>
      <c r="C351" s="77" t="s">
        <v>338</v>
      </c>
      <c r="D351" s="39" t="s">
        <v>229</v>
      </c>
      <c r="E351" s="77" t="s">
        <v>338</v>
      </c>
      <c r="R351" t="s">
        <v>320</v>
      </c>
      <c r="S351" t="s">
        <v>321</v>
      </c>
      <c r="T351" t="s">
        <v>322</v>
      </c>
      <c r="U351" t="s">
        <v>323</v>
      </c>
      <c r="X351" t="s">
        <v>324</v>
      </c>
      <c r="Y351" t="s">
        <v>325</v>
      </c>
    </row>
    <row r="352" spans="1:30" x14ac:dyDescent="0.25">
      <c r="A352">
        <v>156</v>
      </c>
      <c r="B352" s="55">
        <v>1.102E-5</v>
      </c>
      <c r="C352" s="55">
        <v>2.7739999999999999E-5</v>
      </c>
      <c r="D352" s="55">
        <v>1.0271E-5</v>
      </c>
      <c r="E352" s="55">
        <v>2.5820999999999999E-5</v>
      </c>
      <c r="F352" t="s">
        <v>124</v>
      </c>
      <c r="N352" s="65" t="s">
        <v>227</v>
      </c>
      <c r="R352" t="s">
        <v>15</v>
      </c>
      <c r="S352">
        <v>5.9999999999999995E-4</v>
      </c>
      <c r="T352" t="s">
        <v>35</v>
      </c>
      <c r="U352">
        <v>0.20469999999999999</v>
      </c>
      <c r="X352">
        <v>189949.3</v>
      </c>
      <c r="Y352">
        <v>204256.2</v>
      </c>
    </row>
    <row r="353" spans="1:25" ht="15.75" thickBot="1" x14ac:dyDescent="0.3">
      <c r="A353">
        <v>158</v>
      </c>
      <c r="B353">
        <f>B360</f>
        <v>1.7332491592007708E-5</v>
      </c>
      <c r="C353" s="55">
        <v>2.5820999999999999E-5</v>
      </c>
      <c r="D353" s="55">
        <v>1.0606000000000001E-6</v>
      </c>
      <c r="E353" s="55">
        <v>1.9246000000000002E-6</v>
      </c>
      <c r="F353" t="s">
        <v>124</v>
      </c>
      <c r="N353" s="66" t="s">
        <v>15</v>
      </c>
      <c r="R353" t="s">
        <v>15</v>
      </c>
      <c r="S353">
        <v>1E-4</v>
      </c>
      <c r="T353" t="s">
        <v>35</v>
      </c>
      <c r="U353">
        <v>0.24840000000000001</v>
      </c>
      <c r="X353">
        <v>226117.6</v>
      </c>
      <c r="Y353">
        <v>239825.3</v>
      </c>
    </row>
    <row r="354" spans="1:25" x14ac:dyDescent="0.25">
      <c r="A354">
        <v>160</v>
      </c>
      <c r="B354">
        <f t="shared" ref="B354:D354" si="24">B361</f>
        <v>7.7857916733744045E-6</v>
      </c>
      <c r="C354" s="55">
        <v>3.6997999999999998E-7</v>
      </c>
      <c r="D354">
        <f t="shared" si="24"/>
        <v>6.6442074069403478E-6</v>
      </c>
      <c r="E354" s="55">
        <v>2.7589999999999998E-7</v>
      </c>
      <c r="F354" t="s">
        <v>124</v>
      </c>
      <c r="R354" t="s">
        <v>15</v>
      </c>
      <c r="S354">
        <v>2.3400000000000001E-2</v>
      </c>
      <c r="T354" t="s">
        <v>35</v>
      </c>
      <c r="U354">
        <v>0.21859999999999999</v>
      </c>
      <c r="X354">
        <v>224639.7</v>
      </c>
      <c r="Y354">
        <v>233891.7</v>
      </c>
    </row>
    <row r="355" spans="1:25" ht="15.75" thickBot="1" x14ac:dyDescent="0.3">
      <c r="C355" t="s">
        <v>340</v>
      </c>
      <c r="E355" t="s">
        <v>340</v>
      </c>
      <c r="Q355" s="64"/>
      <c r="R355" s="64"/>
      <c r="S355" s="64"/>
      <c r="T355" s="64"/>
      <c r="U355" s="64"/>
      <c r="V355" s="64"/>
      <c r="W355" s="64"/>
      <c r="X355" s="64"/>
      <c r="Y355" s="64"/>
    </row>
    <row r="356" spans="1:25" x14ac:dyDescent="0.25">
      <c r="A356" t="s">
        <v>141</v>
      </c>
      <c r="B356">
        <v>35371.990422165502</v>
      </c>
      <c r="C356" s="92">
        <f>C352/B352</f>
        <v>2.5172413793103448</v>
      </c>
      <c r="D356">
        <v>-436906.78323644702</v>
      </c>
      <c r="E356" s="92">
        <f>E352/D352</f>
        <v>2.5139713757180409</v>
      </c>
      <c r="F356" t="s">
        <v>304</v>
      </c>
      <c r="Q356" t="s">
        <v>331</v>
      </c>
      <c r="R356" t="s">
        <v>332</v>
      </c>
    </row>
    <row r="357" spans="1:25" x14ac:dyDescent="0.25">
      <c r="A357" t="s">
        <v>142</v>
      </c>
      <c r="B357">
        <v>-5531079.3772199601</v>
      </c>
      <c r="C357" s="92">
        <f t="shared" ref="C357:E358" si="25">C353/B353</f>
        <v>1.4897454219395947</v>
      </c>
      <c r="D357">
        <v>70055592.359341905</v>
      </c>
      <c r="E357" s="92">
        <f t="shared" si="25"/>
        <v>1.81463322647558</v>
      </c>
      <c r="F357" t="s">
        <v>304</v>
      </c>
      <c r="Q357" t="s">
        <v>15</v>
      </c>
      <c r="X357" t="s">
        <v>15</v>
      </c>
      <c r="Y357">
        <v>10.19</v>
      </c>
    </row>
    <row r="358" spans="1:25" x14ac:dyDescent="0.25">
      <c r="C358" s="92">
        <f t="shared" si="25"/>
        <v>4.7519894639005751E-2</v>
      </c>
      <c r="E358" s="92">
        <f t="shared" si="25"/>
        <v>4.1524892752716112E-2</v>
      </c>
      <c r="Q358" t="s">
        <v>35</v>
      </c>
      <c r="X358" t="s">
        <v>35</v>
      </c>
      <c r="Y358">
        <v>10.19</v>
      </c>
    </row>
    <row r="359" spans="1:25" x14ac:dyDescent="0.25">
      <c r="A359">
        <v>156</v>
      </c>
      <c r="B359">
        <f>1/($A359*B$356+B$357)</f>
        <v>-7.6634980317242366E-5</v>
      </c>
      <c r="D359">
        <f>1/($A359*D$356+D$357)</f>
        <v>5.268331467065602E-7</v>
      </c>
      <c r="F359" t="s">
        <v>304</v>
      </c>
    </row>
    <row r="360" spans="1:25" x14ac:dyDescent="0.25">
      <c r="A360">
        <v>158</v>
      </c>
      <c r="B360">
        <f t="shared" ref="B360:D361" si="26">1/($A360*B$356+B$357)</f>
        <v>1.7332491592007708E-5</v>
      </c>
      <c r="D360">
        <f t="shared" si="26"/>
        <v>9.7625684010091361E-7</v>
      </c>
      <c r="F360" t="s">
        <v>304</v>
      </c>
    </row>
    <row r="361" spans="1:25" x14ac:dyDescent="0.25">
      <c r="A361">
        <v>160</v>
      </c>
      <c r="B361">
        <f t="shared" si="26"/>
        <v>7.7857916733744045E-6</v>
      </c>
      <c r="D361">
        <f t="shared" si="26"/>
        <v>6.6442074069403478E-6</v>
      </c>
      <c r="F361" t="s">
        <v>304</v>
      </c>
    </row>
    <row r="363" spans="1:25" x14ac:dyDescent="0.25">
      <c r="A363">
        <v>156</v>
      </c>
      <c r="B363">
        <f>MassSpecRept!CB15</f>
        <v>1.1013500864335813E-5</v>
      </c>
      <c r="D363">
        <f>MassSpecRept!CB25</f>
        <v>1.0242075440956102E-5</v>
      </c>
      <c r="F363" t="s">
        <v>315</v>
      </c>
    </row>
    <row r="364" spans="1:25" x14ac:dyDescent="0.25">
      <c r="A364">
        <v>158</v>
      </c>
      <c r="B364">
        <f>MassSpecRept!CD15</f>
        <v>1.1239224410523449E-5</v>
      </c>
      <c r="D364">
        <f>MassSpecRept!CD25</f>
        <v>1.0596821052923017E-5</v>
      </c>
      <c r="F364" t="s">
        <v>315</v>
      </c>
    </row>
    <row r="365" spans="1:25" x14ac:dyDescent="0.25">
      <c r="A365">
        <v>160</v>
      </c>
      <c r="B365">
        <f>MassSpecRept!CF15</f>
        <v>7.8247026587261274E-6</v>
      </c>
      <c r="D365">
        <f>MassSpecRept!CF25</f>
        <v>9.0046316576113724E-6</v>
      </c>
      <c r="F365" t="s">
        <v>313</v>
      </c>
    </row>
    <row r="371" spans="1:30" ht="15.75" thickBot="1" x14ac:dyDescent="0.3"/>
    <row r="372" spans="1:30" ht="15.75" thickBot="1" x14ac:dyDescent="0.3">
      <c r="A372" s="64"/>
      <c r="B372" s="93" t="s">
        <v>335</v>
      </c>
      <c r="C372" s="94">
        <f>((MAX(B352:B354,D352:D354)-MIN(B352:B354,D352:D354))/AVERAGE(MAX(B352:B354,D352:D354),MIN(B352:B354,D352:D354)))</f>
        <v>1.7693481827794821</v>
      </c>
      <c r="D372" s="72" t="s">
        <v>337</v>
      </c>
      <c r="E372" s="95">
        <f>C372/G372</f>
        <v>0.44233704569487053</v>
      </c>
      <c r="F372" s="72" t="s">
        <v>336</v>
      </c>
      <c r="G372" s="73">
        <f>160-156</f>
        <v>4</v>
      </c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</row>
    <row r="373" spans="1:30" ht="45.75" thickBot="1" x14ac:dyDescent="0.3">
      <c r="A373" s="113" t="s">
        <v>0</v>
      </c>
      <c r="B373" s="114" t="s">
        <v>230</v>
      </c>
      <c r="C373" s="115" t="s">
        <v>338</v>
      </c>
      <c r="D373" s="114" t="s">
        <v>231</v>
      </c>
      <c r="E373" s="115" t="s">
        <v>338</v>
      </c>
      <c r="F373" s="114" t="s">
        <v>232</v>
      </c>
      <c r="G373" s="115" t="s">
        <v>338</v>
      </c>
      <c r="H373" s="114" t="s">
        <v>234</v>
      </c>
      <c r="I373" s="113"/>
      <c r="J373" s="41"/>
      <c r="K373" s="41"/>
      <c r="L373" s="41"/>
      <c r="M373" s="41"/>
      <c r="N373" s="41"/>
      <c r="O373" s="41"/>
      <c r="P373" s="41"/>
      <c r="Q373" s="41"/>
      <c r="R373" s="41" t="s">
        <v>320</v>
      </c>
      <c r="S373" s="41" t="s">
        <v>321</v>
      </c>
      <c r="T373" s="41" t="s">
        <v>322</v>
      </c>
      <c r="U373" s="41" t="s">
        <v>323</v>
      </c>
      <c r="V373" s="41"/>
      <c r="W373" s="41"/>
      <c r="X373" s="41" t="s">
        <v>324</v>
      </c>
      <c r="Y373" s="41" t="s">
        <v>325</v>
      </c>
      <c r="Z373" s="41"/>
      <c r="AA373" s="41"/>
      <c r="AB373" s="41"/>
      <c r="AC373" s="41"/>
      <c r="AD373" s="41"/>
    </row>
    <row r="374" spans="1:30" x14ac:dyDescent="0.25">
      <c r="A374" s="116">
        <v>234</v>
      </c>
      <c r="B374" s="116">
        <v>1.2527777777772901E-5</v>
      </c>
      <c r="C374" s="117">
        <v>8.4124000000000006E-8</v>
      </c>
      <c r="D374" s="116">
        <v>1.31541666666615E-5</v>
      </c>
      <c r="E374" s="117">
        <v>8.9296999999999996E-8</v>
      </c>
      <c r="F374" s="118">
        <v>1.0624999999999999E-5</v>
      </c>
      <c r="G374" s="117">
        <v>8.3700000000000002E-8</v>
      </c>
      <c r="H374" s="116">
        <v>5.3999999999999998E-5</v>
      </c>
      <c r="I374" s="116" t="s">
        <v>241</v>
      </c>
      <c r="J374" s="41"/>
      <c r="K374" s="41"/>
      <c r="L374" s="41"/>
      <c r="M374" s="41"/>
      <c r="N374" s="102" t="s">
        <v>233</v>
      </c>
      <c r="O374" s="41"/>
      <c r="P374" s="41"/>
      <c r="Q374" s="41"/>
      <c r="R374" s="41" t="s">
        <v>16</v>
      </c>
      <c r="S374" s="103">
        <v>5.5000000000000002E-5</v>
      </c>
      <c r="T374" s="41"/>
      <c r="U374" s="41"/>
      <c r="V374" s="41"/>
      <c r="W374" s="41"/>
      <c r="X374" s="41">
        <v>50.4</v>
      </c>
      <c r="Y374" s="41">
        <v>48</v>
      </c>
      <c r="Z374" s="41">
        <v>27.2</v>
      </c>
      <c r="AA374" s="41"/>
      <c r="AB374" s="41"/>
      <c r="AC374" s="41"/>
      <c r="AD374" s="41"/>
    </row>
    <row r="375" spans="1:30" ht="15.75" thickBot="1" x14ac:dyDescent="0.3">
      <c r="A375" s="116">
        <v>235</v>
      </c>
      <c r="B375" s="116">
        <v>1.2766470099436867E-5</v>
      </c>
      <c r="C375" s="117">
        <v>6.4347E-8</v>
      </c>
      <c r="D375" s="116">
        <v>1.1176072906244085E-5</v>
      </c>
      <c r="E375" s="117">
        <v>5.6308999999999998E-8</v>
      </c>
      <c r="F375" s="118">
        <v>1.0764394347050329E-5</v>
      </c>
      <c r="G375" s="117">
        <v>5.4393000000000003E-8</v>
      </c>
      <c r="H375" s="116">
        <v>7.11E-3</v>
      </c>
      <c r="I375" s="116" t="s">
        <v>60</v>
      </c>
      <c r="J375" s="41"/>
      <c r="K375" s="41"/>
      <c r="L375" s="41"/>
      <c r="M375" s="41"/>
      <c r="N375" s="104" t="s">
        <v>16</v>
      </c>
      <c r="O375" s="41"/>
      <c r="P375" s="41"/>
      <c r="Q375" s="41"/>
      <c r="R375" s="41" t="s">
        <v>16</v>
      </c>
      <c r="S375" s="41">
        <v>7.1999999999999998E-3</v>
      </c>
      <c r="T375" s="41"/>
      <c r="U375" s="41"/>
      <c r="V375" s="41"/>
      <c r="W375" s="41"/>
      <c r="X375" s="41">
        <v>6474.46</v>
      </c>
      <c r="Y375" s="41">
        <v>7395.8</v>
      </c>
      <c r="Z375" s="41">
        <v>3530.9</v>
      </c>
      <c r="AA375" s="41"/>
      <c r="AB375" s="41"/>
      <c r="AC375" s="41"/>
      <c r="AD375" s="41"/>
    </row>
    <row r="376" spans="1:30" x14ac:dyDescent="0.25">
      <c r="A376" s="116">
        <v>238</v>
      </c>
      <c r="B376" s="116">
        <v>1.2940689859150829E-5</v>
      </c>
      <c r="C376" s="117">
        <v>6.5028000000000005E-8</v>
      </c>
      <c r="D376" s="116">
        <v>1.1103607129449637E-5</v>
      </c>
      <c r="E376" s="117">
        <v>5.5795999999999999E-8</v>
      </c>
      <c r="F376" s="118">
        <v>1.1012916039001945E-5</v>
      </c>
      <c r="G376" s="117">
        <v>5.5342E-8</v>
      </c>
      <c r="H376" s="116">
        <v>0.99268900000000004</v>
      </c>
      <c r="I376" s="116" t="s">
        <v>223</v>
      </c>
      <c r="J376" s="41"/>
      <c r="K376" s="41"/>
      <c r="L376" s="41"/>
      <c r="M376" s="41"/>
      <c r="N376" s="41"/>
      <c r="O376" s="41"/>
      <c r="P376" s="41"/>
      <c r="Q376" s="41"/>
      <c r="R376" s="41" t="s">
        <v>16</v>
      </c>
      <c r="S376" s="41">
        <v>0.99274499999999999</v>
      </c>
      <c r="T376" s="41"/>
      <c r="U376" s="41"/>
      <c r="V376" s="41"/>
      <c r="W376" s="41"/>
      <c r="X376" s="41">
        <v>880688.2</v>
      </c>
      <c r="Y376" s="80">
        <v>1026397</v>
      </c>
      <c r="Z376" s="41">
        <v>481945.2</v>
      </c>
      <c r="AA376" s="41"/>
      <c r="AB376" s="41"/>
      <c r="AC376" s="41"/>
      <c r="AD376" s="41"/>
    </row>
    <row r="377" spans="1:30" ht="15.75" thickBot="1" x14ac:dyDescent="0.3">
      <c r="A377" s="116"/>
      <c r="B377" s="117">
        <v>1.2986999999999999E-5</v>
      </c>
      <c r="C377" s="116" t="s">
        <v>340</v>
      </c>
      <c r="D377" s="117">
        <v>1.1143E-5</v>
      </c>
      <c r="E377" s="116" t="s">
        <v>340</v>
      </c>
      <c r="F377" s="116"/>
      <c r="G377" s="116" t="s">
        <v>340</v>
      </c>
      <c r="H377" s="116"/>
      <c r="I377" s="116"/>
      <c r="J377" s="41"/>
      <c r="K377" s="41"/>
      <c r="L377" s="41"/>
      <c r="M377" s="41"/>
      <c r="N377" s="41"/>
      <c r="O377" s="41"/>
      <c r="P377" s="41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41"/>
      <c r="AB377" s="41"/>
      <c r="AC377" s="41"/>
      <c r="AD377" s="41"/>
    </row>
    <row r="378" spans="1:30" x14ac:dyDescent="0.25">
      <c r="A378" s="116"/>
      <c r="B378" s="116"/>
      <c r="C378" s="119">
        <f>C374/B374</f>
        <v>6.7149977827077149E-3</v>
      </c>
      <c r="D378" s="119"/>
      <c r="E378" s="119">
        <f t="shared" ref="E378:G378" si="27">E374/D374</f>
        <v>6.7884954070346589E-3</v>
      </c>
      <c r="F378" s="119"/>
      <c r="G378" s="119">
        <f t="shared" si="27"/>
        <v>7.8776470588235309E-3</v>
      </c>
      <c r="H378" s="116"/>
      <c r="I378" s="116"/>
      <c r="J378" s="41"/>
      <c r="K378" s="41"/>
      <c r="L378" s="41"/>
      <c r="M378" s="41"/>
      <c r="N378" s="41"/>
      <c r="O378" s="41"/>
      <c r="P378" s="41"/>
      <c r="Q378" s="41" t="s">
        <v>331</v>
      </c>
      <c r="R378" s="41" t="s">
        <v>332</v>
      </c>
      <c r="S378" s="41"/>
      <c r="T378" s="41" t="s">
        <v>16</v>
      </c>
      <c r="U378" s="41" t="s">
        <v>16</v>
      </c>
      <c r="V378" s="41"/>
      <c r="W378" s="41"/>
      <c r="X378" s="41"/>
      <c r="Y378" s="41"/>
      <c r="Z378" s="41"/>
      <c r="AA378" s="41"/>
      <c r="AB378" s="41"/>
      <c r="AC378" s="41"/>
      <c r="AD378" s="41"/>
    </row>
    <row r="379" spans="1:30" ht="45" x14ac:dyDescent="0.25">
      <c r="A379" s="116"/>
      <c r="B379" s="116"/>
      <c r="C379" s="119">
        <f t="shared" ref="C379:G380" si="28">C375/B375</f>
        <v>5.040312592189314E-3</v>
      </c>
      <c r="D379" s="119"/>
      <c r="E379" s="119">
        <f t="shared" si="28"/>
        <v>5.0383529592528059E-3</v>
      </c>
      <c r="F379" s="119"/>
      <c r="G379" s="119">
        <f t="shared" si="28"/>
        <v>5.0530478767627863E-3</v>
      </c>
      <c r="H379" s="116"/>
      <c r="I379" s="116"/>
      <c r="J379" s="41"/>
      <c r="K379" s="41"/>
      <c r="L379" s="41"/>
      <c r="M379" s="41"/>
      <c r="N379" s="41"/>
      <c r="O379" s="41"/>
      <c r="P379" s="41"/>
      <c r="Q379" s="41" t="s">
        <v>16</v>
      </c>
      <c r="R379" s="41"/>
      <c r="S379" s="41"/>
      <c r="T379" s="41">
        <v>11.48</v>
      </c>
      <c r="U379" s="41">
        <v>11.48</v>
      </c>
      <c r="V379" s="106" t="s">
        <v>116</v>
      </c>
      <c r="W379" s="106" t="s">
        <v>117</v>
      </c>
      <c r="X379" s="106" t="s">
        <v>118</v>
      </c>
      <c r="Y379" s="41"/>
      <c r="Z379" s="41"/>
      <c r="AA379" s="41"/>
      <c r="AB379" s="41"/>
      <c r="AC379" s="41"/>
      <c r="AD379" s="41"/>
    </row>
    <row r="380" spans="1:30" x14ac:dyDescent="0.25">
      <c r="A380" s="116"/>
      <c r="B380" s="116"/>
      <c r="C380" s="119">
        <f t="shared" si="28"/>
        <v>5.0250798611031046E-3</v>
      </c>
      <c r="D380" s="119"/>
      <c r="E380" s="119">
        <f t="shared" si="28"/>
        <v>5.0250336984649412E-3</v>
      </c>
      <c r="F380" s="119"/>
      <c r="G380" s="119">
        <f t="shared" si="28"/>
        <v>5.0251904040680782E-3</v>
      </c>
      <c r="H380" s="116"/>
      <c r="I380" s="116"/>
      <c r="J380" s="41"/>
      <c r="K380" s="41"/>
      <c r="L380" s="41"/>
      <c r="M380" s="41"/>
      <c r="N380" s="41">
        <v>5.3999999999999998E-5</v>
      </c>
      <c r="O380" s="41"/>
      <c r="P380" s="41"/>
      <c r="Q380" s="41"/>
      <c r="R380" s="41"/>
      <c r="S380" s="41"/>
      <c r="T380" s="41"/>
      <c r="U380" s="41"/>
      <c r="V380" s="41">
        <v>2.8909940458425598E-4</v>
      </c>
      <c r="W380" s="107">
        <v>3.8007927433476398E-2</v>
      </c>
      <c r="X380" s="41">
        <v>5.3076220225349102</v>
      </c>
      <c r="Y380" s="41"/>
      <c r="Z380" s="41"/>
      <c r="AA380" s="41"/>
      <c r="AB380" s="41"/>
      <c r="AC380" s="41"/>
      <c r="AD380" s="41"/>
    </row>
    <row r="381" spans="1:30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>
        <v>7.11E-3</v>
      </c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</row>
    <row r="382" spans="1:30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>
        <v>0.99268900000000004</v>
      </c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</row>
    <row r="383" spans="1:30" ht="15.75" thickBot="1" x14ac:dyDescent="0.3">
      <c r="A383" s="105"/>
      <c r="B383" s="108" t="s">
        <v>335</v>
      </c>
      <c r="C383" s="109">
        <f>((MAX(B374:B376,D374:D376,F374:F376)-MIN(B374:B376,D374:D376,F374:F376))/AVERAGE(MAX(B374:B376,D374:D376,F374:F376),MIN(B374:B376,D374:D376,F374:F376)))</f>
        <v>0.21272121955454426</v>
      </c>
      <c r="D383" s="110" t="s">
        <v>337</v>
      </c>
      <c r="E383" s="111">
        <f>C383/G383</f>
        <v>5.3180304888636065E-2</v>
      </c>
      <c r="F383" s="110" t="s">
        <v>336</v>
      </c>
      <c r="G383" s="112">
        <f>238-234</f>
        <v>4</v>
      </c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</row>
    <row r="384" spans="1:30" ht="30.75" thickBot="1" x14ac:dyDescent="0.3">
      <c r="A384" t="s">
        <v>0</v>
      </c>
      <c r="B384" s="39" t="s">
        <v>237</v>
      </c>
      <c r="C384" s="77" t="s">
        <v>338</v>
      </c>
      <c r="D384" s="39" t="s">
        <v>238</v>
      </c>
      <c r="E384" s="77" t="s">
        <v>338</v>
      </c>
      <c r="R384" t="s">
        <v>320</v>
      </c>
      <c r="S384" t="s">
        <v>321</v>
      </c>
      <c r="T384" t="s">
        <v>322</v>
      </c>
      <c r="U384" t="s">
        <v>323</v>
      </c>
      <c r="X384" t="s">
        <v>324</v>
      </c>
      <c r="Y384" t="s">
        <v>325</v>
      </c>
    </row>
    <row r="385" spans="1:30" x14ac:dyDescent="0.25">
      <c r="A385">
        <v>239</v>
      </c>
      <c r="B385">
        <v>1.2664053229061313E-5</v>
      </c>
      <c r="C385" s="55">
        <v>6.3639000000000005E-8</v>
      </c>
      <c r="D385">
        <v>1.1392976279520019E-5</v>
      </c>
      <c r="E385" s="55">
        <v>5.7251000000000001E-8</v>
      </c>
      <c r="N385" s="65" t="s">
        <v>235</v>
      </c>
      <c r="R385" t="s">
        <v>236</v>
      </c>
      <c r="S385">
        <v>6.0549850000000003</v>
      </c>
      <c r="X385">
        <v>478123.8</v>
      </c>
      <c r="Y385">
        <v>531466.5</v>
      </c>
    </row>
    <row r="386" spans="1:30" ht="15.75" thickBot="1" x14ac:dyDescent="0.3">
      <c r="A386">
        <v>240</v>
      </c>
      <c r="B386">
        <v>1.2700478278198484E-5</v>
      </c>
      <c r="C386" s="55">
        <v>6.3944999999999995E-8</v>
      </c>
      <c r="D386">
        <v>1.1571422865048787E-5</v>
      </c>
      <c r="E386" s="55">
        <v>5.8251000000000003E-8</v>
      </c>
      <c r="N386" s="66" t="s">
        <v>236</v>
      </c>
      <c r="R386" t="s">
        <v>236</v>
      </c>
      <c r="S386">
        <v>0.12746199999999999</v>
      </c>
      <c r="X386">
        <v>10036</v>
      </c>
      <c r="Y386">
        <v>11015.24</v>
      </c>
    </row>
    <row r="387" spans="1:30" x14ac:dyDescent="0.25">
      <c r="A387">
        <v>241</v>
      </c>
      <c r="B387">
        <f>(U392+V392)/X387</f>
        <v>1.2019945595711185E-5</v>
      </c>
      <c r="C387" s="55">
        <v>9.2353000000000006E-8</v>
      </c>
      <c r="D387">
        <f>(U392+V392)/Y387</f>
        <v>1.3080529030626879E-5</v>
      </c>
      <c r="E387" s="55">
        <v>1.0300999999999999E-7</v>
      </c>
      <c r="R387" t="s">
        <v>236</v>
      </c>
      <c r="S387">
        <v>2.3511100000000001E-4</v>
      </c>
      <c r="X387">
        <v>29.6</v>
      </c>
      <c r="Y387">
        <v>27.2</v>
      </c>
    </row>
    <row r="388" spans="1:30" x14ac:dyDescent="0.25">
      <c r="A388">
        <v>242</v>
      </c>
      <c r="B388">
        <v>1.1232142857142857E-5</v>
      </c>
      <c r="C388" s="55">
        <v>1.6026000000000001E-7</v>
      </c>
      <c r="D388">
        <v>1.3104166666666667E-5</v>
      </c>
      <c r="E388" s="55">
        <v>2.0017E-7</v>
      </c>
      <c r="R388" t="s">
        <v>236</v>
      </c>
      <c r="S388" s="55">
        <v>6.2898791031619906E-5</v>
      </c>
      <c r="X388">
        <v>5.6</v>
      </c>
      <c r="Y388">
        <v>4.8</v>
      </c>
    </row>
    <row r="389" spans="1:30" ht="15.75" thickBot="1" x14ac:dyDescent="0.3">
      <c r="C389" t="s">
        <v>340</v>
      </c>
      <c r="Q389" s="64"/>
      <c r="R389" s="64"/>
      <c r="S389" s="64"/>
      <c r="T389" s="64"/>
      <c r="U389" s="64"/>
      <c r="V389" s="64"/>
      <c r="W389" s="64"/>
      <c r="X389" s="64"/>
      <c r="Y389" s="64"/>
    </row>
    <row r="390" spans="1:30" x14ac:dyDescent="0.25">
      <c r="C390" s="92">
        <f>C385/B385</f>
        <v>5.0251683918985761E-3</v>
      </c>
      <c r="D390" s="92"/>
      <c r="E390" s="92">
        <f t="shared" ref="E390" si="29">E385/D385</f>
        <v>5.0251135959015585E-3</v>
      </c>
      <c r="Q390" t="s">
        <v>331</v>
      </c>
      <c r="R390" t="s">
        <v>332</v>
      </c>
    </row>
    <row r="391" spans="1:30" ht="45" x14ac:dyDescent="0.25">
      <c r="C391" s="92">
        <f t="shared" ref="C391:E393" si="30">C386/B386</f>
        <v>5.0348497591439015E-3</v>
      </c>
      <c r="D391" s="92"/>
      <c r="E391" s="92">
        <f t="shared" si="30"/>
        <v>5.0340395195430801E-3</v>
      </c>
      <c r="Q391" t="s">
        <v>236</v>
      </c>
      <c r="R391" s="25" t="s">
        <v>108</v>
      </c>
      <c r="S391" s="25" t="s">
        <v>109</v>
      </c>
      <c r="T391" s="25" t="s">
        <v>110</v>
      </c>
      <c r="U391" s="25" t="s">
        <v>111</v>
      </c>
      <c r="V391" s="25" t="s">
        <v>112</v>
      </c>
      <c r="W391" s="25" t="s">
        <v>113</v>
      </c>
    </row>
    <row r="392" spans="1:30" ht="15.75" thickBot="1" x14ac:dyDescent="0.3">
      <c r="C392" s="92">
        <f t="shared" si="30"/>
        <v>7.6833126460199878E-3</v>
      </c>
      <c r="D392" s="97"/>
      <c r="E392" s="92">
        <f t="shared" si="30"/>
        <v>7.875063750006699E-3</v>
      </c>
      <c r="R392" s="34">
        <v>7.8243700939372397E-5</v>
      </c>
      <c r="S392" s="34">
        <v>6.0549848484448203</v>
      </c>
      <c r="T392" s="34">
        <v>0.127461758557805</v>
      </c>
      <c r="U392" s="34">
        <v>2.35110829157913E-4</v>
      </c>
      <c r="V392" s="34">
        <v>1.2067956047513809E-4</v>
      </c>
      <c r="W392" s="98">
        <v>6.2898791031619906E-5</v>
      </c>
    </row>
    <row r="393" spans="1:30" x14ac:dyDescent="0.25">
      <c r="C393" s="92">
        <f t="shared" si="30"/>
        <v>1.4267980922098571E-2</v>
      </c>
      <c r="D393" s="97"/>
      <c r="E393" s="92">
        <f>E388/D388</f>
        <v>1.5275294117647059E-2</v>
      </c>
    </row>
    <row r="395" spans="1:30" x14ac:dyDescent="0.25">
      <c r="T395" s="55"/>
    </row>
    <row r="397" spans="1:30" ht="15.75" thickBot="1" x14ac:dyDescent="0.3">
      <c r="A397" s="64"/>
      <c r="B397" s="64" t="s">
        <v>335</v>
      </c>
      <c r="C397" s="64">
        <f>((MAX(B385:B388,D385:D388)-MIN(B385:B388,D385:D388))/AVERAGE(MAX(B385:B388,D385:D388),MIN(B385:B388,D385:D388)))</f>
        <v>0.15384615384615394</v>
      </c>
      <c r="D397" s="64" t="s">
        <v>337</v>
      </c>
      <c r="E397" s="64">
        <f>C397/G397</f>
        <v>5.1282051282051315E-2</v>
      </c>
      <c r="F397" s="64" t="s">
        <v>336</v>
      </c>
      <c r="G397" s="64">
        <f>242-239</f>
        <v>3</v>
      </c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</row>
    <row r="398" spans="1:30" ht="45.75" thickBot="1" x14ac:dyDescent="0.3">
      <c r="A398" t="s">
        <v>0</v>
      </c>
      <c r="B398" s="39" t="s">
        <v>230</v>
      </c>
      <c r="C398" s="77" t="s">
        <v>338</v>
      </c>
      <c r="D398" s="39" t="s">
        <v>231</v>
      </c>
      <c r="E398" s="77" t="s">
        <v>338</v>
      </c>
      <c r="F398" s="39" t="s">
        <v>232</v>
      </c>
      <c r="G398" s="77" t="s">
        <v>338</v>
      </c>
      <c r="H398" s="39" t="s">
        <v>234</v>
      </c>
      <c r="R398" t="s">
        <v>320</v>
      </c>
      <c r="S398" t="s">
        <v>321</v>
      </c>
      <c r="T398" t="s">
        <v>322</v>
      </c>
      <c r="U398" t="s">
        <v>323</v>
      </c>
      <c r="X398" t="s">
        <v>324</v>
      </c>
      <c r="Y398" t="s">
        <v>325</v>
      </c>
    </row>
    <row r="399" spans="1:30" x14ac:dyDescent="0.25">
      <c r="A399">
        <v>234</v>
      </c>
      <c r="B399" s="55">
        <f>(T404*H399)/X399</f>
        <v>1.2300000000000001E-5</v>
      </c>
      <c r="C399" s="55">
        <v>8.4124000000000006E-8</v>
      </c>
      <c r="D399" s="55">
        <f>(H399*T404)/Y399</f>
        <v>1.2915000000000001E-5</v>
      </c>
      <c r="E399" s="55">
        <v>8.9296999999999996E-8</v>
      </c>
      <c r="F399" s="75">
        <f>V405/Z399</f>
        <v>1.0628654580303529E-5</v>
      </c>
      <c r="G399" s="55">
        <v>8.3700000000000002E-8</v>
      </c>
      <c r="H399">
        <v>5.3999999999999998E-5</v>
      </c>
      <c r="I399" t="s">
        <v>241</v>
      </c>
      <c r="N399" s="65" t="s">
        <v>233</v>
      </c>
      <c r="R399" t="s">
        <v>16</v>
      </c>
      <c r="S399" s="83">
        <v>5.5000000000000002E-5</v>
      </c>
      <c r="X399">
        <v>50.4</v>
      </c>
      <c r="Y399">
        <v>48</v>
      </c>
      <c r="Z399">
        <v>27.2</v>
      </c>
    </row>
    <row r="400" spans="1:30" ht="15.75" thickBot="1" x14ac:dyDescent="0.3">
      <c r="A400">
        <v>235</v>
      </c>
      <c r="B400">
        <f>(H400*T404)/X400</f>
        <v>1.2606889223193904E-5</v>
      </c>
      <c r="C400" s="55">
        <v>6.4347E-8</v>
      </c>
      <c r="D400">
        <f>(H400*T404)/Y400</f>
        <v>1.1036371994916034E-5</v>
      </c>
      <c r="E400" s="55">
        <v>5.6308999999999998E-8</v>
      </c>
      <c r="F400" s="75">
        <f>(W405)/Z400</f>
        <v>1.0764373795201335E-5</v>
      </c>
      <c r="G400" s="55">
        <v>5.4393000000000003E-8</v>
      </c>
      <c r="H400">
        <v>7.11E-3</v>
      </c>
      <c r="I400" t="s">
        <v>60</v>
      </c>
      <c r="J400" s="52"/>
      <c r="N400" s="66" t="s">
        <v>16</v>
      </c>
      <c r="R400" t="s">
        <v>16</v>
      </c>
      <c r="S400">
        <v>7.1999999999999998E-3</v>
      </c>
      <c r="X400">
        <v>6474.46</v>
      </c>
      <c r="Y400">
        <v>7395.8</v>
      </c>
      <c r="Z400">
        <v>3530.9</v>
      </c>
    </row>
    <row r="401" spans="1:30" x14ac:dyDescent="0.25">
      <c r="A401">
        <v>238</v>
      </c>
      <c r="B401" s="101">
        <f>(H401*T404)/X401</f>
        <v>1.2939959590692826E-5</v>
      </c>
      <c r="C401" s="55">
        <v>6.5028000000000005E-8</v>
      </c>
      <c r="D401">
        <f>(H401*T404)/Y401</f>
        <v>1.1102984244887701E-5</v>
      </c>
      <c r="E401" s="55">
        <v>5.5795999999999999E-8</v>
      </c>
      <c r="F401" s="75">
        <f>(X405/Z401)*(S401/H401)</f>
        <v>1.1013537303406163E-5</v>
      </c>
      <c r="G401" s="55">
        <v>5.5342E-8</v>
      </c>
      <c r="H401">
        <v>0.99268900000000004</v>
      </c>
      <c r="I401" t="s">
        <v>223</v>
      </c>
      <c r="R401" t="s">
        <v>16</v>
      </c>
      <c r="S401">
        <v>0.99274499999999999</v>
      </c>
      <c r="X401">
        <v>880688.2</v>
      </c>
      <c r="Y401" s="37">
        <v>1026397</v>
      </c>
      <c r="Z401">
        <v>481945.2</v>
      </c>
    </row>
    <row r="402" spans="1:30" ht="15.75" thickBot="1" x14ac:dyDescent="0.3">
      <c r="B402" s="55">
        <v>1.2986999999999999E-5</v>
      </c>
      <c r="C402" t="s">
        <v>340</v>
      </c>
      <c r="D402" s="55">
        <v>1.1143E-5</v>
      </c>
      <c r="E402" t="s">
        <v>340</v>
      </c>
      <c r="G402" t="s">
        <v>340</v>
      </c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30" x14ac:dyDescent="0.25">
      <c r="C403" s="92">
        <f>C399/B399</f>
        <v>6.8393495934959353E-3</v>
      </c>
      <c r="D403" s="92"/>
      <c r="E403" s="92">
        <f t="shared" ref="E403:E405" si="31">E399/D399</f>
        <v>6.9142082849399916E-3</v>
      </c>
      <c r="F403" s="92"/>
      <c r="G403" s="92">
        <f t="shared" ref="G403:G405" si="32">G399/F399</f>
        <v>7.874938391083712E-3</v>
      </c>
      <c r="Q403" t="s">
        <v>331</v>
      </c>
      <c r="R403" t="s">
        <v>332</v>
      </c>
      <c r="T403" t="s">
        <v>16</v>
      </c>
      <c r="U403" t="s">
        <v>16</v>
      </c>
    </row>
    <row r="404" spans="1:30" ht="45" x14ac:dyDescent="0.25">
      <c r="C404" s="92">
        <f t="shared" ref="C404:C405" si="33">C400/B400</f>
        <v>5.1041140174069004E-3</v>
      </c>
      <c r="D404" s="92"/>
      <c r="E404" s="92">
        <f t="shared" si="31"/>
        <v>5.1021295789901834E-3</v>
      </c>
      <c r="F404" s="92"/>
      <c r="G404" s="92">
        <f t="shared" si="32"/>
        <v>5.053057524279576E-3</v>
      </c>
      <c r="Q404" t="s">
        <v>16</v>
      </c>
      <c r="T404">
        <v>11.48</v>
      </c>
      <c r="U404">
        <v>11.48</v>
      </c>
      <c r="V404" s="25" t="s">
        <v>116</v>
      </c>
      <c r="W404" s="25" t="s">
        <v>117</v>
      </c>
      <c r="X404" s="25" t="s">
        <v>118</v>
      </c>
    </row>
    <row r="405" spans="1:30" x14ac:dyDescent="0.25">
      <c r="C405" s="92">
        <f t="shared" si="33"/>
        <v>5.0253634521990262E-3</v>
      </c>
      <c r="D405" s="92"/>
      <c r="E405" s="92">
        <f t="shared" si="31"/>
        <v>5.0253156060894996E-3</v>
      </c>
      <c r="F405" s="92"/>
      <c r="G405" s="92">
        <f t="shared" si="32"/>
        <v>5.024906937291105E-3</v>
      </c>
      <c r="N405">
        <v>5.3999999999999998E-5</v>
      </c>
      <c r="V405">
        <v>2.8909940458425598E-4</v>
      </c>
      <c r="W405" s="99">
        <v>3.8007927433476398E-2</v>
      </c>
      <c r="X405">
        <v>5.3076220225349102</v>
      </c>
    </row>
    <row r="406" spans="1:30" x14ac:dyDescent="0.25">
      <c r="N406">
        <v>7.11E-3</v>
      </c>
    </row>
    <row r="407" spans="1:30" ht="15.75" thickBot="1" x14ac:dyDescent="0.3">
      <c r="N407">
        <v>0.99268900000000004</v>
      </c>
    </row>
    <row r="408" spans="1:30" ht="15.75" thickBot="1" x14ac:dyDescent="0.3">
      <c r="A408" s="64"/>
      <c r="B408" s="93" t="s">
        <v>335</v>
      </c>
      <c r="C408" s="94">
        <f>((MAX(B399:B401,D399:D401,F399:F401)-MIN(B399:B401,D399:D401,F399:F401))/AVERAGE(MAX(B399:B401,D399:D401,F399:F401),MIN(B399:B401,D399:D401,F399:F401)))</f>
        <v>0.19613414633717413</v>
      </c>
      <c r="D408" s="72" t="s">
        <v>337</v>
      </c>
      <c r="E408" s="95">
        <f>C408/G408</f>
        <v>4.9033536584293533E-2</v>
      </c>
      <c r="F408" s="72" t="s">
        <v>336</v>
      </c>
      <c r="G408" s="73">
        <f>238-234</f>
        <v>4</v>
      </c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</row>
    <row r="412" spans="1:30" x14ac:dyDescent="0.25">
      <c r="E412" s="75">
        <f>AVERAGE(B401,D401,F401)</f>
        <v>1.1685493712995563E-5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5" workbookViewId="0">
      <selection activeCell="K37" sqref="K37:L38"/>
    </sheetView>
  </sheetViews>
  <sheetFormatPr defaultRowHeight="15" x14ac:dyDescent="0.25"/>
  <sheetData>
    <row r="1" spans="1:19" x14ac:dyDescent="0.25">
      <c r="L1">
        <f>C4*D4*144</f>
        <v>45.047952000000002</v>
      </c>
      <c r="M1">
        <f>C4*D4</f>
        <v>0.31283300000000003</v>
      </c>
      <c r="N1">
        <f>G4*H4*144</f>
        <v>349.23167999999998</v>
      </c>
      <c r="O1">
        <f>G4*H4</f>
        <v>2.4252199999999999</v>
      </c>
      <c r="P1">
        <v>0</v>
      </c>
      <c r="Q1">
        <v>0</v>
      </c>
      <c r="R1">
        <v>0</v>
      </c>
      <c r="S1">
        <v>0</v>
      </c>
    </row>
    <row r="2" spans="1:19" x14ac:dyDescent="0.25">
      <c r="E2" t="s">
        <v>247</v>
      </c>
      <c r="I2" t="s">
        <v>247</v>
      </c>
      <c r="L2">
        <f>C7*D7*148</f>
        <v>169.512688</v>
      </c>
      <c r="M2">
        <f>C7*D7</f>
        <v>1.145356</v>
      </c>
      <c r="N2">
        <f>G7*H7*148</f>
        <v>85.96284</v>
      </c>
      <c r="O2">
        <f>G7*H7</f>
        <v>0.58082999999999996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242</v>
      </c>
      <c r="B3" t="s">
        <v>243</v>
      </c>
      <c r="C3" t="s">
        <v>244</v>
      </c>
      <c r="D3" t="s">
        <v>245</v>
      </c>
      <c r="E3" t="s">
        <v>246</v>
      </c>
      <c r="F3" t="s">
        <v>248</v>
      </c>
      <c r="G3" t="s">
        <v>249</v>
      </c>
      <c r="H3" t="s">
        <v>250</v>
      </c>
      <c r="I3" t="s">
        <v>251</v>
      </c>
      <c r="L3">
        <f>C10*D10*150</f>
        <v>112.80329999999999</v>
      </c>
      <c r="M3">
        <f>C10*D10</f>
        <v>0.75202199999999997</v>
      </c>
      <c r="N3">
        <f>G10*H10*150</f>
        <v>85.596000000000004</v>
      </c>
      <c r="O3">
        <f>G10*H10</f>
        <v>0.57064000000000004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252207.2</v>
      </c>
      <c r="C4">
        <v>10.19</v>
      </c>
      <c r="D4">
        <v>3.0700000000000002E-2</v>
      </c>
      <c r="G4">
        <v>10.19</v>
      </c>
      <c r="H4">
        <v>0.23799999999999999</v>
      </c>
      <c r="L4">
        <f>C13*D13*152</f>
        <v>414.3254</v>
      </c>
      <c r="M4">
        <f>C13*D13</f>
        <v>2.7258249999999999</v>
      </c>
      <c r="N4">
        <v>0</v>
      </c>
      <c r="O4">
        <v>0</v>
      </c>
      <c r="P4">
        <f>J13*K13*152</f>
        <v>3.0977599999999996</v>
      </c>
      <c r="Q4">
        <f>J13*K13</f>
        <v>2.0379999999999999E-2</v>
      </c>
      <c r="R4">
        <v>0</v>
      </c>
      <c r="S4">
        <v>0</v>
      </c>
    </row>
    <row r="5" spans="1:19" x14ac:dyDescent="0.25">
      <c r="A5">
        <v>261595.6</v>
      </c>
      <c r="L5">
        <f>C16*D16*154</f>
        <v>357.00664999999998</v>
      </c>
      <c r="M5">
        <f>D16*C16</f>
        <v>2.318225</v>
      </c>
      <c r="N5">
        <v>0</v>
      </c>
      <c r="O5">
        <v>0</v>
      </c>
      <c r="P5">
        <f>J16*K16*154</f>
        <v>34.209868</v>
      </c>
      <c r="Q5">
        <f>J16*K16</f>
        <v>0.22214199999999998</v>
      </c>
      <c r="R5">
        <v>0</v>
      </c>
      <c r="S5">
        <v>0</v>
      </c>
    </row>
    <row r="6" spans="1:19" x14ac:dyDescent="0.25">
      <c r="A6" t="s">
        <v>252</v>
      </c>
      <c r="B6" t="s">
        <v>243</v>
      </c>
      <c r="C6" t="s">
        <v>253</v>
      </c>
      <c r="D6" t="s">
        <v>254</v>
      </c>
      <c r="E6" t="s">
        <v>255</v>
      </c>
      <c r="F6" t="s">
        <v>248</v>
      </c>
      <c r="G6" t="s">
        <v>249</v>
      </c>
      <c r="H6" t="s">
        <v>256</v>
      </c>
      <c r="I6" t="s">
        <v>257</v>
      </c>
      <c r="L6">
        <v>0</v>
      </c>
      <c r="M6">
        <v>0</v>
      </c>
      <c r="N6">
        <v>0</v>
      </c>
      <c r="O6">
        <v>0</v>
      </c>
      <c r="P6">
        <f>J19*K19*156</f>
        <v>325.39930800000002</v>
      </c>
      <c r="Q6">
        <f>J19*K19</f>
        <v>2.085893</v>
      </c>
      <c r="R6">
        <f>N19*O19*156</f>
        <v>0.95378399999999985</v>
      </c>
      <c r="S6">
        <f>N19*O19</f>
        <v>6.1139999999999988E-3</v>
      </c>
    </row>
    <row r="7" spans="1:19" x14ac:dyDescent="0.25">
      <c r="A7">
        <v>159080.6</v>
      </c>
      <c r="C7">
        <v>10.19</v>
      </c>
      <c r="D7">
        <v>0.1124</v>
      </c>
      <c r="G7">
        <v>10.19</v>
      </c>
      <c r="H7">
        <v>5.7000000000000002E-2</v>
      </c>
      <c r="L7">
        <v>0</v>
      </c>
      <c r="M7">
        <v>0</v>
      </c>
      <c r="N7">
        <v>0</v>
      </c>
      <c r="O7">
        <v>0</v>
      </c>
      <c r="P7">
        <f>J22*K22*158</f>
        <v>399.928968</v>
      </c>
      <c r="Q7">
        <f>J22*K22</f>
        <v>2.531196</v>
      </c>
      <c r="R7">
        <f>N22*O22*158</f>
        <v>1.61002</v>
      </c>
      <c r="S7">
        <f>N22*O22</f>
        <v>1.0189999999999999E-2</v>
      </c>
    </row>
    <row r="8" spans="1:19" x14ac:dyDescent="0.25">
      <c r="A8">
        <v>166099.1</v>
      </c>
      <c r="L8">
        <v>0</v>
      </c>
      <c r="M8">
        <v>0</v>
      </c>
      <c r="N8">
        <v>0</v>
      </c>
      <c r="O8">
        <v>0</v>
      </c>
      <c r="P8">
        <f>J25*K25*160</f>
        <v>356.40544</v>
      </c>
      <c r="Q8">
        <f>J25*K25</f>
        <v>2.2275339999999999</v>
      </c>
      <c r="R8">
        <f>N25*O25*160</f>
        <v>38.151359999999997</v>
      </c>
      <c r="S8">
        <f>N25*O25</f>
        <v>0.23844599999999999</v>
      </c>
    </row>
    <row r="9" spans="1:19" x14ac:dyDescent="0.25">
      <c r="A9" t="s">
        <v>258</v>
      </c>
      <c r="B9" t="s">
        <v>243</v>
      </c>
      <c r="C9" t="s">
        <v>253</v>
      </c>
      <c r="D9" t="s">
        <v>259</v>
      </c>
      <c r="E9" t="s">
        <v>260</v>
      </c>
      <c r="F9" t="s">
        <v>248</v>
      </c>
      <c r="G9" t="s">
        <v>249</v>
      </c>
      <c r="H9" t="s">
        <v>261</v>
      </c>
      <c r="I9" t="s">
        <v>262</v>
      </c>
    </row>
    <row r="10" spans="1:19" x14ac:dyDescent="0.25">
      <c r="A10">
        <v>123524.2</v>
      </c>
      <c r="C10">
        <v>10.19</v>
      </c>
      <c r="D10">
        <v>7.3800000000000004E-2</v>
      </c>
      <c r="G10">
        <v>10.19</v>
      </c>
      <c r="H10">
        <v>5.6000000000000001E-2</v>
      </c>
    </row>
    <row r="11" spans="1:19" x14ac:dyDescent="0.25">
      <c r="A11">
        <v>130299.7</v>
      </c>
      <c r="L11" t="s">
        <v>247</v>
      </c>
    </row>
    <row r="12" spans="1:19" x14ac:dyDescent="0.25">
      <c r="A12" t="s">
        <v>263</v>
      </c>
      <c r="B12" t="s">
        <v>243</v>
      </c>
      <c r="C12" t="s">
        <v>253</v>
      </c>
      <c r="D12" t="s">
        <v>264</v>
      </c>
      <c r="E12" t="s">
        <v>265</v>
      </c>
      <c r="F12" t="s">
        <v>248</v>
      </c>
      <c r="J12" t="s">
        <v>267</v>
      </c>
      <c r="K12" t="s">
        <v>266</v>
      </c>
      <c r="L12" t="s">
        <v>268</v>
      </c>
    </row>
    <row r="13" spans="1:19" x14ac:dyDescent="0.25">
      <c r="A13">
        <v>254124.3</v>
      </c>
      <c r="C13">
        <v>10.19</v>
      </c>
      <c r="D13">
        <v>0.26750000000000002</v>
      </c>
      <c r="J13">
        <v>10.19</v>
      </c>
      <c r="K13">
        <v>2E-3</v>
      </c>
    </row>
    <row r="14" spans="1:19" x14ac:dyDescent="0.25">
      <c r="A14">
        <v>264231.8</v>
      </c>
    </row>
    <row r="15" spans="1:19" x14ac:dyDescent="0.25">
      <c r="A15" t="s">
        <v>269</v>
      </c>
      <c r="B15" t="s">
        <v>243</v>
      </c>
      <c r="C15" t="s">
        <v>253</v>
      </c>
      <c r="D15" t="s">
        <v>270</v>
      </c>
      <c r="E15" t="s">
        <v>271</v>
      </c>
      <c r="F15" t="s">
        <v>248</v>
      </c>
      <c r="J15" t="s">
        <v>267</v>
      </c>
      <c r="K15" t="s">
        <v>272</v>
      </c>
      <c r="L15" t="s">
        <v>273</v>
      </c>
    </row>
    <row r="16" spans="1:19" x14ac:dyDescent="0.25">
      <c r="A16">
        <v>236974.6</v>
      </c>
      <c r="C16">
        <v>10.19</v>
      </c>
      <c r="D16">
        <v>0.22750000000000001</v>
      </c>
      <c r="J16">
        <v>10.19</v>
      </c>
      <c r="K16">
        <v>2.18E-2</v>
      </c>
    </row>
    <row r="17" spans="1:20" x14ac:dyDescent="0.25">
      <c r="A17">
        <v>246588.6</v>
      </c>
      <c r="P17" t="s">
        <v>247</v>
      </c>
    </row>
    <row r="18" spans="1:20" x14ac:dyDescent="0.25">
      <c r="A18" t="s">
        <v>274</v>
      </c>
      <c r="B18" t="s">
        <v>243</v>
      </c>
      <c r="J18" t="s">
        <v>267</v>
      </c>
      <c r="K18" t="s">
        <v>275</v>
      </c>
      <c r="L18" t="s">
        <v>276</v>
      </c>
      <c r="M18" t="s">
        <v>248</v>
      </c>
      <c r="N18" t="s">
        <v>277</v>
      </c>
      <c r="O18" t="s">
        <v>278</v>
      </c>
      <c r="P18" t="s">
        <v>279</v>
      </c>
    </row>
    <row r="19" spans="1:20" x14ac:dyDescent="0.25">
      <c r="A19">
        <v>189949.3</v>
      </c>
      <c r="J19">
        <v>10.19</v>
      </c>
      <c r="K19">
        <v>0.20469999999999999</v>
      </c>
      <c r="N19">
        <v>10.19</v>
      </c>
      <c r="O19">
        <v>5.9999999999999995E-4</v>
      </c>
    </row>
    <row r="20" spans="1:20" x14ac:dyDescent="0.25">
      <c r="A20">
        <v>204256.2</v>
      </c>
    </row>
    <row r="21" spans="1:20" x14ac:dyDescent="0.25">
      <c r="A21" t="s">
        <v>280</v>
      </c>
      <c r="B21" t="s">
        <v>243</v>
      </c>
      <c r="J21" t="s">
        <v>267</v>
      </c>
      <c r="K21" t="s">
        <v>281</v>
      </c>
      <c r="L21" t="s">
        <v>282</v>
      </c>
      <c r="M21" t="s">
        <v>248</v>
      </c>
      <c r="N21" t="s">
        <v>277</v>
      </c>
      <c r="O21" t="s">
        <v>283</v>
      </c>
      <c r="P21" t="s">
        <v>284</v>
      </c>
    </row>
    <row r="22" spans="1:20" x14ac:dyDescent="0.25">
      <c r="A22">
        <v>226117.6</v>
      </c>
      <c r="J22">
        <v>10.19</v>
      </c>
      <c r="K22">
        <v>0.24840000000000001</v>
      </c>
      <c r="N22">
        <v>10.19</v>
      </c>
      <c r="O22">
        <v>1E-3</v>
      </c>
    </row>
    <row r="23" spans="1:20" x14ac:dyDescent="0.25">
      <c r="A23">
        <v>239825.3</v>
      </c>
    </row>
    <row r="24" spans="1:20" x14ac:dyDescent="0.25">
      <c r="A24" t="s">
        <v>285</v>
      </c>
      <c r="B24" t="s">
        <v>243</v>
      </c>
      <c r="J24" t="s">
        <v>267</v>
      </c>
      <c r="K24" t="s">
        <v>286</v>
      </c>
      <c r="L24" t="s">
        <v>287</v>
      </c>
      <c r="M24" t="s">
        <v>248</v>
      </c>
      <c r="N24" t="s">
        <v>277</v>
      </c>
      <c r="O24" t="s">
        <v>288</v>
      </c>
      <c r="P24" t="s">
        <v>289</v>
      </c>
    </row>
    <row r="25" spans="1:20" x14ac:dyDescent="0.25">
      <c r="A25">
        <v>224639.7</v>
      </c>
      <c r="J25">
        <v>10.19</v>
      </c>
      <c r="K25">
        <v>0.21859999999999999</v>
      </c>
      <c r="N25">
        <v>10.19</v>
      </c>
      <c r="O25">
        <v>2.3400000000000001E-2</v>
      </c>
    </row>
    <row r="26" spans="1:20" ht="15.75" thickBot="1" x14ac:dyDescent="0.3">
      <c r="A26" s="64">
        <v>233891.7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.75" thickBot="1" x14ac:dyDescent="0.3"/>
    <row r="28" spans="1:20" ht="15.75" thickBot="1" x14ac:dyDescent="0.3">
      <c r="F28" s="71" t="s">
        <v>300</v>
      </c>
      <c r="G28" s="72"/>
      <c r="H28" s="72" t="s">
        <v>303</v>
      </c>
      <c r="I28" s="72"/>
      <c r="J28" s="72" t="s">
        <v>301</v>
      </c>
      <c r="K28" s="72"/>
      <c r="L28" s="72"/>
      <c r="M28" s="72" t="s">
        <v>243</v>
      </c>
      <c r="N28" s="73" t="s">
        <v>302</v>
      </c>
    </row>
    <row r="30" spans="1:20" x14ac:dyDescent="0.25">
      <c r="K30" t="s">
        <v>290</v>
      </c>
      <c r="L30" t="s">
        <v>291</v>
      </c>
      <c r="N30" t="s">
        <v>239</v>
      </c>
      <c r="O30" t="s">
        <v>240</v>
      </c>
    </row>
    <row r="31" spans="1:20" x14ac:dyDescent="0.25">
      <c r="A31">
        <f>C4*D4*144</f>
        <v>45.047952000000002</v>
      </c>
      <c r="B31">
        <f>C4*D4</f>
        <v>0.31283300000000003</v>
      </c>
      <c r="C31">
        <f>G4*H4*144</f>
        <v>349.23167999999998</v>
      </c>
      <c r="D31">
        <f>H4*G4</f>
        <v>2.4252199999999999</v>
      </c>
      <c r="E31">
        <v>0</v>
      </c>
      <c r="F31">
        <v>0</v>
      </c>
      <c r="G31">
        <v>0</v>
      </c>
      <c r="H31">
        <v>0</v>
      </c>
      <c r="J31" t="s">
        <v>292</v>
      </c>
      <c r="K31">
        <v>391.74626877127599</v>
      </c>
      <c r="L31">
        <v>566.56501584360694</v>
      </c>
      <c r="N31">
        <v>252207.2</v>
      </c>
      <c r="O31">
        <v>261595.6</v>
      </c>
    </row>
    <row r="32" spans="1:20" x14ac:dyDescent="0.25">
      <c r="A32">
        <f>C7*D7*148</f>
        <v>169.512688</v>
      </c>
      <c r="B32">
        <f>C7*D7</f>
        <v>1.145356</v>
      </c>
      <c r="C32">
        <f>G7*H7*148</f>
        <v>85.96284</v>
      </c>
      <c r="D32">
        <f>G7*H7</f>
        <v>0.58082999999999996</v>
      </c>
      <c r="E32">
        <v>0</v>
      </c>
      <c r="F32">
        <v>0</v>
      </c>
      <c r="G32">
        <v>0</v>
      </c>
      <c r="H32">
        <v>0</v>
      </c>
      <c r="J32" t="s">
        <v>293</v>
      </c>
      <c r="K32">
        <v>32971.893109405297</v>
      </c>
      <c r="L32">
        <v>10102.091513040799</v>
      </c>
      <c r="N32">
        <v>159080.6</v>
      </c>
      <c r="O32">
        <v>166099.1</v>
      </c>
    </row>
    <row r="33" spans="1:15" x14ac:dyDescent="0.25">
      <c r="A33">
        <f>C10*D10*150</f>
        <v>112.80329999999999</v>
      </c>
      <c r="B33">
        <f>D10*C10</f>
        <v>0.75202199999999997</v>
      </c>
      <c r="C33">
        <f>G10*H10*150</f>
        <v>85.596000000000004</v>
      </c>
      <c r="D33">
        <f>G10*H10</f>
        <v>0.57064000000000004</v>
      </c>
      <c r="E33">
        <v>0</v>
      </c>
      <c r="F33">
        <v>0</v>
      </c>
      <c r="G33">
        <v>0</v>
      </c>
      <c r="H33">
        <v>0</v>
      </c>
      <c r="J33" t="s">
        <v>294</v>
      </c>
      <c r="K33">
        <v>518.35878867681504</v>
      </c>
      <c r="L33">
        <v>1165.15495101996</v>
      </c>
      <c r="N33">
        <v>123524.2</v>
      </c>
      <c r="O33">
        <v>130299.7</v>
      </c>
    </row>
    <row r="34" spans="1:15" x14ac:dyDescent="0.25">
      <c r="A34">
        <f>C13*D13*152</f>
        <v>414.3254</v>
      </c>
      <c r="B34">
        <f>D13*C13</f>
        <v>2.7258249999999999</v>
      </c>
      <c r="C34">
        <v>0</v>
      </c>
      <c r="D34">
        <v>0</v>
      </c>
      <c r="E34">
        <f>J13*K13*152</f>
        <v>3.0977599999999996</v>
      </c>
      <c r="F34">
        <f>K13*J13</f>
        <v>2.0379999999999999E-2</v>
      </c>
      <c r="G34">
        <v>0</v>
      </c>
      <c r="H34">
        <v>0</v>
      </c>
      <c r="J34" t="s">
        <v>295</v>
      </c>
      <c r="K34">
        <v>17820.167258536301</v>
      </c>
      <c r="L34">
        <v>-71744.535439226296</v>
      </c>
      <c r="N34">
        <v>254124.3</v>
      </c>
      <c r="O34">
        <v>264231.8</v>
      </c>
    </row>
    <row r="35" spans="1:15" x14ac:dyDescent="0.25">
      <c r="A35">
        <f>C16*D16*154</f>
        <v>357.00664999999998</v>
      </c>
      <c r="B35">
        <f>D16*C16</f>
        <v>2.318225</v>
      </c>
      <c r="C35">
        <v>0</v>
      </c>
      <c r="D35">
        <v>0</v>
      </c>
      <c r="E35">
        <f>J16*K16*154</f>
        <v>34.209868</v>
      </c>
      <c r="F35">
        <f>K16*J16</f>
        <v>0.22214199999999998</v>
      </c>
      <c r="G35">
        <v>0</v>
      </c>
      <c r="H35">
        <v>0</v>
      </c>
      <c r="J35" t="s">
        <v>296</v>
      </c>
      <c r="K35">
        <v>-1000.98925142717</v>
      </c>
      <c r="L35">
        <v>-867.43141591360495</v>
      </c>
      <c r="N35">
        <v>236974.6</v>
      </c>
      <c r="O35">
        <v>246588.6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f>J19*K19*156</f>
        <v>325.39930800000002</v>
      </c>
      <c r="F36">
        <f>K19*J19</f>
        <v>2.085893</v>
      </c>
      <c r="G36">
        <f>N19*O19*156</f>
        <v>0.95378399999999985</v>
      </c>
      <c r="H36">
        <f>O19*N19</f>
        <v>6.1139999999999988E-3</v>
      </c>
      <c r="J36" t="s">
        <v>297</v>
      </c>
      <c r="K36">
        <v>247256.350411719</v>
      </c>
      <c r="L36">
        <v>227678.30858684899</v>
      </c>
      <c r="N36">
        <v>189949.3</v>
      </c>
      <c r="O36">
        <v>204256.2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f>J22*K22*158</f>
        <v>399.928968</v>
      </c>
      <c r="F37">
        <f>K22*J22</f>
        <v>2.531196</v>
      </c>
      <c r="G37">
        <f>N22*O22*158</f>
        <v>1.61002</v>
      </c>
      <c r="H37">
        <f>O22*N22</f>
        <v>1.0189999999999999E-2</v>
      </c>
      <c r="J37" t="s">
        <v>298</v>
      </c>
      <c r="K37">
        <v>35371.990422165502</v>
      </c>
      <c r="L37">
        <v>-436906.78323644702</v>
      </c>
      <c r="N37">
        <v>226117.6</v>
      </c>
      <c r="O37">
        <v>239825.3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f>J25*K25*160</f>
        <v>356.40544</v>
      </c>
      <c r="F38">
        <f>K25*J25</f>
        <v>2.2275339999999999</v>
      </c>
      <c r="G38">
        <f>N25*O25*160</f>
        <v>38.151359999999997</v>
      </c>
      <c r="H38">
        <f>O25*N25</f>
        <v>0.23844599999999999</v>
      </c>
      <c r="J38" t="s">
        <v>299</v>
      </c>
      <c r="K38">
        <v>-5531079.3772199601</v>
      </c>
      <c r="L38">
        <v>70055592.359341905</v>
      </c>
      <c r="N38">
        <v>224639.7</v>
      </c>
      <c r="O38">
        <v>233891.7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A12" sqref="A12"/>
    </sheetView>
  </sheetViews>
  <sheetFormatPr defaultRowHeight="15" x14ac:dyDescent="0.25"/>
  <cols>
    <col min="1" max="1" width="85" bestFit="1" customWidth="1"/>
    <col min="4" max="4" width="12" bestFit="1" customWidth="1"/>
  </cols>
  <sheetData>
    <row r="1" spans="1:16" ht="15.75" thickBot="1" x14ac:dyDescent="0.3">
      <c r="A1" t="s">
        <v>46</v>
      </c>
    </row>
    <row r="2" spans="1:16" ht="15.75" thickBot="1" x14ac:dyDescent="0.3">
      <c r="A2" s="4" t="s">
        <v>47</v>
      </c>
      <c r="B2" s="5" t="s">
        <v>48</v>
      </c>
      <c r="C2" s="6" t="s">
        <v>7</v>
      </c>
      <c r="D2" s="7" t="s">
        <v>33</v>
      </c>
      <c r="E2" s="7" t="s">
        <v>13</v>
      </c>
      <c r="F2" s="7" t="s">
        <v>26</v>
      </c>
      <c r="G2" s="7" t="s">
        <v>34</v>
      </c>
      <c r="H2" s="7" t="s">
        <v>14</v>
      </c>
      <c r="I2" s="7" t="s">
        <v>27</v>
      </c>
      <c r="J2" s="7" t="s">
        <v>35</v>
      </c>
      <c r="K2" s="7" t="s">
        <v>28</v>
      </c>
      <c r="L2" s="7" t="s">
        <v>15</v>
      </c>
      <c r="M2" s="7" t="s">
        <v>49</v>
      </c>
      <c r="N2" s="7" t="s">
        <v>50</v>
      </c>
      <c r="O2" s="7" t="s">
        <v>51</v>
      </c>
      <c r="P2" s="7" t="s">
        <v>52</v>
      </c>
    </row>
    <row r="3" spans="1:16" ht="15.75" thickBot="1" x14ac:dyDescent="0.3">
      <c r="A3" s="4"/>
      <c r="B3" s="9" t="s">
        <v>53</v>
      </c>
      <c r="C3" s="10" t="s">
        <v>54</v>
      </c>
      <c r="D3" s="11" t="s">
        <v>55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4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5.75" thickBot="1" x14ac:dyDescent="0.3">
      <c r="A5" s="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5.75" thickBot="1" x14ac:dyDescent="0.3">
      <c r="A6" s="4" t="s">
        <v>56</v>
      </c>
      <c r="B6" s="14" t="s">
        <v>57</v>
      </c>
      <c r="C6" s="15" t="s">
        <v>58</v>
      </c>
      <c r="D6" s="15" t="s">
        <v>59</v>
      </c>
      <c r="E6" s="15" t="s">
        <v>60</v>
      </c>
      <c r="F6" s="15" t="s">
        <v>61</v>
      </c>
      <c r="G6" s="15" t="s">
        <v>62</v>
      </c>
      <c r="H6" s="15" t="s">
        <v>63</v>
      </c>
      <c r="I6" s="15" t="s">
        <v>64</v>
      </c>
      <c r="J6" s="16" t="s">
        <v>65</v>
      </c>
      <c r="K6" s="15" t="s">
        <v>66</v>
      </c>
      <c r="L6" s="16" t="s">
        <v>67</v>
      </c>
      <c r="M6" s="16" t="s">
        <v>68</v>
      </c>
      <c r="N6" s="15" t="s">
        <v>69</v>
      </c>
      <c r="O6" s="15" t="s">
        <v>70</v>
      </c>
      <c r="P6" s="15" t="s">
        <v>2</v>
      </c>
    </row>
    <row r="7" spans="1:16" ht="15.75" thickBot="1" x14ac:dyDescent="0.3">
      <c r="A7" s="18"/>
      <c r="B7" s="19" t="s">
        <v>71</v>
      </c>
      <c r="C7" s="20" t="s">
        <v>4</v>
      </c>
      <c r="D7" s="21" t="s">
        <v>18</v>
      </c>
      <c r="E7" s="21" t="s">
        <v>19</v>
      </c>
      <c r="F7" s="15" t="s">
        <v>21</v>
      </c>
      <c r="G7" s="15" t="s">
        <v>30</v>
      </c>
      <c r="H7" s="15" t="s">
        <v>23</v>
      </c>
      <c r="I7" s="21" t="s">
        <v>25</v>
      </c>
      <c r="J7" s="15" t="s">
        <v>33</v>
      </c>
      <c r="K7" s="21" t="s">
        <v>27</v>
      </c>
      <c r="L7" s="15" t="s">
        <v>49</v>
      </c>
      <c r="M7" s="15" t="s">
        <v>52</v>
      </c>
      <c r="N7" s="21" t="s">
        <v>72</v>
      </c>
      <c r="O7" s="21" t="s">
        <v>73</v>
      </c>
      <c r="P7" s="21" t="s">
        <v>74</v>
      </c>
    </row>
    <row r="8" spans="1:16" ht="30.75" thickBot="1" x14ac:dyDescent="0.3">
      <c r="A8" s="18"/>
      <c r="B8" s="19" t="s">
        <v>54</v>
      </c>
      <c r="C8" s="20" t="s">
        <v>16</v>
      </c>
      <c r="D8" s="22" t="s">
        <v>75</v>
      </c>
      <c r="E8" s="23"/>
      <c r="F8" s="24" t="s">
        <v>76</v>
      </c>
      <c r="G8" s="25" t="s">
        <v>77</v>
      </c>
      <c r="H8" s="25" t="s">
        <v>78</v>
      </c>
      <c r="I8" s="23"/>
      <c r="J8" s="26"/>
      <c r="K8" s="23"/>
      <c r="L8" s="26"/>
      <c r="M8" s="26"/>
      <c r="N8" s="23"/>
      <c r="O8" s="23"/>
      <c r="P8" s="23"/>
    </row>
    <row r="9" spans="1:16" ht="15.75" thickBot="1" x14ac:dyDescent="0.3">
      <c r="A9" s="18"/>
      <c r="B9" s="27"/>
      <c r="C9" s="27"/>
      <c r="D9" s="28"/>
      <c r="E9" s="29"/>
      <c r="F9" s="17"/>
      <c r="G9" s="30">
        <v>40.988118938903796</v>
      </c>
      <c r="H9" s="30">
        <v>20.606008214871654</v>
      </c>
      <c r="I9" s="29"/>
      <c r="J9" s="26"/>
      <c r="K9" s="29"/>
      <c r="L9" s="26"/>
      <c r="M9" s="26"/>
      <c r="N9" s="29"/>
      <c r="O9" s="29"/>
      <c r="P9" s="29"/>
    </row>
    <row r="10" spans="1:16" ht="15.75" thickBot="1" x14ac:dyDescent="0.3">
      <c r="A10" s="18"/>
      <c r="B10" s="27"/>
      <c r="C10" s="27"/>
      <c r="D10" s="28"/>
      <c r="E10" s="29"/>
      <c r="F10" s="17"/>
      <c r="G10" s="30"/>
      <c r="H10" s="30"/>
      <c r="I10" s="29"/>
      <c r="J10" s="26"/>
      <c r="K10" s="29"/>
      <c r="L10" s="26"/>
      <c r="M10" s="26"/>
      <c r="N10" s="29"/>
      <c r="O10" s="29"/>
      <c r="P10" s="29"/>
    </row>
    <row r="11" spans="1:16" ht="15.75" thickBot="1" x14ac:dyDescent="0.3">
      <c r="A11" s="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5.75" thickBot="1" x14ac:dyDescent="0.3">
      <c r="A12" s="4" t="s">
        <v>79</v>
      </c>
      <c r="B12" s="5" t="s">
        <v>29</v>
      </c>
      <c r="C12" s="6" t="s">
        <v>20</v>
      </c>
      <c r="D12" s="6" t="s">
        <v>10</v>
      </c>
      <c r="E12" s="6" t="s">
        <v>11</v>
      </c>
      <c r="F12" s="6" t="s">
        <v>23</v>
      </c>
      <c r="G12" s="6" t="s">
        <v>31</v>
      </c>
      <c r="H12" s="6" t="s">
        <v>80</v>
      </c>
      <c r="I12" s="6" t="s">
        <v>81</v>
      </c>
      <c r="J12" s="6" t="s">
        <v>82</v>
      </c>
      <c r="K12" s="6" t="s">
        <v>83</v>
      </c>
      <c r="L12" s="31" t="s">
        <v>84</v>
      </c>
      <c r="M12" s="32"/>
      <c r="N12" s="32"/>
      <c r="O12" s="32"/>
      <c r="P12" s="32"/>
    </row>
    <row r="13" spans="1:16" ht="15.75" thickBot="1" x14ac:dyDescent="0.3">
      <c r="A13" s="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5.75" thickBot="1" x14ac:dyDescent="0.3">
      <c r="A14" s="4" t="s">
        <v>85</v>
      </c>
      <c r="B14" s="5" t="s">
        <v>59</v>
      </c>
      <c r="C14" s="6" t="s">
        <v>86</v>
      </c>
      <c r="D14" s="6" t="s">
        <v>87</v>
      </c>
      <c r="E14" s="6" t="s">
        <v>88</v>
      </c>
      <c r="F14" s="6" t="s">
        <v>89</v>
      </c>
      <c r="G14" s="6" t="s">
        <v>17</v>
      </c>
      <c r="H14" s="6" t="s">
        <v>8</v>
      </c>
      <c r="I14" s="6" t="s">
        <v>9</v>
      </c>
      <c r="J14" s="6" t="s">
        <v>19</v>
      </c>
      <c r="K14" s="6" t="s">
        <v>90</v>
      </c>
      <c r="L14" s="6" t="s">
        <v>91</v>
      </c>
      <c r="M14" s="33" t="s">
        <v>92</v>
      </c>
      <c r="N14" s="31" t="s">
        <v>93</v>
      </c>
      <c r="O14" s="32"/>
      <c r="P14" s="32"/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45.75" thickBot="1" x14ac:dyDescent="0.3">
      <c r="A17" s="34"/>
      <c r="B17" s="25" t="s">
        <v>94</v>
      </c>
      <c r="C17" s="25" t="s">
        <v>95</v>
      </c>
      <c r="D17" s="25" t="s">
        <v>96</v>
      </c>
      <c r="E17" s="25" t="s">
        <v>97</v>
      </c>
      <c r="F17" s="25" t="s">
        <v>98</v>
      </c>
      <c r="G17" s="25" t="s">
        <v>99</v>
      </c>
      <c r="H17" s="25" t="s">
        <v>100</v>
      </c>
      <c r="I17" s="25" t="s">
        <v>101</v>
      </c>
      <c r="J17" s="25" t="s">
        <v>102</v>
      </c>
      <c r="K17" s="25" t="s">
        <v>103</v>
      </c>
      <c r="L17" s="25" t="s">
        <v>104</v>
      </c>
      <c r="M17" s="25" t="s">
        <v>105</v>
      </c>
      <c r="N17" s="25" t="s">
        <v>106</v>
      </c>
      <c r="O17" s="8"/>
      <c r="P17" s="8"/>
    </row>
    <row r="18" spans="1:16" ht="15.75" thickBot="1" x14ac:dyDescent="0.3">
      <c r="A18" s="35" t="s">
        <v>107</v>
      </c>
      <c r="B18" s="34">
        <v>504.02195217313891</v>
      </c>
      <c r="C18" s="34">
        <v>500.69669378220647</v>
      </c>
      <c r="D18" s="34">
        <v>500.62441386645293</v>
      </c>
      <c r="E18" s="34">
        <v>501.1041892272176</v>
      </c>
      <c r="F18" s="34">
        <v>1995.8512224883168</v>
      </c>
      <c r="G18" s="34">
        <v>254.81954424236693</v>
      </c>
      <c r="H18" s="34">
        <v>253.16107094523008</v>
      </c>
      <c r="I18" s="34">
        <v>2.1211268533635823</v>
      </c>
      <c r="J18" s="34">
        <v>2.1306026434272893</v>
      </c>
      <c r="K18" s="34">
        <v>8.5213121719884644</v>
      </c>
      <c r="L18" s="34">
        <v>1.0594926032726757</v>
      </c>
      <c r="M18" s="34">
        <v>8.5159720170791235</v>
      </c>
      <c r="N18" s="34">
        <v>1.0584173604110692</v>
      </c>
      <c r="O18" s="8"/>
      <c r="P18" s="8"/>
    </row>
    <row r="20" spans="1:16" ht="45" x14ac:dyDescent="0.25">
      <c r="B20" s="25" t="s">
        <v>108</v>
      </c>
      <c r="C20" s="25" t="s">
        <v>109</v>
      </c>
      <c r="D20" s="25" t="s">
        <v>110</v>
      </c>
      <c r="E20" s="25" t="s">
        <v>111</v>
      </c>
      <c r="F20" s="25" t="s">
        <v>112</v>
      </c>
      <c r="G20" s="25" t="s">
        <v>113</v>
      </c>
    </row>
    <row r="21" spans="1:16" ht="15.75" thickBot="1" x14ac:dyDescent="0.3">
      <c r="A21" s="36" t="s">
        <v>114</v>
      </c>
      <c r="B21" s="34">
        <v>7.824370093937237E-5</v>
      </c>
      <c r="C21" s="34">
        <v>6.0549848484448212</v>
      </c>
      <c r="D21" s="34">
        <v>0.12746175855780453</v>
      </c>
      <c r="E21" s="34">
        <v>2.3511082915791324E-4</v>
      </c>
      <c r="F21" s="34">
        <v>1.2067956047513809E-4</v>
      </c>
      <c r="G21" s="34">
        <v>6.289879103161992E-5</v>
      </c>
    </row>
    <row r="22" spans="1:16" x14ac:dyDescent="0.25">
      <c r="A22" s="36"/>
    </row>
    <row r="23" spans="1:16" ht="45" x14ac:dyDescent="0.25">
      <c r="A23" s="36"/>
      <c r="B23" s="25" t="s">
        <v>115</v>
      </c>
      <c r="C23" s="25" t="s">
        <v>116</v>
      </c>
      <c r="D23" s="25" t="s">
        <v>117</v>
      </c>
      <c r="E23" s="25" t="s">
        <v>118</v>
      </c>
    </row>
    <row r="24" spans="1:16" x14ac:dyDescent="0.25">
      <c r="A24" s="36" t="s">
        <v>119</v>
      </c>
      <c r="B24">
        <v>2.274926592948924</v>
      </c>
      <c r="C24">
        <v>2.8909940458425609E-4</v>
      </c>
      <c r="D24">
        <v>3.8007927433476432E-2</v>
      </c>
      <c r="E24">
        <v>5.3076220225349093</v>
      </c>
    </row>
    <row r="26" spans="1:16" x14ac:dyDescent="0.25">
      <c r="D26">
        <f>C24/C28</f>
        <v>5.4078522685105931E-5</v>
      </c>
    </row>
    <row r="27" spans="1:16" x14ac:dyDescent="0.25">
      <c r="A27" s="100" t="s">
        <v>342</v>
      </c>
      <c r="D27">
        <f>D24/C28</f>
        <v>7.1097087483833919E-3</v>
      </c>
    </row>
    <row r="28" spans="1:16" x14ac:dyDescent="0.25">
      <c r="C28">
        <f>C24+D24+E24</f>
        <v>5.34591904937297</v>
      </c>
      <c r="D28">
        <f>E24/C28</f>
        <v>0.99283621272893152</v>
      </c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MassSpecRept</vt:lpstr>
      <vt:lpstr>Response_Functions</vt:lpstr>
      <vt:lpstr>Equation</vt:lpstr>
      <vt:lpstr>Standards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Guthrie</dc:creator>
  <cp:lastModifiedBy>Paul M. Mendoza</cp:lastModifiedBy>
  <cp:lastPrinted>2015-09-17T12:48:16Z</cp:lastPrinted>
  <dcterms:created xsi:type="dcterms:W3CDTF">2015-02-26T00:05:32Z</dcterms:created>
  <dcterms:modified xsi:type="dcterms:W3CDTF">2015-10-07T15:47:34Z</dcterms:modified>
</cp:coreProperties>
</file>