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Z:\School\Research\Calculations\Mass_Spec\Instrument_Response\"/>
    </mc:Choice>
  </mc:AlternateContent>
  <bookViews>
    <workbookView xWindow="0" yWindow="0" windowWidth="19170" windowHeight="7560" activeTab="1"/>
  </bookViews>
  <sheets>
    <sheet name="MassSpecRept" sheetId="2" r:id="rId1"/>
    <sheet name="Response_Functions" sheetId="5" r:id="rId2"/>
    <sheet name="List of Elements" sheetId="9" r:id="rId3"/>
    <sheet name="Equation" sheetId="8" r:id="rId4"/>
    <sheet name="Standards" sheetId="6" r:id="rId5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21" i="5" l="1"/>
  <c r="H220" i="5"/>
  <c r="B168" i="5" l="1"/>
  <c r="B171" i="5"/>
  <c r="B102" i="5" l="1"/>
  <c r="B113" i="5"/>
  <c r="D312" i="5" l="1"/>
  <c r="B312" i="5"/>
  <c r="B298" i="5"/>
  <c r="B340" i="5" l="1"/>
  <c r="B324" i="5" s="1"/>
  <c r="B341" i="5"/>
  <c r="B325" i="5" s="1"/>
  <c r="B342" i="5"/>
  <c r="B327" i="5" s="1"/>
  <c r="B343" i="5"/>
  <c r="B329" i="5" s="1"/>
  <c r="B344" i="5"/>
  <c r="B330" i="5" s="1"/>
  <c r="D344" i="5"/>
  <c r="D330" i="5" s="1"/>
  <c r="D298" i="5"/>
  <c r="D297" i="5"/>
  <c r="B297" i="5"/>
  <c r="D296" i="5"/>
  <c r="B296" i="5"/>
  <c r="D294" i="5"/>
  <c r="B294" i="5"/>
  <c r="D292" i="5"/>
  <c r="B292" i="5"/>
  <c r="B311" i="5"/>
  <c r="D311" i="5"/>
  <c r="B308" i="5"/>
  <c r="B276" i="5"/>
  <c r="B275" i="5"/>
  <c r="B272" i="5"/>
  <c r="B270" i="5"/>
  <c r="L1" i="8"/>
  <c r="M1" i="8"/>
  <c r="C31" i="8" l="1"/>
  <c r="AB236" i="5"/>
  <c r="AB226" i="5"/>
  <c r="AC236" i="5"/>
  <c r="AB353" i="5"/>
  <c r="AB352" i="5"/>
  <c r="AC329" i="5"/>
  <c r="AC327" i="5"/>
  <c r="AB327" i="5"/>
  <c r="AC270" i="5" l="1"/>
  <c r="AB270" i="5"/>
  <c r="AC226" i="5" l="1"/>
  <c r="AC212" i="5" l="1"/>
  <c r="AB212" i="5"/>
  <c r="J194" i="5"/>
  <c r="F194" i="5" s="1"/>
  <c r="Z179" i="5" s="1"/>
  <c r="AF194" i="5"/>
  <c r="B189" i="5" l="1"/>
  <c r="Z177" i="5"/>
  <c r="Z170" i="5" l="1"/>
  <c r="Z169" i="5"/>
  <c r="Z168" i="5"/>
  <c r="AA142" i="5"/>
  <c r="Z142" i="5"/>
  <c r="Z131" i="5"/>
  <c r="D138" i="5"/>
  <c r="D132" i="5" s="1"/>
  <c r="B138" i="5"/>
  <c r="B132" i="5" s="1"/>
  <c r="AA131" i="5" l="1"/>
  <c r="Z89" i="5"/>
  <c r="Z23" i="2" l="1"/>
  <c r="AC23" i="2"/>
  <c r="Z103" i="5"/>
  <c r="Z102" i="5"/>
  <c r="B112" i="5" s="1"/>
  <c r="AF58" i="5" l="1"/>
  <c r="AF56" i="5"/>
  <c r="AF55" i="5"/>
  <c r="F71" i="5"/>
  <c r="F72" i="5"/>
  <c r="F73" i="5"/>
  <c r="F69" i="5"/>
  <c r="AA21" i="5"/>
  <c r="F74" i="5" l="1"/>
  <c r="Z41" i="5" s="1"/>
  <c r="Z42" i="5" l="1"/>
  <c r="Z40" i="5"/>
  <c r="BO15" i="2" l="1"/>
  <c r="D376" i="5" l="1"/>
  <c r="B376" i="5"/>
  <c r="F390" i="5"/>
  <c r="B389" i="5"/>
  <c r="B388" i="5"/>
  <c r="B390" i="5" l="1"/>
  <c r="G394" i="5" l="1"/>
  <c r="D390" i="5"/>
  <c r="E394" i="5" s="1"/>
  <c r="C394" i="5"/>
  <c r="F389" i="5"/>
  <c r="G393" i="5" s="1"/>
  <c r="D389" i="5"/>
  <c r="C393" i="5"/>
  <c r="F388" i="5"/>
  <c r="G392" i="5" s="1"/>
  <c r="D28" i="6"/>
  <c r="D27" i="6"/>
  <c r="D26" i="6"/>
  <c r="C28" i="6"/>
  <c r="D388" i="5"/>
  <c r="E392" i="5" s="1"/>
  <c r="C392" i="5"/>
  <c r="G397" i="5"/>
  <c r="E401" i="5" l="1"/>
  <c r="C397" i="5"/>
  <c r="E397" i="5" s="1"/>
  <c r="E393" i="5"/>
  <c r="E382" i="5"/>
  <c r="E379" i="5"/>
  <c r="E380" i="5"/>
  <c r="E381" i="5"/>
  <c r="C380" i="5"/>
  <c r="C381" i="5"/>
  <c r="C382" i="5"/>
  <c r="C379" i="5"/>
  <c r="E357" i="5"/>
  <c r="E356" i="5"/>
  <c r="C356" i="5"/>
  <c r="E336" i="5"/>
  <c r="E334" i="5"/>
  <c r="C334" i="5"/>
  <c r="C336" i="5"/>
  <c r="G320" i="5"/>
  <c r="E320" i="5"/>
  <c r="C320" i="5"/>
  <c r="E303" i="5"/>
  <c r="E301" i="5"/>
  <c r="C301" i="5"/>
  <c r="C303" i="5"/>
  <c r="E279" i="5"/>
  <c r="E281" i="5"/>
  <c r="E282" i="5"/>
  <c r="C279" i="5"/>
  <c r="C281" i="5"/>
  <c r="C282" i="5"/>
  <c r="E259" i="5"/>
  <c r="C259" i="5"/>
  <c r="E240" i="5"/>
  <c r="E242" i="5"/>
  <c r="E243" i="5"/>
  <c r="C242" i="5"/>
  <c r="C243" i="5"/>
  <c r="C240" i="5"/>
  <c r="E214" i="5"/>
  <c r="G218" i="5"/>
  <c r="G217" i="5"/>
  <c r="G216" i="5"/>
  <c r="G215" i="5"/>
  <c r="G214" i="5"/>
  <c r="E218" i="5"/>
  <c r="E217" i="5"/>
  <c r="E216" i="5"/>
  <c r="E215" i="5"/>
  <c r="C217" i="5"/>
  <c r="C218" i="5"/>
  <c r="C215" i="5"/>
  <c r="C216" i="5"/>
  <c r="C214" i="5"/>
  <c r="C189" i="5"/>
  <c r="C187" i="5"/>
  <c r="C173" i="5"/>
  <c r="C174" i="5"/>
  <c r="C172" i="5"/>
  <c r="C145" i="5"/>
  <c r="C146" i="5"/>
  <c r="E146" i="5"/>
  <c r="E145" i="5"/>
  <c r="E138" i="5"/>
  <c r="C136" i="5"/>
  <c r="C137" i="5"/>
  <c r="C138" i="5"/>
  <c r="C135" i="5"/>
  <c r="E136" i="5"/>
  <c r="E137" i="5"/>
  <c r="E135" i="5"/>
  <c r="E121" i="5"/>
  <c r="D92" i="5"/>
  <c r="D68" i="5"/>
  <c r="C48" i="5"/>
  <c r="G7" i="5"/>
  <c r="G8" i="5"/>
  <c r="G6" i="5"/>
  <c r="E7" i="5"/>
  <c r="E8" i="5"/>
  <c r="E6" i="5"/>
  <c r="C7" i="5"/>
  <c r="C8" i="5"/>
  <c r="C6" i="5"/>
  <c r="G386" i="5"/>
  <c r="C386" i="5"/>
  <c r="G372" i="5"/>
  <c r="G350" i="5"/>
  <c r="G322" i="5"/>
  <c r="C322" i="5"/>
  <c r="G315" i="5"/>
  <c r="G290" i="5"/>
  <c r="C268" i="5"/>
  <c r="E268" i="5" s="1"/>
  <c r="C261" i="5"/>
  <c r="E261" i="5" s="1"/>
  <c r="G255" i="5"/>
  <c r="C233" i="5"/>
  <c r="E233" i="5" s="1"/>
  <c r="G224" i="5"/>
  <c r="C199" i="5"/>
  <c r="E199" i="5" s="1"/>
  <c r="G191" i="5"/>
  <c r="G175" i="5"/>
  <c r="C159" i="5"/>
  <c r="E159" i="5" s="1"/>
  <c r="C151" i="5"/>
  <c r="E151" i="5" s="1"/>
  <c r="G118" i="5"/>
  <c r="G100" i="5"/>
  <c r="C100" i="5"/>
  <c r="C76" i="5"/>
  <c r="E76" i="5" s="1"/>
  <c r="C36" i="5"/>
  <c r="E36" i="5" s="1"/>
  <c r="G26" i="5"/>
  <c r="C26" i="5"/>
  <c r="C18" i="5"/>
  <c r="G18" i="5"/>
  <c r="E18" i="5" l="1"/>
  <c r="E26" i="5"/>
  <c r="E322" i="5"/>
  <c r="E100" i="5"/>
  <c r="E386" i="5"/>
  <c r="CO19" i="2"/>
  <c r="CJ27" i="2"/>
  <c r="CJ13" i="2"/>
  <c r="BB13" i="2"/>
  <c r="C177" i="5"/>
  <c r="C186" i="5" s="1"/>
  <c r="AH13" i="2" l="1"/>
  <c r="AI13" i="2"/>
  <c r="M17" i="2" l="1"/>
  <c r="K17" i="2"/>
  <c r="BJ25" i="2" l="1"/>
  <c r="BJ15" i="2"/>
  <c r="E241" i="5" l="1"/>
  <c r="AJ226" i="5"/>
  <c r="AI226" i="5"/>
  <c r="D220" i="5"/>
  <c r="B220" i="5"/>
  <c r="BJ33" i="2"/>
  <c r="BJ13" i="2"/>
  <c r="D217" i="5"/>
  <c r="F217" i="5"/>
  <c r="H217" i="5"/>
  <c r="B217" i="5"/>
  <c r="D340" i="5"/>
  <c r="D324" i="5" s="1"/>
  <c r="D341" i="5"/>
  <c r="D325" i="5" s="1"/>
  <c r="C337" i="5"/>
  <c r="C335" i="5"/>
  <c r="CD25" i="2"/>
  <c r="D364" i="5" s="1"/>
  <c r="CD15" i="2"/>
  <c r="CB25" i="2"/>
  <c r="CB15" i="2"/>
  <c r="B363" i="5"/>
  <c r="B360" i="5"/>
  <c r="B353" i="5" s="1"/>
  <c r="AB329" i="5" s="1"/>
  <c r="D360" i="5"/>
  <c r="B361" i="5"/>
  <c r="B354" i="5" s="1"/>
  <c r="D361" i="5"/>
  <c r="D354" i="5" s="1"/>
  <c r="D359" i="5"/>
  <c r="B359" i="5"/>
  <c r="D363" i="5"/>
  <c r="B364" i="5"/>
  <c r="D348" i="5"/>
  <c r="B348" i="5"/>
  <c r="D347" i="5"/>
  <c r="D346" i="5"/>
  <c r="B347" i="5"/>
  <c r="B346" i="5"/>
  <c r="AB354" i="5"/>
  <c r="AC354" i="5"/>
  <c r="D343" i="5"/>
  <c r="D329" i="5" s="1"/>
  <c r="AC353" i="5" s="1"/>
  <c r="D342" i="5"/>
  <c r="D327" i="5" s="1"/>
  <c r="AC352" i="5" s="1"/>
  <c r="AC325" i="5"/>
  <c r="AC324" i="5"/>
  <c r="AB325" i="5"/>
  <c r="AB324" i="5"/>
  <c r="D309" i="5"/>
  <c r="D308" i="5"/>
  <c r="B309" i="5"/>
  <c r="D276" i="5"/>
  <c r="D284" i="5"/>
  <c r="B288" i="5"/>
  <c r="B287" i="5"/>
  <c r="B286" i="5"/>
  <c r="AB294" i="5"/>
  <c r="AB292" i="5"/>
  <c r="AB238" i="5"/>
  <c r="H38" i="8"/>
  <c r="G38" i="8"/>
  <c r="F38" i="8"/>
  <c r="E38" i="8"/>
  <c r="H37" i="8"/>
  <c r="G37" i="8"/>
  <c r="F37" i="8"/>
  <c r="E37" i="8"/>
  <c r="H36" i="8"/>
  <c r="G36" i="8"/>
  <c r="F36" i="8"/>
  <c r="E36" i="8"/>
  <c r="F35" i="8"/>
  <c r="E35" i="8"/>
  <c r="B35" i="8"/>
  <c r="A35" i="8"/>
  <c r="F34" i="8"/>
  <c r="E34" i="8"/>
  <c r="B34" i="8"/>
  <c r="A34" i="8"/>
  <c r="D33" i="8"/>
  <c r="C33" i="8"/>
  <c r="B33" i="8"/>
  <c r="A33" i="8"/>
  <c r="D32" i="8"/>
  <c r="C32" i="8"/>
  <c r="B32" i="8"/>
  <c r="A32" i="8"/>
  <c r="D31" i="8"/>
  <c r="B31" i="8"/>
  <c r="A31" i="8"/>
  <c r="E335" i="5" l="1"/>
  <c r="E337" i="5"/>
  <c r="E358" i="5"/>
  <c r="AC330" i="5"/>
  <c r="C358" i="5"/>
  <c r="AB330" i="5"/>
  <c r="BV25" i="2"/>
  <c r="AC296" i="5"/>
  <c r="BV15" i="2"/>
  <c r="AB296" i="5"/>
  <c r="E302" i="5"/>
  <c r="AC275" i="5"/>
  <c r="C278" i="5"/>
  <c r="BT15" i="2"/>
  <c r="C283" i="5"/>
  <c r="BX15" i="2"/>
  <c r="C305" i="5"/>
  <c r="BZ15" i="2"/>
  <c r="C306" i="5"/>
  <c r="BX25" i="2"/>
  <c r="E305" i="5"/>
  <c r="CF25" i="2"/>
  <c r="D365" i="5" s="1"/>
  <c r="E338" i="5"/>
  <c r="BP15" i="2"/>
  <c r="C280" i="5"/>
  <c r="BZ25" i="2"/>
  <c r="E306" i="5"/>
  <c r="CF15" i="2"/>
  <c r="B365" i="5" s="1"/>
  <c r="C338" i="5"/>
  <c r="C357" i="5"/>
  <c r="C372" i="5"/>
  <c r="E372" i="5" s="1"/>
  <c r="C255" i="5"/>
  <c r="E255" i="5" s="1"/>
  <c r="C241" i="5"/>
  <c r="BN15" i="2"/>
  <c r="D286" i="5"/>
  <c r="BP25" i="2" s="1"/>
  <c r="D275" i="5"/>
  <c r="AC294" i="5" s="1"/>
  <c r="C224" i="5"/>
  <c r="E224" i="5" s="1"/>
  <c r="D288" i="5"/>
  <c r="D270" i="5"/>
  <c r="AC238" i="5" s="1"/>
  <c r="D287" i="5"/>
  <c r="D272" i="5"/>
  <c r="D303" i="5"/>
  <c r="B303" i="5"/>
  <c r="D335" i="5"/>
  <c r="B335" i="5"/>
  <c r="D281" i="5"/>
  <c r="B281" i="5"/>
  <c r="S8" i="8"/>
  <c r="R8" i="8"/>
  <c r="Q8" i="8"/>
  <c r="P8" i="8"/>
  <c r="S7" i="8"/>
  <c r="R7" i="8"/>
  <c r="Q7" i="8"/>
  <c r="P7" i="8"/>
  <c r="S6" i="8"/>
  <c r="R6" i="8"/>
  <c r="Q6" i="8"/>
  <c r="P6" i="8"/>
  <c r="Q5" i="8"/>
  <c r="P5" i="8"/>
  <c r="M5" i="8"/>
  <c r="L5" i="8"/>
  <c r="Q4" i="8"/>
  <c r="P4" i="8"/>
  <c r="M4" i="8"/>
  <c r="L4" i="8"/>
  <c r="O3" i="8"/>
  <c r="N3" i="8"/>
  <c r="M3" i="8"/>
  <c r="L3" i="8"/>
  <c r="O2" i="8"/>
  <c r="N2" i="8"/>
  <c r="M2" i="8"/>
  <c r="L2" i="8"/>
  <c r="O1" i="8"/>
  <c r="N1" i="8"/>
  <c r="CR29" i="2"/>
  <c r="CR19" i="2"/>
  <c r="CQ29" i="2"/>
  <c r="CQ19" i="2"/>
  <c r="CP29" i="2"/>
  <c r="CP19" i="2"/>
  <c r="CO29" i="2"/>
  <c r="CJ33" i="2"/>
  <c r="CN33" i="2"/>
  <c r="CN27" i="2"/>
  <c r="CN13" i="2"/>
  <c r="CK33" i="2"/>
  <c r="CK13" i="2"/>
  <c r="CK27" i="2"/>
  <c r="CC25" i="2"/>
  <c r="CC15" i="2"/>
  <c r="CA25" i="2"/>
  <c r="CA15" i="2"/>
  <c r="BU25" i="2"/>
  <c r="BU15" i="2"/>
  <c r="BS25" i="2"/>
  <c r="BS15" i="2"/>
  <c r="BR25" i="2"/>
  <c r="BR15" i="2"/>
  <c r="BQ15" i="2"/>
  <c r="BQ25" i="2"/>
  <c r="BO25" i="2"/>
  <c r="BY25" i="2"/>
  <c r="BW25" i="2"/>
  <c r="BW15" i="2"/>
  <c r="BY15" i="2"/>
  <c r="BY33" i="2"/>
  <c r="BW33" i="2"/>
  <c r="BY13" i="2"/>
  <c r="BW13" i="2"/>
  <c r="BM25" i="2"/>
  <c r="BM15" i="2"/>
  <c r="BE31" i="2"/>
  <c r="BE17" i="2"/>
  <c r="BL25" i="2"/>
  <c r="BL15" i="2"/>
  <c r="BH25" i="2"/>
  <c r="BH15" i="2"/>
  <c r="BK33" i="2"/>
  <c r="BK25" i="2"/>
  <c r="BK15" i="2"/>
  <c r="BK13" i="2"/>
  <c r="BJ17" i="2"/>
  <c r="BJ31" i="2"/>
  <c r="BH33" i="2"/>
  <c r="BI33" i="2"/>
  <c r="BI31" i="2"/>
  <c r="BI17" i="2"/>
  <c r="BI13" i="2"/>
  <c r="BH31" i="2"/>
  <c r="BH17" i="2"/>
  <c r="BH13" i="2"/>
  <c r="BG33" i="2"/>
  <c r="BG31" i="2"/>
  <c r="BG17" i="2"/>
  <c r="BG13" i="2"/>
  <c r="BF33" i="2"/>
  <c r="BF31" i="2"/>
  <c r="BF17" i="2"/>
  <c r="BF13" i="2"/>
  <c r="BD33" i="2"/>
  <c r="BD31" i="2"/>
  <c r="BD17" i="2"/>
  <c r="BD13" i="2"/>
  <c r="BB33" i="2"/>
  <c r="BB31" i="2"/>
  <c r="BB17" i="2"/>
  <c r="BB23" i="2"/>
  <c r="AZ23" i="2"/>
  <c r="AR23" i="2"/>
  <c r="AT23" i="2"/>
  <c r="AV23" i="2"/>
  <c r="AU23" i="2"/>
  <c r="AS23" i="2"/>
  <c r="AU33" i="2"/>
  <c r="AU13" i="2"/>
  <c r="AS33" i="2"/>
  <c r="AS13" i="2"/>
  <c r="AW23" i="2"/>
  <c r="AX23" i="2"/>
  <c r="AQ23" i="2"/>
  <c r="AP23" i="2"/>
  <c r="AO23" i="2"/>
  <c r="AN23" i="2"/>
  <c r="AM23" i="2"/>
  <c r="AL23" i="2"/>
  <c r="AJ23" i="2"/>
  <c r="AE33" i="2"/>
  <c r="AE13" i="2"/>
  <c r="AG33" i="2"/>
  <c r="AG13" i="2"/>
  <c r="AK33" i="2"/>
  <c r="AM33" i="2"/>
  <c r="AM13" i="2"/>
  <c r="AN33" i="2"/>
  <c r="AN13" i="2"/>
  <c r="AL33" i="2"/>
  <c r="AL13" i="2"/>
  <c r="AJ33" i="2"/>
  <c r="AJ13" i="2"/>
  <c r="AI33" i="2"/>
  <c r="AH33" i="2"/>
  <c r="AF33" i="2"/>
  <c r="AF13" i="2"/>
  <c r="AD33" i="2"/>
  <c r="AD13" i="2"/>
  <c r="AF23" i="2"/>
  <c r="AA23" i="2"/>
  <c r="B96" i="5"/>
  <c r="B95" i="5"/>
  <c r="X33" i="2"/>
  <c r="X13" i="2"/>
  <c r="V33" i="2"/>
  <c r="V13" i="2"/>
  <c r="U13" i="2"/>
  <c r="U33" i="2"/>
  <c r="T33" i="2"/>
  <c r="T13" i="2"/>
  <c r="S33" i="2"/>
  <c r="S13" i="2"/>
  <c r="R33" i="2"/>
  <c r="R13" i="2"/>
  <c r="P33" i="2"/>
  <c r="P13" i="2"/>
  <c r="H9" i="5"/>
  <c r="F9" i="5"/>
  <c r="D9" i="5"/>
  <c r="L31" i="2"/>
  <c r="L33" i="2"/>
  <c r="B9" i="5"/>
  <c r="K33" i="2"/>
  <c r="K31" i="2"/>
  <c r="K13" i="2"/>
  <c r="L17" i="2"/>
  <c r="L13" i="2"/>
  <c r="J31" i="2"/>
  <c r="J17" i="2"/>
  <c r="J13" i="2"/>
  <c r="I17" i="2"/>
  <c r="E280" i="5" l="1"/>
  <c r="AC292" i="5"/>
  <c r="E283" i="5"/>
  <c r="E333" i="5"/>
  <c r="AC298" i="5"/>
  <c r="E332" i="5"/>
  <c r="AC297" i="5"/>
  <c r="C333" i="5"/>
  <c r="AB298" i="5"/>
  <c r="C332" i="5"/>
  <c r="AB297" i="5"/>
  <c r="C304" i="5"/>
  <c r="AB276" i="5"/>
  <c r="C300" i="5"/>
  <c r="AB272" i="5"/>
  <c r="C302" i="5"/>
  <c r="AB275" i="5"/>
  <c r="E304" i="5"/>
  <c r="AC276" i="5"/>
  <c r="E300" i="5"/>
  <c r="AC272" i="5"/>
  <c r="BN25" i="2"/>
  <c r="E278" i="5"/>
  <c r="C191" i="5"/>
  <c r="E191" i="5" s="1"/>
  <c r="C188" i="5"/>
  <c r="C350" i="5"/>
  <c r="E350" i="5" s="1"/>
  <c r="C290" i="5"/>
  <c r="E290" i="5" s="1"/>
  <c r="AK13" i="2"/>
  <c r="C140" i="5"/>
  <c r="E140" i="5" s="1"/>
  <c r="C315" i="5"/>
  <c r="E315" i="5" s="1"/>
  <c r="Z88" i="5"/>
  <c r="J33" i="2"/>
  <c r="R21" i="2"/>
  <c r="T21" i="2"/>
  <c r="X21" i="2"/>
  <c r="V21" i="2"/>
  <c r="C118" i="5" l="1"/>
  <c r="E118" i="5" s="1"/>
  <c r="F108" i="5"/>
  <c r="C175" i="5"/>
  <c r="E175" i="5" s="1"/>
  <c r="P21" i="2"/>
  <c r="C53" i="5"/>
  <c r="E53" i="5" s="1"/>
  <c r="AH23" i="2"/>
  <c r="AD23" i="2"/>
  <c r="AB23" i="2"/>
  <c r="T23" i="2"/>
  <c r="V23" i="2"/>
  <c r="X23" i="2"/>
  <c r="W23" i="2"/>
  <c r="Y23" i="2"/>
  <c r="U21" i="2"/>
  <c r="S21" i="2"/>
  <c r="Q21" i="2"/>
  <c r="O21" i="2"/>
  <c r="M31" i="2"/>
  <c r="M25" i="2"/>
  <c r="M15" i="2"/>
  <c r="C33" i="2"/>
  <c r="C13" i="2"/>
  <c r="G21" i="2"/>
  <c r="F21" i="2"/>
  <c r="N21" i="2"/>
  <c r="I31" i="2"/>
</calcChain>
</file>

<file path=xl/sharedStrings.xml><?xml version="1.0" encoding="utf-8"?>
<sst xmlns="http://schemas.openxmlformats.org/spreadsheetml/2006/main" count="1587" uniqueCount="412">
  <si>
    <t>Mass</t>
  </si>
  <si>
    <t>Element and natural abundance %</t>
  </si>
  <si>
    <t>Zn</t>
  </si>
  <si>
    <t>Ga</t>
  </si>
  <si>
    <t>Se</t>
  </si>
  <si>
    <t>Rb</t>
  </si>
  <si>
    <t>Kr</t>
  </si>
  <si>
    <t>Y</t>
  </si>
  <si>
    <t>Zr</t>
  </si>
  <si>
    <t>Nb</t>
  </si>
  <si>
    <t>Pd</t>
  </si>
  <si>
    <t>Sn</t>
  </si>
  <si>
    <t>Xe</t>
  </si>
  <si>
    <t>Ce</t>
  </si>
  <si>
    <t>Sm</t>
  </si>
  <si>
    <t>Dy</t>
  </si>
  <si>
    <t>U</t>
  </si>
  <si>
    <t>Ge</t>
  </si>
  <si>
    <t>Sr</t>
  </si>
  <si>
    <t>Mo</t>
  </si>
  <si>
    <t>Rh</t>
  </si>
  <si>
    <t>Ag</t>
  </si>
  <si>
    <t>In</t>
  </si>
  <si>
    <t>Sb</t>
  </si>
  <si>
    <t>I</t>
  </si>
  <si>
    <t>Ba</t>
  </si>
  <si>
    <t>Pr</t>
  </si>
  <si>
    <t>Eu</t>
  </si>
  <si>
    <t>Tb</t>
  </si>
  <si>
    <t>Ru</t>
  </si>
  <si>
    <t>Cd</t>
  </si>
  <si>
    <t>Te</t>
  </si>
  <si>
    <t>Cs</t>
  </si>
  <si>
    <t>La</t>
  </si>
  <si>
    <t>Nd</t>
  </si>
  <si>
    <t>Gd</t>
  </si>
  <si>
    <r>
      <t xml:space="preserve">Mass spectra for samples and standards - </t>
    </r>
    <r>
      <rPr>
        <b/>
        <u/>
        <sz val="11"/>
        <color theme="1"/>
        <rFont val="Calibri"/>
        <family val="2"/>
        <scheme val="minor"/>
      </rPr>
      <t>blank subtracted</t>
    </r>
  </si>
  <si>
    <t>Each cell contains the mean cps from 5 scans of diluted solution</t>
  </si>
  <si>
    <t>Presented in the order run</t>
  </si>
  <si>
    <t>MSCS-M 11.48 ppb</t>
  </si>
  <si>
    <t>MS-B 10.19 ppb</t>
  </si>
  <si>
    <t>Custom mix - see chart for concs</t>
  </si>
  <si>
    <t>239Pu std see chart for concs</t>
  </si>
  <si>
    <t>MS-D 9.60 ppb</t>
  </si>
  <si>
    <t>MS-C 10.00 ppb</t>
  </si>
  <si>
    <t>Natural U std see chart for concs</t>
  </si>
  <si>
    <t>Elements in multi standards - all have natural isotopic abundances except for 239Pu standard</t>
  </si>
  <si>
    <t>MS-B</t>
  </si>
  <si>
    <t>Sc</t>
  </si>
  <si>
    <t>Ho</t>
  </si>
  <si>
    <t>Er</t>
  </si>
  <si>
    <t>Tm</t>
  </si>
  <si>
    <t>Yb</t>
  </si>
  <si>
    <t>Lu</t>
  </si>
  <si>
    <t>Th</t>
  </si>
  <si>
    <t>all at 10.19 ppb</t>
  </si>
  <si>
    <t>MSCS-M</t>
  </si>
  <si>
    <t>Li</t>
  </si>
  <si>
    <t>Be</t>
  </si>
  <si>
    <t>B</t>
  </si>
  <si>
    <t>Na</t>
  </si>
  <si>
    <t>Mg</t>
  </si>
  <si>
    <t>Al</t>
  </si>
  <si>
    <t>Ca</t>
  </si>
  <si>
    <t>V</t>
  </si>
  <si>
    <t>Cr</t>
  </si>
  <si>
    <t>Mn</t>
  </si>
  <si>
    <t>Fe</t>
  </si>
  <si>
    <t>Co</t>
  </si>
  <si>
    <t>Ni</t>
  </si>
  <si>
    <t>Cu</t>
  </si>
  <si>
    <t>As</t>
  </si>
  <si>
    <t>Tl</t>
  </si>
  <si>
    <t>Pb</t>
  </si>
  <si>
    <t>Bi</t>
  </si>
  <si>
    <t>all at 11.48 ppb</t>
  </si>
  <si>
    <t>plus:</t>
  </si>
  <si>
    <t>Conc. (ppb) Sc</t>
  </si>
  <si>
    <t>Conc. (ppb) In</t>
  </si>
  <si>
    <t>MS-C</t>
  </si>
  <si>
    <t>Hf</t>
  </si>
  <si>
    <t>Ir</t>
  </si>
  <si>
    <t>Pt</t>
  </si>
  <si>
    <t>Au</t>
  </si>
  <si>
    <t>all at 10.00 ppb</t>
  </si>
  <si>
    <t>MS-D</t>
  </si>
  <si>
    <t>Si</t>
  </si>
  <si>
    <t>P</t>
  </si>
  <si>
    <t>S</t>
  </si>
  <si>
    <t>Ti</t>
  </si>
  <si>
    <t>Ta</t>
  </si>
  <si>
    <t>W</t>
  </si>
  <si>
    <t>Re</t>
  </si>
  <si>
    <t>all at 9.60 ppb</t>
  </si>
  <si>
    <t>Conc. (ppb) of Na</t>
  </si>
  <si>
    <t>Conc. (ppb) of Mg</t>
  </si>
  <si>
    <t>Conc. (ppb) of Al</t>
  </si>
  <si>
    <t>Conc. (ppb) of K</t>
  </si>
  <si>
    <t>Conc. (ppb) of Ca</t>
  </si>
  <si>
    <t>Conc. (ppb) of Mn</t>
  </si>
  <si>
    <t>Conc. (ppb) of Fe</t>
  </si>
  <si>
    <t>Conc. (ppb) of Ga</t>
  </si>
  <si>
    <t>Conc. (ppb) of Rb</t>
  </si>
  <si>
    <t>Conc. (ppb) of Sr</t>
  </si>
  <si>
    <t>Conc. (ppb) of Y</t>
  </si>
  <si>
    <t>Conc. (ppb) of Ba</t>
  </si>
  <si>
    <t>Conc. (ppb) of Cs</t>
  </si>
  <si>
    <t>Custom Mix</t>
  </si>
  <si>
    <t>Conc. (ppb) of 238Pu</t>
  </si>
  <si>
    <t>Conc. (ppb) of 239Pu</t>
  </si>
  <si>
    <t>Conc. (ppb) of 240Pu</t>
  </si>
  <si>
    <t>Conc. (ppb) of 241Pu</t>
  </si>
  <si>
    <t>Conc. (ppb) of 241Am</t>
  </si>
  <si>
    <t>Conc. (ppb) of 242Pu</t>
  </si>
  <si>
    <t>239Pu standard</t>
  </si>
  <si>
    <t>Conc. (ppb) of 232Th</t>
  </si>
  <si>
    <t>Conc. (ppb) of 234U</t>
  </si>
  <si>
    <t>Conc. (ppb) of 235U</t>
  </si>
  <si>
    <t>Conc. (ppb) of 238U</t>
  </si>
  <si>
    <t>Natural U standard + Th</t>
  </si>
  <si>
    <t>Typical mass spectrum of instrument blank</t>
  </si>
  <si>
    <t>Blank wash</t>
  </si>
  <si>
    <t>Instrument Response (ppb/cps)</t>
  </si>
  <si>
    <t>]</t>
  </si>
  <si>
    <t>Estimated</t>
  </si>
  <si>
    <t>Ru Response Estimate (ppb/cps) (eq)</t>
  </si>
  <si>
    <t>From Pd</t>
  </si>
  <si>
    <t xml:space="preserve">Extrapolated </t>
  </si>
  <si>
    <t>Estimated From Mo</t>
  </si>
  <si>
    <t>Estimate From Linear Fit</t>
  </si>
  <si>
    <t>Estimated From Estimated Zr</t>
  </si>
  <si>
    <t>Y Response MS-B 1 (ppb/cps)</t>
  </si>
  <si>
    <t>Y Response MS-B 2 (ppb/cps)</t>
  </si>
  <si>
    <t>Y Response Custom 1 (ppb/cps)</t>
  </si>
  <si>
    <t>Y Response Custom 2 (ppb/cps)</t>
  </si>
  <si>
    <t>Nb Response MS-D (ppb/cps)</t>
  </si>
  <si>
    <t>Sr Response MSCS-M 1 (ppb/cps)</t>
  </si>
  <si>
    <t>Sr Response MSCS-M 2 (ppb/cps)</t>
  </si>
  <si>
    <t>Sr Response Custom 1 (ppb/cps)</t>
  </si>
  <si>
    <t>Sr Response Custom 2 (ppb/cps)</t>
  </si>
  <si>
    <t>Eq a</t>
  </si>
  <si>
    <t>Eq b</t>
  </si>
  <si>
    <t>Rb Response Custom 1 (ppb/cps)</t>
  </si>
  <si>
    <t>Rb Response Custom 2 (ppb/cps)</t>
  </si>
  <si>
    <t>38 - Strontium</t>
  </si>
  <si>
    <t>37 - Rubidium</t>
  </si>
  <si>
    <t>Estimate Using Sr Response MSCS-M 1 and 2 at mass 87</t>
  </si>
  <si>
    <t>Estimate Using Avg 2 Sr Response MSCS-M 1 and 2 at mass 87</t>
  </si>
  <si>
    <t xml:space="preserve"> 39 - Yttrium</t>
  </si>
  <si>
    <t>estimate</t>
  </si>
  <si>
    <t>Zr Response MS-D (ppb/cps)</t>
  </si>
  <si>
    <t>Mo Response MSCS - M 1 (ppb/cps)</t>
  </si>
  <si>
    <t>Mo Response MSCS - M 2 (ppb/cps)</t>
  </si>
  <si>
    <t>42 - Molybdenum</t>
  </si>
  <si>
    <t>Mo Response MS-D (ppb/cps)</t>
  </si>
  <si>
    <t>Estimated from Zr</t>
  </si>
  <si>
    <t>41 - Niobium</t>
  </si>
  <si>
    <t>44 - Ruthenium</t>
  </si>
  <si>
    <t>Estimate from Ru</t>
  </si>
  <si>
    <t>Estimate from linear extrap</t>
  </si>
  <si>
    <t>46 - Palladium</t>
  </si>
  <si>
    <t>Ru Response MS - C (ppb/cps)</t>
  </si>
  <si>
    <t>Pd Response MS - C (ppb/cps)</t>
  </si>
  <si>
    <t>Rh Response MS - C (ppb/cps)</t>
  </si>
  <si>
    <t>45 - Rhodium</t>
  </si>
  <si>
    <t>48 - Cadmium</t>
  </si>
  <si>
    <t>Cd Response MSCS - M 1 (ppb/cps)</t>
  </si>
  <si>
    <t>Cd Response MSCS - M 2 (ppb/cps)</t>
  </si>
  <si>
    <t>Low Prob</t>
  </si>
  <si>
    <t>In Response MSCS - M 1 (ppb/cps)</t>
  </si>
  <si>
    <t>49 - Indium</t>
  </si>
  <si>
    <t>Used Cd Extrapolated Data</t>
  </si>
  <si>
    <t>In Response MSCS - M 2 (ppb/cps)</t>
  </si>
  <si>
    <t>Ag Response MSCS - M 1 (ppb/cps)</t>
  </si>
  <si>
    <t>47 - Silver</t>
  </si>
  <si>
    <t>Sn Response MS - C (ppb/cps)</t>
  </si>
  <si>
    <t>50 - Tin</t>
  </si>
  <si>
    <t>Te Response MS - C (ppb/cps)</t>
  </si>
  <si>
    <t>52 Tellurium</t>
  </si>
  <si>
    <t>51 - Antimony</t>
  </si>
  <si>
    <t>Sb Response MSCS - M 1 (ppb/cps)</t>
  </si>
  <si>
    <t>Sb Response MSCS - M 2 (ppb/cps)</t>
  </si>
  <si>
    <t>Sb Response MS -C (ppb/cps)</t>
  </si>
  <si>
    <t>MS - C Averaged from others</t>
  </si>
  <si>
    <t>Used MS - C value below - Extremely Variable</t>
  </si>
  <si>
    <t>MS - C (Made Up)</t>
  </si>
  <si>
    <t>Eq used points (125-130)</t>
  </si>
  <si>
    <t>From Linear Fit</t>
  </si>
  <si>
    <t>Used Linear Fit</t>
  </si>
  <si>
    <t>Blank Wash had some iodine contamination</t>
  </si>
  <si>
    <t>Ba Response MSCS - M 1 (ppb/cps)</t>
  </si>
  <si>
    <t>Ba Response MSCS - M 2 (ppb/cps)</t>
  </si>
  <si>
    <t>Ba Response Custom 1 (ppb/cps)</t>
  </si>
  <si>
    <t>Ba Response Custom 2 (ppb/cps)</t>
  </si>
  <si>
    <t>56 Barium</t>
  </si>
  <si>
    <t>53 Iodine</t>
  </si>
  <si>
    <t>La Response MSCS - M 1 (ppb/cps)</t>
  </si>
  <si>
    <t>La Response MSCS - M 2 (ppb/cps)</t>
  </si>
  <si>
    <t>La Response MS - B 1 (ppb/cps)</t>
  </si>
  <si>
    <t>La Response MS - B 2 (ppb/cps)</t>
  </si>
  <si>
    <t>57 - Lanthanum</t>
  </si>
  <si>
    <t>58 - Cerium</t>
  </si>
  <si>
    <t>Ce Response MS - B 1 (ppb/cps)</t>
  </si>
  <si>
    <t>Ce Response MS - B 2 (ppb/cps)</t>
  </si>
  <si>
    <t>Cs Response Custom 1 (ppb/cps)</t>
  </si>
  <si>
    <t>Cs Response Custom 2 (ppb/cps)</t>
  </si>
  <si>
    <t>55 - Cesium</t>
  </si>
  <si>
    <t>Pr Response MS - B 1 (ppb/cps)</t>
  </si>
  <si>
    <t>Pr Response MS - B 2 (ppb/cps)</t>
  </si>
  <si>
    <t>59 - Praseodymium</t>
  </si>
  <si>
    <t>60 - Neodymium</t>
  </si>
  <si>
    <t>Nd Response MS - B 1 (ppb/cps)</t>
  </si>
  <si>
    <t>Nd Response MS - B 2 (ppb/cps)</t>
  </si>
  <si>
    <t>62 - Samarium</t>
  </si>
  <si>
    <t>Sm Response MS - B 1 (ppb/cps)</t>
  </si>
  <si>
    <t>Sm Response MS - B 2 (ppb/cps)</t>
  </si>
  <si>
    <t>63 - Europium</t>
  </si>
  <si>
    <t>Eu Response MS - B 1 (ppb/cps)</t>
  </si>
  <si>
    <t>Eu Response MS - B 2 (ppb/cps)</t>
  </si>
  <si>
    <t>Eu Response MSCS - M 1 (ppb/cps)</t>
  </si>
  <si>
    <t>Eu Response MSCS - M 2 (ppb/cps)</t>
  </si>
  <si>
    <t>M2</t>
  </si>
  <si>
    <t>64 - Gadolinium</t>
  </si>
  <si>
    <t>Gd Response MS - B 1 (ppb/cps)</t>
  </si>
  <si>
    <t>Gd Response MS - B 2 (ppb/cps)</t>
  </si>
  <si>
    <t>66 - Dysprosium</t>
  </si>
  <si>
    <t>Dy Response MS - B 1 (ppb/cps)</t>
  </si>
  <si>
    <t>Dy Response MS - B 2 (ppb/cps)</t>
  </si>
  <si>
    <t>U Response MSCS - M 1 (ppb/cps)</t>
  </si>
  <si>
    <t>U Response MSCS - M 2 (ppb/cps)</t>
  </si>
  <si>
    <t>U Response Natural (ppb/cps)</t>
  </si>
  <si>
    <t>92 - Uranium</t>
  </si>
  <si>
    <t>% abundance</t>
  </si>
  <si>
    <t>94 - Plutonium</t>
  </si>
  <si>
    <t>Pu</t>
  </si>
  <si>
    <t>Pu Response Pu STD 1 (ppb/cps)</t>
  </si>
  <si>
    <t>Pu Response Pu STD 2 (ppb/cps)</t>
  </si>
  <si>
    <t>b1</t>
  </si>
  <si>
    <t>b2</t>
  </si>
  <si>
    <t>M1</t>
  </si>
  <si>
    <t>C144</t>
  </si>
  <si>
    <t>=</t>
  </si>
  <si>
    <t>ppb Sm</t>
  </si>
  <si>
    <t>% Sm 144</t>
  </si>
  <si>
    <t>X Sm 144</t>
  </si>
  <si>
    <t>(cps/ppb)</t>
  </si>
  <si>
    <t>+</t>
  </si>
  <si>
    <t>ppb Nd</t>
  </si>
  <si>
    <t>% Nd 144</t>
  </si>
  <si>
    <t>X Nd 144</t>
  </si>
  <si>
    <t>C148</t>
  </si>
  <si>
    <t>ppbSm</t>
  </si>
  <si>
    <t>%Sm148</t>
  </si>
  <si>
    <t>X Sm 148</t>
  </si>
  <si>
    <t>% Nd 148</t>
  </si>
  <si>
    <t>X Nd 148</t>
  </si>
  <si>
    <t>C150</t>
  </si>
  <si>
    <t>%Sm150</t>
  </si>
  <si>
    <t>X Sm 150</t>
  </si>
  <si>
    <t>% Nd 150</t>
  </si>
  <si>
    <t>X Nd 150</t>
  </si>
  <si>
    <t>C152</t>
  </si>
  <si>
    <t>%Sm152</t>
  </si>
  <si>
    <t>X Sm 152</t>
  </si>
  <si>
    <t>% Gd 152</t>
  </si>
  <si>
    <t>ppb Gd</t>
  </si>
  <si>
    <t>X Gd 152</t>
  </si>
  <si>
    <t>C154</t>
  </si>
  <si>
    <t>%Sm154</t>
  </si>
  <si>
    <t>X Sm 154</t>
  </si>
  <si>
    <t>% Gd 154</t>
  </si>
  <si>
    <t>X Gd 154</t>
  </si>
  <si>
    <t>C156</t>
  </si>
  <si>
    <t>% Gd 156</t>
  </si>
  <si>
    <t>X Gd 156</t>
  </si>
  <si>
    <t>ppb Dy</t>
  </si>
  <si>
    <t>% Dy 156</t>
  </si>
  <si>
    <t>X Dy 156</t>
  </si>
  <si>
    <t>C158</t>
  </si>
  <si>
    <t>% Gd 158</t>
  </si>
  <si>
    <t>X Gd 158</t>
  </si>
  <si>
    <t>% Dy 158</t>
  </si>
  <si>
    <t>X Dy 158</t>
  </si>
  <si>
    <t>C160</t>
  </si>
  <si>
    <t>% Gd 160</t>
  </si>
  <si>
    <t>X Gd 160</t>
  </si>
  <si>
    <t>% Dy 160</t>
  </si>
  <si>
    <t>X Dy 160</t>
  </si>
  <si>
    <t>x1</t>
  </si>
  <si>
    <t>x2</t>
  </si>
  <si>
    <t>Sm a</t>
  </si>
  <si>
    <t>Sm b</t>
  </si>
  <si>
    <t>Nd a</t>
  </si>
  <si>
    <t>Nd b</t>
  </si>
  <si>
    <t>Gd a</t>
  </si>
  <si>
    <t>Gd b</t>
  </si>
  <si>
    <t>Dy a</t>
  </si>
  <si>
    <t>Dy b</t>
  </si>
  <si>
    <t>A</t>
  </si>
  <si>
    <t>x</t>
  </si>
  <si>
    <t>b</t>
  </si>
  <si>
    <t>*</t>
  </si>
  <si>
    <t>From 8 by 8</t>
  </si>
  <si>
    <t>From Graph</t>
  </si>
  <si>
    <t>Grom points 144 -150</t>
  </si>
  <si>
    <t>8 by 8</t>
  </si>
  <si>
    <t>points 144 - 150</t>
  </si>
  <si>
    <t>From linear Fit (152,154,155,157)</t>
  </si>
  <si>
    <t>Linear fit (152,154,155,157)</t>
  </si>
  <si>
    <t>From Gd Estimate</t>
  </si>
  <si>
    <t xml:space="preserve">Assuming Dysprosium at Mass 156 is negligible </t>
  </si>
  <si>
    <t>Sm estimate</t>
  </si>
  <si>
    <t>Assuming La 138=0</t>
  </si>
  <si>
    <t>Assuming MSCS - M responses for La 139</t>
  </si>
  <si>
    <t>Used Response Functions From Ce 138</t>
  </si>
  <si>
    <t>E1</t>
  </si>
  <si>
    <t>a1</t>
  </si>
  <si>
    <t>E2</t>
  </si>
  <si>
    <t>a2</t>
  </si>
  <si>
    <t>CPS1</t>
  </si>
  <si>
    <t>CPS2</t>
  </si>
  <si>
    <t>CPS3</t>
  </si>
  <si>
    <t>CPS4</t>
  </si>
  <si>
    <t>Ag Response MSCS - M 2 (ppb/cps)</t>
  </si>
  <si>
    <t>40 - Zirconium</t>
  </si>
  <si>
    <t>Elements</t>
  </si>
  <si>
    <t>at ppb</t>
  </si>
  <si>
    <t>Error due to low a1 value</t>
  </si>
  <si>
    <t>with high a2 value</t>
  </si>
  <si>
    <t>Plot % Change (max to min)</t>
  </si>
  <si>
    <t>Delta AMU</t>
  </si>
  <si>
    <t>% Change per AMU</t>
  </si>
  <si>
    <t>± Abs</t>
  </si>
  <si>
    <t>±  %</t>
  </si>
  <si>
    <t>± %</t>
  </si>
  <si>
    <t>± % Max</t>
  </si>
  <si>
    <t>Luz Romero &lt;lromero@tamu.edu&gt;</t>
  </si>
  <si>
    <t>m1</t>
  </si>
  <si>
    <t>m2</t>
  </si>
  <si>
    <t xml:space="preserve">Mass % (some are atom  </t>
  </si>
  <si>
    <t xml:space="preserve">you can tell by how many decimals </t>
  </si>
  <si>
    <t>there are. Lots decimals=mass)</t>
  </si>
  <si>
    <t>me</t>
  </si>
  <si>
    <t>ppb1</t>
  </si>
  <si>
    <t>ppb2</t>
  </si>
  <si>
    <t>ppb/cps (E2) 2</t>
  </si>
  <si>
    <t>ppb/cps (E2) 1</t>
  </si>
  <si>
    <t>% Change</t>
  </si>
  <si>
    <t>avg % delta</t>
  </si>
  <si>
    <t>a</t>
  </si>
  <si>
    <t>Slight up curve mostly seen at mass 114. Tin has low natural abundances at 114. We had some contamination of tin, but not enough to make a large difference</t>
  </si>
  <si>
    <t>matlab</t>
  </si>
  <si>
    <t>Extrapolated From In</t>
  </si>
  <si>
    <t>Extrapolated Line</t>
  </si>
  <si>
    <t>Kept Lanthanum the same as atomic</t>
  </si>
  <si>
    <t>Ba/Ce</t>
  </si>
  <si>
    <t>Element</t>
  </si>
  <si>
    <t>Isotopes</t>
  </si>
  <si>
    <t>38 - Strontium - Sr</t>
  </si>
  <si>
    <t>86, 87, 88</t>
  </si>
  <si>
    <t>37 - Rubidium - Rb</t>
  </si>
  <si>
    <t>85, 87</t>
  </si>
  <si>
    <t>89,</t>
  </si>
  <si>
    <t>40 - Zirconium - Zr</t>
  </si>
  <si>
    <t xml:space="preserve">90, 91, 92, 94, 96  </t>
  </si>
  <si>
    <t>42 - Molybdenum -Mo</t>
  </si>
  <si>
    <t>92, 94, 95, 96, 97, 98, 100</t>
  </si>
  <si>
    <t>41 - Niobium -Nb</t>
  </si>
  <si>
    <t xml:space="preserve">93, </t>
  </si>
  <si>
    <t>44 - Ruthenium - Ru</t>
  </si>
  <si>
    <t>96, 98, 99, 100, 101, 102, 104</t>
  </si>
  <si>
    <t>46 - Palladium - Pd</t>
  </si>
  <si>
    <t>102, 104, 105, 106, 108, 110, 104</t>
  </si>
  <si>
    <t>45 - Rhodium - Rh</t>
  </si>
  <si>
    <t xml:space="preserve">103, </t>
  </si>
  <si>
    <t>48 - Cadmium - Cd</t>
  </si>
  <si>
    <t>106, 108, 110, 111, 112, 113, 114, 116</t>
  </si>
  <si>
    <t>49 - Indium - In</t>
  </si>
  <si>
    <t>113, 115</t>
  </si>
  <si>
    <t>47 - Silver - Ag</t>
  </si>
  <si>
    <t>107, 109</t>
  </si>
  <si>
    <t>50 - Tin - Sn</t>
  </si>
  <si>
    <t>112, 114, 115, 116, 117, 118, 119, 120, 122, 124, 126</t>
  </si>
  <si>
    <t>52 - Tellurium - Te</t>
  </si>
  <si>
    <t>120, 122, 123, 124, 125, 126, 128, 130</t>
  </si>
  <si>
    <t>51 - Antimony - Sb</t>
  </si>
  <si>
    <t>121, 123</t>
  </si>
  <si>
    <t>56 - Barium - Ba</t>
  </si>
  <si>
    <t>130, 132, 134, 135, 136, 137, 138</t>
  </si>
  <si>
    <t>57 - Lanthanum - La</t>
  </si>
  <si>
    <t>138, 139</t>
  </si>
  <si>
    <t>58 - Cerium - Ce</t>
  </si>
  <si>
    <t>136, 138, 140, 142</t>
  </si>
  <si>
    <t>55 - Cesium - Cs</t>
  </si>
  <si>
    <t>133,</t>
  </si>
  <si>
    <t>59 - Praseodymium - Pr</t>
  </si>
  <si>
    <t>141,</t>
  </si>
  <si>
    <t>60 - Neodymium - Nd</t>
  </si>
  <si>
    <t>142, 143, 144, 145, 146, 148, 150</t>
  </si>
  <si>
    <t>62 - Samarium - Sm</t>
  </si>
  <si>
    <t>144, 147, 148, 149, 150, 152, 154</t>
  </si>
  <si>
    <t>63 - Europium - Eu</t>
  </si>
  <si>
    <t>151, 153</t>
  </si>
  <si>
    <t>64 - Gadolinium - Gd</t>
  </si>
  <si>
    <t>152, 154, 155, 156, 157, 158, 160</t>
  </si>
  <si>
    <t>66 - Dysprosium - Dy</t>
  </si>
  <si>
    <t>156, 158, 160</t>
  </si>
  <si>
    <t>94 - Plutonium - Pu</t>
  </si>
  <si>
    <t>239, 240, 241, 242</t>
  </si>
  <si>
    <t>92 - Uranium - U</t>
  </si>
  <si>
    <t>234, 235, 238</t>
  </si>
  <si>
    <t>39 - Yttrium -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</si>
</sst>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E+00"/>
    <numFmt numFmtId="165" formatCode="0.00000E+00"/>
    <numFmt numFmtId="166" formatCode="0.000E+00"/>
    <numFmt numFmtId="167" formatCode="0.000000E+00"/>
    <numFmt numFmtId="168" formatCode="0.0000000E+00"/>
    <numFmt numFmtId="169" formatCode="0.000000"/>
    <numFmt numFmtId="170" formatCode="0.00000000000"/>
    <numFmt numFmtId="171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rgb="FF222222"/>
      <name val="Arial"/>
      <family val="2"/>
    </font>
    <font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0" fontId="2" fillId="0" borderId="8"/>
    <xf numFmtId="0" fontId="3" fillId="0" borderId="11" applyFont="0"/>
    <xf numFmtId="0" fontId="6" fillId="4" borderId="10" applyProtection="0"/>
  </cellStyleXfs>
  <cellXfs count="116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ont="1" applyAlignment="1">
      <alignment horizontal="right"/>
    </xf>
    <xf numFmtId="0" fontId="5" fillId="0" borderId="1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top" wrapText="1"/>
    </xf>
    <xf numFmtId="0" fontId="5" fillId="0" borderId="3" xfId="0" applyFont="1" applyBorder="1" applyAlignment="1">
      <alignment horizontal="center" vertical="top" wrapText="1"/>
    </xf>
    <xf numFmtId="0" fontId="0" fillId="0" borderId="0" xfId="0" applyFont="1"/>
    <xf numFmtId="0" fontId="0" fillId="0" borderId="4" xfId="0" applyFont="1" applyBorder="1" applyAlignment="1">
      <alignment horizontal="center" vertical="top" wrapText="1"/>
    </xf>
    <xf numFmtId="0" fontId="0" fillId="0" borderId="5" xfId="0" applyFont="1" applyBorder="1" applyAlignment="1">
      <alignment horizontal="center" vertical="top" wrapText="1"/>
    </xf>
    <xf numFmtId="0" fontId="0" fillId="0" borderId="6" xfId="0" applyBorder="1" applyAlignment="1">
      <alignment horizontal="left" vertical="top"/>
    </xf>
    <xf numFmtId="0" fontId="0" fillId="0" borderId="6" xfId="0" applyFont="1" applyBorder="1" applyAlignment="1">
      <alignment horizontal="center" vertical="top" wrapText="1"/>
    </xf>
    <xf numFmtId="0" fontId="0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3" xfId="0" applyFont="1" applyFill="1" applyBorder="1" applyAlignment="1">
      <alignment horizontal="center" vertical="top" wrapText="1"/>
    </xf>
    <xf numFmtId="0" fontId="0" fillId="0" borderId="0" xfId="0" applyFont="1" applyFill="1"/>
    <xf numFmtId="0" fontId="0" fillId="0" borderId="0" xfId="0" applyFont="1" applyFill="1" applyAlignment="1">
      <alignment horizontal="right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top" wrapText="1"/>
    </xf>
    <xf numFmtId="0" fontId="5" fillId="0" borderId="7" xfId="0" applyFont="1" applyFill="1" applyBorder="1" applyAlignment="1">
      <alignment horizontal="center" vertical="top" wrapText="1"/>
    </xf>
    <xf numFmtId="0" fontId="0" fillId="0" borderId="6" xfId="0" applyFill="1" applyBorder="1" applyAlignment="1">
      <alignment horizontal="left" vertical="top"/>
    </xf>
    <xf numFmtId="0" fontId="0" fillId="0" borderId="6" xfId="0" applyFont="1" applyFill="1" applyBorder="1" applyAlignment="1">
      <alignment horizontal="center" vertical="top" wrapText="1"/>
    </xf>
    <xf numFmtId="0" fontId="0" fillId="0" borderId="0" xfId="0" applyFill="1" applyAlignment="1">
      <alignment horizontal="right"/>
    </xf>
    <xf numFmtId="0" fontId="6" fillId="0" borderId="0" xfId="1" applyFont="1" applyBorder="1" applyAlignment="1">
      <alignment horizontal="center" wrapText="1"/>
    </xf>
    <xf numFmtId="0" fontId="0" fillId="0" borderId="0" xfId="0" applyFont="1" applyFill="1" applyAlignment="1">
      <alignment horizontal="center" vertical="top" wrapText="1"/>
    </xf>
    <xf numFmtId="0" fontId="5" fillId="0" borderId="0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/>
    </xf>
    <xf numFmtId="0" fontId="0" fillId="0" borderId="0" xfId="0" applyFont="1" applyFill="1" applyBorder="1" applyAlignment="1">
      <alignment horizontal="center" vertical="top" wrapText="1"/>
    </xf>
    <xf numFmtId="2" fontId="6" fillId="0" borderId="8" xfId="1" applyNumberFormat="1" applyFon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Font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6" fillId="0" borderId="8" xfId="1" applyFont="1"/>
    <xf numFmtId="0" fontId="6" fillId="0" borderId="8" xfId="1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center"/>
    </xf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2" borderId="0" xfId="0" applyFont="1" applyFill="1" applyAlignment="1">
      <alignment horizontal="center"/>
    </xf>
    <xf numFmtId="0" fontId="0" fillId="6" borderId="0" xfId="0" applyFill="1"/>
    <xf numFmtId="0" fontId="0" fillId="0" borderId="8" xfId="0" applyBorder="1"/>
    <xf numFmtId="0" fontId="0" fillId="0" borderId="0" xfId="0" applyBorder="1"/>
    <xf numFmtId="0" fontId="7" fillId="0" borderId="0" xfId="0" applyFont="1"/>
    <xf numFmtId="165" fontId="1" fillId="0" borderId="0" xfId="0" applyNumberFormat="1" applyFont="1"/>
    <xf numFmtId="165" fontId="0" fillId="0" borderId="0" xfId="0" applyNumberFormat="1"/>
    <xf numFmtId="164" fontId="1" fillId="0" borderId="0" xfId="0" applyNumberFormat="1" applyFont="1"/>
    <xf numFmtId="11" fontId="1" fillId="0" borderId="0" xfId="0" applyNumberFormat="1" applyFont="1"/>
    <xf numFmtId="11" fontId="0" fillId="0" borderId="0" xfId="0" applyNumberFormat="1"/>
    <xf numFmtId="11" fontId="0" fillId="0" borderId="0" xfId="0" applyNumberFormat="1" applyFont="1"/>
    <xf numFmtId="0" fontId="0" fillId="0" borderId="9" xfId="0" applyBorder="1"/>
    <xf numFmtId="0" fontId="0" fillId="0" borderId="4" xfId="0" applyBorder="1"/>
    <xf numFmtId="0" fontId="0" fillId="0" borderId="9" xfId="0" applyBorder="1" applyAlignment="1">
      <alignment wrapText="1"/>
    </xf>
    <xf numFmtId="11" fontId="0" fillId="5" borderId="0" xfId="0" applyNumberFormat="1" applyFill="1"/>
    <xf numFmtId="0" fontId="0" fillId="7" borderId="0" xfId="0" applyFill="1"/>
    <xf numFmtId="164" fontId="0" fillId="4" borderId="0" xfId="0" applyNumberFormat="1" applyFill="1"/>
    <xf numFmtId="0" fontId="0" fillId="4" borderId="0" xfId="0" applyFill="1"/>
    <xf numFmtId="0" fontId="2" fillId="0" borderId="8" xfId="1"/>
    <xf numFmtId="0" fontId="0" fillId="0" borderId="11" xfId="2" applyFont="1"/>
    <xf numFmtId="0" fontId="6" fillId="4" borderId="10" xfId="3"/>
    <xf numFmtId="0" fontId="0" fillId="8" borderId="0" xfId="0" applyFill="1"/>
    <xf numFmtId="0" fontId="0" fillId="7" borderId="0" xfId="0" applyFill="1" applyAlignment="1">
      <alignment wrapText="1"/>
    </xf>
    <xf numFmtId="0" fontId="6" fillId="0" borderId="11" xfId="2" applyFont="1"/>
    <xf numFmtId="0" fontId="0" fillId="0" borderId="0" xfId="0" applyFont="1" applyAlignment="1">
      <alignment wrapText="1"/>
    </xf>
    <xf numFmtId="0" fontId="0" fillId="0" borderId="12" xfId="0" applyBorder="1"/>
    <xf numFmtId="0" fontId="0" fillId="0" borderId="13" xfId="0" applyBorder="1"/>
    <xf numFmtId="0" fontId="0" fillId="0" borderId="2" xfId="0" applyBorder="1"/>
    <xf numFmtId="11" fontId="0" fillId="8" borderId="0" xfId="0" applyNumberFormat="1" applyFill="1"/>
    <xf numFmtId="164" fontId="0" fillId="0" borderId="0" xfId="0" applyNumberFormat="1"/>
    <xf numFmtId="164" fontId="0" fillId="0" borderId="0" xfId="0" applyNumberFormat="1" applyBorder="1"/>
    <xf numFmtId="0" fontId="7" fillId="0" borderId="0" xfId="0" applyFont="1" applyAlignment="1">
      <alignment wrapText="1"/>
    </xf>
    <xf numFmtId="11" fontId="0" fillId="0" borderId="0" xfId="0" applyNumberFormat="1" applyBorder="1"/>
    <xf numFmtId="0" fontId="0" fillId="0" borderId="0" xfId="0" applyFill="1" applyAlignment="1">
      <alignment horizontal="center"/>
    </xf>
    <xf numFmtId="0" fontId="0" fillId="0" borderId="0" xfId="0" applyNumberFormat="1" applyFill="1"/>
    <xf numFmtId="0" fontId="0" fillId="0" borderId="0" xfId="0" applyFont="1" applyFill="1" applyAlignment="1">
      <alignment horizontal="center"/>
    </xf>
    <xf numFmtId="11" fontId="7" fillId="0" borderId="0" xfId="0" applyNumberFormat="1" applyFont="1" applyAlignment="1">
      <alignment wrapText="1"/>
    </xf>
    <xf numFmtId="166" fontId="0" fillId="0" borderId="0" xfId="0" applyNumberFormat="1"/>
    <xf numFmtId="11" fontId="1" fillId="0" borderId="0" xfId="0" applyNumberFormat="1" applyFont="1" applyFill="1"/>
    <xf numFmtId="11" fontId="0" fillId="0" borderId="0" xfId="0" applyNumberFormat="1" applyFill="1"/>
    <xf numFmtId="11" fontId="0" fillId="4" borderId="0" xfId="0" applyNumberFormat="1" applyFill="1"/>
    <xf numFmtId="167" fontId="0" fillId="8" borderId="0" xfId="0" applyNumberFormat="1" applyFill="1"/>
    <xf numFmtId="168" fontId="0" fillId="0" borderId="0" xfId="0" applyNumberFormat="1"/>
    <xf numFmtId="11" fontId="0" fillId="6" borderId="0" xfId="0" applyNumberFormat="1" applyFill="1"/>
    <xf numFmtId="11" fontId="0" fillId="6" borderId="0" xfId="0" applyNumberFormat="1" applyFont="1" applyFill="1"/>
    <xf numFmtId="11" fontId="0" fillId="0" borderId="0" xfId="0" applyNumberFormat="1" applyFont="1" applyFill="1"/>
    <xf numFmtId="10" fontId="0" fillId="0" borderId="0" xfId="0" applyNumberFormat="1"/>
    <xf numFmtId="0" fontId="2" fillId="0" borderId="12" xfId="1" applyBorder="1"/>
    <xf numFmtId="10" fontId="2" fillId="0" borderId="13" xfId="1" applyNumberFormat="1" applyBorder="1"/>
    <xf numFmtId="10" fontId="0" fillId="0" borderId="13" xfId="0" applyNumberFormat="1" applyBorder="1"/>
    <xf numFmtId="10" fontId="0" fillId="0" borderId="0" xfId="0" applyNumberFormat="1" applyFont="1"/>
    <xf numFmtId="9" fontId="0" fillId="0" borderId="0" xfId="0" applyNumberFormat="1"/>
    <xf numFmtId="11" fontId="6" fillId="0" borderId="8" xfId="1" applyNumberFormat="1" applyFont="1"/>
    <xf numFmtId="169" fontId="0" fillId="0" borderId="0" xfId="0" applyNumberFormat="1"/>
    <xf numFmtId="0" fontId="8" fillId="0" borderId="0" xfId="0" applyFont="1"/>
    <xf numFmtId="167" fontId="0" fillId="0" borderId="0" xfId="0" applyNumberFormat="1"/>
    <xf numFmtId="164" fontId="9" fillId="0" borderId="0" xfId="0" applyNumberFormat="1" applyFont="1"/>
    <xf numFmtId="164" fontId="9" fillId="0" borderId="0" xfId="0" applyNumberFormat="1" applyFont="1" applyBorder="1"/>
    <xf numFmtId="0" fontId="0" fillId="0" borderId="0" xfId="0" applyFill="1" applyBorder="1"/>
    <xf numFmtId="170" fontId="0" fillId="0" borderId="0" xfId="0" applyNumberFormat="1"/>
    <xf numFmtId="171" fontId="0" fillId="0" borderId="0" xfId="0" applyNumberFormat="1"/>
    <xf numFmtId="167" fontId="0" fillId="7" borderId="0" xfId="0" applyNumberFormat="1" applyFill="1"/>
    <xf numFmtId="11" fontId="0" fillId="0" borderId="0" xfId="0" applyNumberFormat="1" applyAlignment="1">
      <alignment horizontal="center"/>
    </xf>
    <xf numFmtId="167" fontId="0" fillId="6" borderId="0" xfId="0" applyNumberFormat="1" applyFill="1"/>
    <xf numFmtId="0" fontId="0" fillId="0" borderId="14" xfId="0" applyBorder="1"/>
    <xf numFmtId="0" fontId="0" fillId="0" borderId="14" xfId="0" applyBorder="1" applyAlignment="1">
      <alignment wrapText="1"/>
    </xf>
    <xf numFmtId="0" fontId="0" fillId="0" borderId="14" xfId="2" applyFont="1" applyBorder="1"/>
    <xf numFmtId="0" fontId="6" fillId="0" borderId="14" xfId="2" applyFont="1" applyBorder="1"/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</cellXfs>
  <cellStyles count="4">
    <cellStyle name="Bad" xfId="3" builtinId="27" customBuiltin="1"/>
    <cellStyle name="Normal" xfId="0" builtinId="0" customBuiltin="1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55125937289649"/>
          <c:y val="5.1103368176538912E-2"/>
          <c:w val="0.48616416983662331"/>
          <c:h val="0.74260949088680983"/>
        </c:manualLayout>
      </c:layout>
      <c:scatterChart>
        <c:scatterStyle val="lineMarker"/>
        <c:varyColors val="0"/>
        <c:ser>
          <c:idx val="0"/>
          <c:order val="0"/>
          <c:tx>
            <c:v>44 - Ruthenium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Response_Functions!$C$83:$C$89</c:f>
                <c:numCache>
                  <c:formatCode>General</c:formatCode>
                  <c:ptCount val="7"/>
                  <c:pt idx="0">
                    <c:v>2.84059219902412E-7</c:v>
                  </c:pt>
                  <c:pt idx="1">
                    <c:v>3.60720755713444E-7</c:v>
                  </c:pt>
                  <c:pt idx="2">
                    <c:v>2.1511935061826299E-7</c:v>
                  </c:pt>
                  <c:pt idx="3">
                    <c:v>2.00017516029103E-7</c:v>
                  </c:pt>
                  <c:pt idx="4">
                    <c:v>1.8194900890190799E-7</c:v>
                  </c:pt>
                  <c:pt idx="5">
                    <c:v>1.6311690495871899E-7</c:v>
                  </c:pt>
                  <c:pt idx="6">
                    <c:v>1.73415728929575E-7</c:v>
                  </c:pt>
                </c:numCache>
              </c:numRef>
            </c:plus>
            <c:minus>
              <c:numRef>
                <c:f>Response_Functions!$C$83:$C$89</c:f>
                <c:numCache>
                  <c:formatCode>General</c:formatCode>
                  <c:ptCount val="7"/>
                  <c:pt idx="0">
                    <c:v>2.84059219902412E-7</c:v>
                  </c:pt>
                  <c:pt idx="1">
                    <c:v>3.60720755713444E-7</c:v>
                  </c:pt>
                  <c:pt idx="2">
                    <c:v>2.1511935061826299E-7</c:v>
                  </c:pt>
                  <c:pt idx="3">
                    <c:v>2.00017516029103E-7</c:v>
                  </c:pt>
                  <c:pt idx="4">
                    <c:v>1.8194900890190799E-7</c:v>
                  </c:pt>
                  <c:pt idx="5">
                    <c:v>1.6311690495871899E-7</c:v>
                  </c:pt>
                  <c:pt idx="6">
                    <c:v>1.73415728929575E-7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Response_Functions!$A$83:$A$89</c:f>
              <c:numCache>
                <c:formatCode>General</c:formatCode>
                <c:ptCount val="7"/>
                <c:pt idx="0">
                  <c:v>96</c:v>
                </c:pt>
                <c:pt idx="1">
                  <c:v>98</c:v>
                </c:pt>
                <c:pt idx="2">
                  <c:v>99</c:v>
                </c:pt>
                <c:pt idx="3">
                  <c:v>100</c:v>
                </c:pt>
                <c:pt idx="4">
                  <c:v>101</c:v>
                </c:pt>
                <c:pt idx="5">
                  <c:v>102</c:v>
                </c:pt>
                <c:pt idx="6">
                  <c:v>104</c:v>
                </c:pt>
              </c:numCache>
            </c:numRef>
          </c:xVal>
          <c:yVal>
            <c:numRef>
              <c:f>Response_Functions!$B$83:$B$89</c:f>
              <c:numCache>
                <c:formatCode>0.00E+00</c:formatCode>
                <c:ptCount val="7"/>
                <c:pt idx="0">
                  <c:v>2.7963435209514599E-5</c:v>
                </c:pt>
                <c:pt idx="1">
                  <c:v>2.5948939717754599E-5</c:v>
                </c:pt>
                <c:pt idx="2">
                  <c:v>2.5617656374947801E-5</c:v>
                </c:pt>
                <c:pt idx="3">
                  <c:v>2.4028521220230799E-5</c:v>
                </c:pt>
                <c:pt idx="4">
                  <c:v>2.2848443919087002E-5</c:v>
                </c:pt>
                <c:pt idx="5">
                  <c:v>2.16086934947964E-5</c:v>
                </c:pt>
                <c:pt idx="6">
                  <c:v>1.9995267432079798E-5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873248"/>
        <c:axId val="354873808"/>
      </c:scatterChart>
      <c:valAx>
        <c:axId val="354873248"/>
        <c:scaling>
          <c:orientation val="minMax"/>
          <c:max val="105"/>
          <c:min val="9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3808"/>
        <c:crosses val="autoZero"/>
        <c:crossBetween val="midCat"/>
        <c:majorUnit val="1"/>
      </c:valAx>
      <c:valAx>
        <c:axId val="354873808"/>
        <c:scaling>
          <c:orientation val="minMax"/>
          <c:min val="1.9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87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2913072744634"/>
          <c:y val="0.3658529269207203"/>
          <c:w val="0.32075640644323034"/>
          <c:h val="0.156795522510905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60 - Neodymium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Response_Functions!$C$270:$C$276</c:f>
                <c:numCache>
                  <c:formatCode>General</c:formatCode>
                  <c:ptCount val="7"/>
                  <c:pt idx="0">
                    <c:v>8.5699000000000005E-8</c:v>
                  </c:pt>
                  <c:pt idx="1">
                    <c:v>8.1849727670353704E-8</c:v>
                  </c:pt>
                  <c:pt idx="2">
                    <c:v>8.0100999999999997E-8</c:v>
                  </c:pt>
                  <c:pt idx="3">
                    <c:v>8.5232557432533802E-8</c:v>
                  </c:pt>
                  <c:pt idx="4">
                    <c:v>8.0603719637927205E-8</c:v>
                  </c:pt>
                  <c:pt idx="5">
                    <c:v>1.7651000000000001E-7</c:v>
                  </c:pt>
                  <c:pt idx="6">
                    <c:v>1.3608000000000001E-7</c:v>
                  </c:pt>
                </c:numCache>
              </c:numRef>
            </c:plus>
            <c:minus>
              <c:numRef>
                <c:f>Response_Functions!$C$270:$C$276</c:f>
                <c:numCache>
                  <c:formatCode>General</c:formatCode>
                  <c:ptCount val="7"/>
                  <c:pt idx="0">
                    <c:v>8.5699000000000005E-8</c:v>
                  </c:pt>
                  <c:pt idx="1">
                    <c:v>8.1849727670353704E-8</c:v>
                  </c:pt>
                  <c:pt idx="2">
                    <c:v>8.0100999999999997E-8</c:v>
                  </c:pt>
                  <c:pt idx="3">
                    <c:v>8.5232557432533802E-8</c:v>
                  </c:pt>
                  <c:pt idx="4">
                    <c:v>8.0603719637927205E-8</c:v>
                  </c:pt>
                  <c:pt idx="5">
                    <c:v>1.7651000000000001E-7</c:v>
                  </c:pt>
                  <c:pt idx="6">
                    <c:v>1.3608000000000001E-7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Response_Functions!$A$270:$A$276</c:f>
              <c:numCache>
                <c:formatCode>General</c:formatCode>
                <c:ptCount val="7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148</c:v>
                </c:pt>
                <c:pt idx="6">
                  <c:v>150</c:v>
                </c:pt>
              </c:numCache>
            </c:numRef>
          </c:xVal>
          <c:yVal>
            <c:numRef>
              <c:f>Response_Functions!$B$270:$B$276</c:f>
              <c:numCache>
                <c:formatCode>0.00E+00</c:formatCode>
                <c:ptCount val="7"/>
                <c:pt idx="0" formatCode="General">
                  <c:v>1.0761374061908593E-5</c:v>
                </c:pt>
                <c:pt idx="1">
                  <c:v>1.07645190262413E-5</c:v>
                </c:pt>
                <c:pt idx="2" formatCode="General">
                  <c:v>1.0789836544917647E-5</c:v>
                </c:pt>
                <c:pt idx="3">
                  <c:v>1.08392086257107E-5</c:v>
                </c:pt>
                <c:pt idx="4">
                  <c:v>1.0849347190061799E-5</c:v>
                </c:pt>
                <c:pt idx="5" formatCode="General">
                  <c:v>1.0847215591065494E-5</c:v>
                </c:pt>
                <c:pt idx="6" formatCode="General">
                  <c:v>1.0876134575385289E-5</c:v>
                </c:pt>
              </c:numCache>
            </c:numRef>
          </c:yVal>
          <c:smooth val="0"/>
        </c:ser>
        <c:ser>
          <c:idx val="1"/>
          <c:order val="1"/>
          <c:tx>
            <c:v>60 - Neodymium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Response_Functions!$E$270:$E$276</c:f>
                <c:numCache>
                  <c:formatCode>General</c:formatCode>
                  <c:ptCount val="7"/>
                  <c:pt idx="0">
                    <c:v>8.2634999999999998E-8</c:v>
                  </c:pt>
                  <c:pt idx="1">
                    <c:v>7.7912978276627796E-8</c:v>
                  </c:pt>
                  <c:pt idx="2">
                    <c:v>7.7192999999999995E-8</c:v>
                  </c:pt>
                  <c:pt idx="3">
                    <c:v>8.0948492664080795E-8</c:v>
                  </c:pt>
                  <c:pt idx="4">
                    <c:v>7.8097983474536398E-8</c:v>
                  </c:pt>
                  <c:pt idx="5">
                    <c:v>1.6128E-7</c:v>
                  </c:pt>
                  <c:pt idx="6">
                    <c:v>1.2253E-7</c:v>
                  </c:pt>
                </c:numCache>
              </c:numRef>
            </c:plus>
            <c:minus>
              <c:numRef>
                <c:f>Response_Functions!$E$270:$E$276</c:f>
                <c:numCache>
                  <c:formatCode>General</c:formatCode>
                  <c:ptCount val="7"/>
                  <c:pt idx="0">
                    <c:v>8.2634999999999998E-8</c:v>
                  </c:pt>
                  <c:pt idx="1">
                    <c:v>7.7912978276627796E-8</c:v>
                  </c:pt>
                  <c:pt idx="2">
                    <c:v>7.7192999999999995E-8</c:v>
                  </c:pt>
                  <c:pt idx="3">
                    <c:v>8.0948492664080795E-8</c:v>
                  </c:pt>
                  <c:pt idx="4">
                    <c:v>7.8097983474536398E-8</c:v>
                  </c:pt>
                  <c:pt idx="5">
                    <c:v>1.6128E-7</c:v>
                  </c:pt>
                  <c:pt idx="6">
                    <c:v>1.2253E-7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Response_Functions!$A$270:$A$276</c:f>
              <c:numCache>
                <c:formatCode>General</c:formatCode>
                <c:ptCount val="7"/>
                <c:pt idx="0">
                  <c:v>142</c:v>
                </c:pt>
                <c:pt idx="1">
                  <c:v>143</c:v>
                </c:pt>
                <c:pt idx="2">
                  <c:v>144</c:v>
                </c:pt>
                <c:pt idx="3">
                  <c:v>145</c:v>
                </c:pt>
                <c:pt idx="4">
                  <c:v>146</c:v>
                </c:pt>
                <c:pt idx="5">
                  <c:v>148</c:v>
                </c:pt>
                <c:pt idx="6">
                  <c:v>150</c:v>
                </c:pt>
              </c:numCache>
            </c:numRef>
          </c:xVal>
          <c:yVal>
            <c:numRef>
              <c:f>Response_Functions!$D$270:$D$276</c:f>
              <c:numCache>
                <c:formatCode>0.00E+00</c:formatCode>
                <c:ptCount val="7"/>
                <c:pt idx="0" formatCode="General">
                  <c:v>1.0417899999999999E-5</c:v>
                </c:pt>
                <c:pt idx="1">
                  <c:v>1.02816889225561E-5</c:v>
                </c:pt>
                <c:pt idx="2" formatCode="General">
                  <c:v>1.0335799999999999E-5</c:v>
                </c:pt>
                <c:pt idx="3">
                  <c:v>1.0343321041454799E-5</c:v>
                </c:pt>
                <c:pt idx="4">
                  <c:v>1.0529303344741201E-5</c:v>
                </c:pt>
                <c:pt idx="5" formatCode="General">
                  <c:v>1.0171599999999999E-5</c:v>
                </c:pt>
                <c:pt idx="6" formatCode="General">
                  <c:v>1.0089998282788024E-5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07568"/>
        <c:axId val="357858512"/>
      </c:scatterChart>
      <c:valAx>
        <c:axId val="3578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</a:t>
                </a:r>
                <a:r>
                  <a:rPr lang="en-US" baseline="0"/>
                  <a:t> Number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58512"/>
        <c:crosses val="autoZero"/>
        <c:crossBetween val="midCat"/>
      </c:valAx>
      <c:valAx>
        <c:axId val="35785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62 - Samarium MS - B 2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Response_Functions!$E$292:$E$298</c:f>
                <c:numCache>
                  <c:formatCode>General</c:formatCode>
                  <c:ptCount val="7"/>
                  <c:pt idx="0">
                    <c:v>6.8524435668711798E-7</c:v>
                  </c:pt>
                  <c:pt idx="1">
                    <c:v>7.67388264779313E-8</c:v>
                  </c:pt>
                  <c:pt idx="2">
                    <c:v>9.2525530951212805E-8</c:v>
                  </c:pt>
                  <c:pt idx="3">
                    <c:v>7.8193618154104498E-8</c:v>
                  </c:pt>
                  <c:pt idx="4">
                    <c:v>1.08807818824336E-7</c:v>
                  </c:pt>
                  <c:pt idx="5">
                    <c:v>7.7191647753708601E-8</c:v>
                  </c:pt>
                  <c:pt idx="6">
                    <c:v>7.9448130157828502E-8</c:v>
                  </c:pt>
                </c:numCache>
              </c:numRef>
            </c:plus>
            <c:minus>
              <c:numRef>
                <c:f>Response_Functions!$E$292:$E$298</c:f>
                <c:numCache>
                  <c:formatCode>General</c:formatCode>
                  <c:ptCount val="7"/>
                  <c:pt idx="0">
                    <c:v>6.8524435668711798E-7</c:v>
                  </c:pt>
                  <c:pt idx="1">
                    <c:v>7.67388264779313E-8</c:v>
                  </c:pt>
                  <c:pt idx="2">
                    <c:v>9.2525530951212805E-8</c:v>
                  </c:pt>
                  <c:pt idx="3">
                    <c:v>7.8193618154104498E-8</c:v>
                  </c:pt>
                  <c:pt idx="4">
                    <c:v>1.08807818824336E-7</c:v>
                  </c:pt>
                  <c:pt idx="5">
                    <c:v>7.7191647753708601E-8</c:v>
                  </c:pt>
                  <c:pt idx="6">
                    <c:v>7.9448130157828502E-8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Response_Functions!$A$292:$A$298</c:f>
              <c:numCache>
                <c:formatCode>General</c:formatCode>
                <c:ptCount val="7"/>
                <c:pt idx="0">
                  <c:v>144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</c:numCache>
            </c:numRef>
          </c:xVal>
          <c:yVal>
            <c:numRef>
              <c:f>Response_Functions!$D$292:$D$298</c:f>
              <c:numCache>
                <c:formatCode>0.00E+00</c:formatCode>
                <c:ptCount val="7"/>
                <c:pt idx="0">
                  <c:v>1.0435674254139442E-5</c:v>
                </c:pt>
                <c:pt idx="1">
                  <c:v>1.0259183153756501E-5</c:v>
                </c:pt>
                <c:pt idx="2" formatCode="0.0000000E+00">
                  <c:v>1.0467893568344795E-5</c:v>
                </c:pt>
                <c:pt idx="3">
                  <c:v>1.0399682623398199E-5</c:v>
                </c:pt>
                <c:pt idx="4">
                  <c:v>1.0484077946722881E-5</c:v>
                </c:pt>
                <c:pt idx="5" formatCode="0.00000E+00">
                  <c:v>1.0500312447831847E-5</c:v>
                </c:pt>
                <c:pt idx="6" formatCode="0.00000E+00">
                  <c:v>1.0516597304876615E-5</c:v>
                </c:pt>
              </c:numCache>
            </c:numRef>
          </c:yVal>
          <c:smooth val="0"/>
        </c:ser>
        <c:ser>
          <c:idx val="1"/>
          <c:order val="1"/>
          <c:tx>
            <c:v>62 Samarium MS - B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Response_Functions!$C$292:$C$298</c:f>
                <c:numCache>
                  <c:formatCode>General</c:formatCode>
                  <c:ptCount val="7"/>
                  <c:pt idx="0">
                    <c:v>6.3677785006574902E-7</c:v>
                  </c:pt>
                  <c:pt idx="1">
                    <c:v>7.9725531406736302E-8</c:v>
                  </c:pt>
                  <c:pt idx="2">
                    <c:v>9.5141457876423596E-8</c:v>
                  </c:pt>
                  <c:pt idx="3">
                    <c:v>8.2972748907031597E-8</c:v>
                  </c:pt>
                  <c:pt idx="4">
                    <c:v>1.1173315857957099E-7</c:v>
                  </c:pt>
                  <c:pt idx="5">
                    <c:v>8.0399617769644595E-8</c:v>
                  </c:pt>
                  <c:pt idx="6">
                    <c:v>8.3096762666270998E-8</c:v>
                  </c:pt>
                </c:numCache>
              </c:numRef>
            </c:plus>
            <c:minus>
              <c:numRef>
                <c:f>Response_Functions!$C$292:$C$298</c:f>
                <c:numCache>
                  <c:formatCode>General</c:formatCode>
                  <c:ptCount val="7"/>
                  <c:pt idx="0">
                    <c:v>6.3677785006574902E-7</c:v>
                  </c:pt>
                  <c:pt idx="1">
                    <c:v>7.9725531406736302E-8</c:v>
                  </c:pt>
                  <c:pt idx="2">
                    <c:v>9.5141457876423596E-8</c:v>
                  </c:pt>
                  <c:pt idx="3">
                    <c:v>8.2972748907031597E-8</c:v>
                  </c:pt>
                  <c:pt idx="4">
                    <c:v>1.1173315857957099E-7</c:v>
                  </c:pt>
                  <c:pt idx="5">
                    <c:v>8.0399617769644595E-8</c:v>
                  </c:pt>
                  <c:pt idx="6">
                    <c:v>8.3096762666270998E-8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Response_Functions!$A$292:$A$298</c:f>
              <c:numCache>
                <c:formatCode>General</c:formatCode>
                <c:ptCount val="7"/>
                <c:pt idx="0">
                  <c:v>144</c:v>
                </c:pt>
                <c:pt idx="1">
                  <c:v>147</c:v>
                </c:pt>
                <c:pt idx="2">
                  <c:v>148</c:v>
                </c:pt>
                <c:pt idx="3">
                  <c:v>149</c:v>
                </c:pt>
                <c:pt idx="4">
                  <c:v>150</c:v>
                </c:pt>
                <c:pt idx="5">
                  <c:v>152</c:v>
                </c:pt>
                <c:pt idx="6">
                  <c:v>154</c:v>
                </c:pt>
              </c:numCache>
            </c:numRef>
          </c:xVal>
          <c:yVal>
            <c:numRef>
              <c:f>Response_Functions!$B$292:$B$298</c:f>
              <c:numCache>
                <c:formatCode>0.00E+00</c:formatCode>
                <c:ptCount val="7"/>
                <c:pt idx="0">
                  <c:v>1.0713556927299841E-5</c:v>
                </c:pt>
                <c:pt idx="1">
                  <c:v>1.06345955256765E-5</c:v>
                </c:pt>
                <c:pt idx="2">
                  <c:v>1.0816045756921949E-5</c:v>
                </c:pt>
                <c:pt idx="3">
                  <c:v>1.09939494992094E-5</c:v>
                </c:pt>
                <c:pt idx="4">
                  <c:v>1.0868029033039007E-5</c:v>
                </c:pt>
                <c:pt idx="5">
                  <c:v>1.0920514398585715E-5</c:v>
                </c:pt>
                <c:pt idx="6">
                  <c:v>1.0973509163138385E-5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861872"/>
        <c:axId val="357412944"/>
      </c:scatterChart>
      <c:valAx>
        <c:axId val="35786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2944"/>
        <c:crosses val="autoZero"/>
        <c:crossBetween val="midCat"/>
      </c:valAx>
      <c:valAx>
        <c:axId val="35741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64 - Gadolinium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Response_Functions!$C$324:$C$330</c:f>
                <c:numCache>
                  <c:formatCode>General</c:formatCode>
                  <c:ptCount val="7"/>
                  <c:pt idx="0">
                    <c:v>9.6167026114483507E-6</c:v>
                  </c:pt>
                  <c:pt idx="1">
                    <c:v>8.09091017112891E-7</c:v>
                  </c:pt>
                  <c:pt idx="2">
                    <c:v>7.9568295846215494E-8</c:v>
                  </c:pt>
                  <c:pt idx="3">
                    <c:v>8.0513834955659095E-8</c:v>
                  </c:pt>
                  <c:pt idx="4">
                    <c:v>7.8394749256456798E-8</c:v>
                  </c:pt>
                  <c:pt idx="5">
                    <c:v>8.2453061122813795E-8</c:v>
                  </c:pt>
                  <c:pt idx="6">
                    <c:v>8.7312208879413304E-8</c:v>
                  </c:pt>
                </c:numCache>
              </c:numRef>
            </c:plus>
            <c:minus>
              <c:numRef>
                <c:f>Response_Functions!$C$324:$C$330</c:f>
                <c:numCache>
                  <c:formatCode>General</c:formatCode>
                  <c:ptCount val="7"/>
                  <c:pt idx="0">
                    <c:v>9.6167026114483507E-6</c:v>
                  </c:pt>
                  <c:pt idx="1">
                    <c:v>8.09091017112891E-7</c:v>
                  </c:pt>
                  <c:pt idx="2">
                    <c:v>7.9568295846215494E-8</c:v>
                  </c:pt>
                  <c:pt idx="3">
                    <c:v>8.0513834955659095E-8</c:v>
                  </c:pt>
                  <c:pt idx="4">
                    <c:v>7.8394749256456798E-8</c:v>
                  </c:pt>
                  <c:pt idx="5">
                    <c:v>8.2453061122813795E-8</c:v>
                  </c:pt>
                  <c:pt idx="6">
                    <c:v>8.7312208879413304E-8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Response_Functions!$A$324:$A$330</c:f>
              <c:numCache>
                <c:formatCode>General</c:formatCode>
                <c:ptCount val="7"/>
                <c:pt idx="0">
                  <c:v>152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160</c:v>
                </c:pt>
              </c:numCache>
            </c:numRef>
          </c:xVal>
          <c:yVal>
            <c:numRef>
              <c:f>Response_Functions!$B$324:$B$330</c:f>
              <c:numCache>
                <c:formatCode>0.00E+00</c:formatCode>
                <c:ptCount val="7"/>
                <c:pt idx="0">
                  <c:v>1.0150033228050299E-5</c:v>
                </c:pt>
                <c:pt idx="1">
                  <c:v>1.0492844352011717E-5</c:v>
                </c:pt>
                <c:pt idx="2">
                  <c:v>1.0612047867096799E-5</c:v>
                </c:pt>
                <c:pt idx="3">
                  <c:v>1.0859621378950427E-5</c:v>
                </c:pt>
                <c:pt idx="4">
                  <c:v>1.05061675257603E-5</c:v>
                </c:pt>
                <c:pt idx="5">
                  <c:v>1.1252968521052586E-5</c:v>
                </c:pt>
                <c:pt idx="6">
                  <c:v>1.1675881480120483E-5</c:v>
                </c:pt>
              </c:numCache>
            </c:numRef>
          </c:yVal>
          <c:smooth val="0"/>
        </c:ser>
        <c:ser>
          <c:idx val="1"/>
          <c:order val="1"/>
          <c:tx>
            <c:v>64 - Gadolinium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Response_Functions!$E$324:$E$330</c:f>
                <c:numCache>
                  <c:formatCode>General</c:formatCode>
                  <c:ptCount val="7"/>
                  <c:pt idx="0">
                    <c:v>9.8282915960159708E-6</c:v>
                  </c:pt>
                  <c:pt idx="1">
                    <c:v>8.2478135471388704E-7</c:v>
                  </c:pt>
                  <c:pt idx="2">
                    <c:v>7.4054006836907004E-8</c:v>
                  </c:pt>
                  <c:pt idx="3">
                    <c:v>7.4616988103234306E-8</c:v>
                  </c:pt>
                  <c:pt idx="4">
                    <c:v>7.3003497599414298E-8</c:v>
                  </c:pt>
                  <c:pt idx="5">
                    <c:v>8.0800108291421901E-8</c:v>
                  </c:pt>
                  <c:pt idx="6">
                    <c:v>8.5800448165746704E-8</c:v>
                  </c:pt>
                </c:numCache>
              </c:numRef>
            </c:plus>
            <c:minus>
              <c:numRef>
                <c:f>Response_Functions!$E$324:$E$330</c:f>
                <c:numCache>
                  <c:formatCode>General</c:formatCode>
                  <c:ptCount val="7"/>
                  <c:pt idx="0">
                    <c:v>9.8282915960159708E-6</c:v>
                  </c:pt>
                  <c:pt idx="1">
                    <c:v>8.2478135471388704E-7</c:v>
                  </c:pt>
                  <c:pt idx="2">
                    <c:v>7.4054006836907004E-8</c:v>
                  </c:pt>
                  <c:pt idx="3">
                    <c:v>7.4616988103234306E-8</c:v>
                  </c:pt>
                  <c:pt idx="4">
                    <c:v>7.3003497599414298E-8</c:v>
                  </c:pt>
                  <c:pt idx="5">
                    <c:v>8.0800108291421901E-8</c:v>
                  </c:pt>
                  <c:pt idx="6">
                    <c:v>8.5800448165746704E-8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Response_Functions!$A$324:$A$330</c:f>
              <c:numCache>
                <c:formatCode>General</c:formatCode>
                <c:ptCount val="7"/>
                <c:pt idx="0">
                  <c:v>152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160</c:v>
                </c:pt>
              </c:numCache>
            </c:numRef>
          </c:xVal>
          <c:yVal>
            <c:numRef>
              <c:f>Response_Functions!$D$324:$D$330</c:f>
              <c:numCache>
                <c:formatCode>0.00E+00</c:formatCode>
                <c:ptCount val="7"/>
                <c:pt idx="0">
                  <c:v>1.006921370737483E-5</c:v>
                </c:pt>
                <c:pt idx="1">
                  <c:v>1.0383338595297007E-5</c:v>
                </c:pt>
                <c:pt idx="2">
                  <c:v>9.9179016460424607E-6</c:v>
                </c:pt>
                <c:pt idx="3">
                  <c:v>1.0717693836225371E-5</c:v>
                </c:pt>
                <c:pt idx="4">
                  <c:v>9.8216630922117606E-6</c:v>
                </c:pt>
                <c:pt idx="5">
                  <c:v>1.1074298776092218E-5</c:v>
                </c:pt>
                <c:pt idx="6">
                  <c:v>1.1455450765870417E-5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416304"/>
        <c:axId val="357548128"/>
      </c:scatterChart>
      <c:valAx>
        <c:axId val="357416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48128"/>
        <c:crosses val="autoZero"/>
        <c:crossBetween val="midCat"/>
      </c:valAx>
      <c:valAx>
        <c:axId val="357548128"/>
        <c:scaling>
          <c:orientation val="minMax"/>
          <c:max val="1.2500000000000006E-5"/>
          <c:min val="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41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66 - Dysprosium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Response_Functions!$C$352:$C$354</c:f>
                <c:numCache>
                  <c:formatCode>General</c:formatCode>
                  <c:ptCount val="3"/>
                  <c:pt idx="0">
                    <c:v>2.7739999999999999E-5</c:v>
                  </c:pt>
                  <c:pt idx="1">
                    <c:v>2.5820999999999999E-5</c:v>
                  </c:pt>
                  <c:pt idx="2">
                    <c:v>3.6997999999999998E-7</c:v>
                  </c:pt>
                </c:numCache>
              </c:numRef>
            </c:plus>
            <c:minus>
              <c:numRef>
                <c:f>Response_Functions!$C$352:$C$354</c:f>
                <c:numCache>
                  <c:formatCode>General</c:formatCode>
                  <c:ptCount val="3"/>
                  <c:pt idx="0">
                    <c:v>2.7739999999999999E-5</c:v>
                  </c:pt>
                  <c:pt idx="1">
                    <c:v>2.5820999999999999E-5</c:v>
                  </c:pt>
                  <c:pt idx="2">
                    <c:v>3.6997999999999998E-7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Response_Functions!$A$352:$A$354</c:f>
              <c:numCache>
                <c:formatCode>General</c:formatCode>
                <c:ptCount val="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</c:numCache>
            </c:numRef>
          </c:xVal>
          <c:yVal>
            <c:numRef>
              <c:f>Response_Functions!$B$352:$B$354</c:f>
              <c:numCache>
                <c:formatCode>General</c:formatCode>
                <c:ptCount val="3"/>
                <c:pt idx="0" formatCode="0.00E+00">
                  <c:v>1.102E-5</c:v>
                </c:pt>
                <c:pt idx="1">
                  <c:v>4.4904474959116052E-5</c:v>
                </c:pt>
                <c:pt idx="2">
                  <c:v>7.6656083066137958E-6</c:v>
                </c:pt>
              </c:numCache>
            </c:numRef>
          </c:yVal>
          <c:smooth val="0"/>
        </c:ser>
        <c:ser>
          <c:idx val="1"/>
          <c:order val="1"/>
          <c:tx>
            <c:v>66 - Dysprosium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Response_Functions!$E$352:$E$354</c:f>
                <c:numCache>
                  <c:formatCode>General</c:formatCode>
                  <c:ptCount val="3"/>
                  <c:pt idx="0">
                    <c:v>2.5820999999999999E-5</c:v>
                  </c:pt>
                  <c:pt idx="1">
                    <c:v>1.9246000000000002E-6</c:v>
                  </c:pt>
                  <c:pt idx="2">
                    <c:v>2.7589999999999998E-7</c:v>
                  </c:pt>
                </c:numCache>
              </c:numRef>
            </c:plus>
            <c:minus>
              <c:numRef>
                <c:f>Response_Functions!$E$352:$E$354</c:f>
                <c:numCache>
                  <c:formatCode>General</c:formatCode>
                  <c:ptCount val="3"/>
                  <c:pt idx="0">
                    <c:v>2.5820999999999999E-5</c:v>
                  </c:pt>
                  <c:pt idx="1">
                    <c:v>1.9246000000000002E-6</c:v>
                  </c:pt>
                  <c:pt idx="2">
                    <c:v>2.7589999999999998E-7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Response_Functions!$A$352:$A$354</c:f>
              <c:numCache>
                <c:formatCode>General</c:formatCode>
                <c:ptCount val="3"/>
                <c:pt idx="0">
                  <c:v>156</c:v>
                </c:pt>
                <c:pt idx="1">
                  <c:v>158</c:v>
                </c:pt>
                <c:pt idx="2">
                  <c:v>160</c:v>
                </c:pt>
              </c:numCache>
            </c:numRef>
          </c:xVal>
          <c:yVal>
            <c:numRef>
              <c:f>Response_Functions!$D$352:$D$354</c:f>
              <c:numCache>
                <c:formatCode>0.00E+00</c:formatCode>
                <c:ptCount val="3"/>
                <c:pt idx="0">
                  <c:v>1.0271E-5</c:v>
                </c:pt>
                <c:pt idx="1">
                  <c:v>1.0606000000000001E-6</c:v>
                </c:pt>
                <c:pt idx="2" formatCode="General">
                  <c:v>6.494842035019293E-6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551488"/>
        <c:axId val="361283648"/>
      </c:scatterChart>
      <c:valAx>
        <c:axId val="357551488"/>
        <c:scaling>
          <c:orientation val="minMax"/>
          <c:max val="161"/>
          <c:min val="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3648"/>
        <c:crosses val="autoZero"/>
        <c:crossBetween val="midCat"/>
      </c:valAx>
      <c:valAx>
        <c:axId val="361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(ppm/cps)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55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58 - Cerium MS - B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Response_Functions!$C$235:$C$238</c:f>
                <c:numCache>
                  <c:formatCode>General</c:formatCode>
                  <c:ptCount val="4"/>
                  <c:pt idx="0">
                    <c:v>2.7583293665791898E-7</c:v>
                  </c:pt>
                  <c:pt idx="1">
                    <c:v>3.1905081645213802E-7</c:v>
                  </c:pt>
                  <c:pt idx="2">
                    <c:v>8.3992178086760102E-8</c:v>
                  </c:pt>
                  <c:pt idx="3">
                    <c:v>2.3475334541464099E-7</c:v>
                  </c:pt>
                </c:numCache>
              </c:numRef>
            </c:plus>
            <c:minus>
              <c:numRef>
                <c:f>Response_Functions!$C$235:$C$238</c:f>
                <c:numCache>
                  <c:formatCode>General</c:formatCode>
                  <c:ptCount val="4"/>
                  <c:pt idx="0">
                    <c:v>2.7583293665791898E-7</c:v>
                  </c:pt>
                  <c:pt idx="1">
                    <c:v>3.1905081645213802E-7</c:v>
                  </c:pt>
                  <c:pt idx="2">
                    <c:v>8.3992178086760102E-8</c:v>
                  </c:pt>
                  <c:pt idx="3">
                    <c:v>2.3475334541464099E-7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Response_Functions!$A$235:$A$238</c:f>
              <c:numCache>
                <c:formatCode>General</c:formatCode>
                <c:ptCount val="4"/>
                <c:pt idx="0">
                  <c:v>136</c:v>
                </c:pt>
                <c:pt idx="1">
                  <c:v>138</c:v>
                </c:pt>
                <c:pt idx="2">
                  <c:v>140</c:v>
                </c:pt>
                <c:pt idx="3">
                  <c:v>142</c:v>
                </c:pt>
              </c:numCache>
            </c:numRef>
          </c:xVal>
          <c:yVal>
            <c:numRef>
              <c:f>Response_Functions!$B$235:$B$238</c:f>
              <c:numCache>
                <c:formatCode>0.00E+00</c:formatCode>
                <c:ptCount val="4"/>
                <c:pt idx="0">
                  <c:v>1.08721830078961E-5</c:v>
                </c:pt>
                <c:pt idx="1">
                  <c:v>1.20522893032991E-5</c:v>
                </c:pt>
                <c:pt idx="2">
                  <c:v>1.1832096495662001E-5</c:v>
                </c:pt>
                <c:pt idx="3">
                  <c:v>1.1699710729611101E-5</c:v>
                </c:pt>
              </c:numCache>
            </c:numRef>
          </c:yVal>
          <c:smooth val="0"/>
        </c:ser>
        <c:ser>
          <c:idx val="1"/>
          <c:order val="1"/>
          <c:tx>
            <c:v>58 - Cerium MS - B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Response_Functions!$E$235:$E$238</c:f>
                <c:numCache>
                  <c:formatCode>General</c:formatCode>
                  <c:ptCount val="4"/>
                  <c:pt idx="0">
                    <c:v>2.8369576350343002E-7</c:v>
                  </c:pt>
                  <c:pt idx="1">
                    <c:v>2.9330487469499298E-7</c:v>
                  </c:pt>
                  <c:pt idx="2">
                    <c:v>8.0206379137932495E-8</c:v>
                  </c:pt>
                  <c:pt idx="3">
                    <c:v>2.1102507190129E-7</c:v>
                  </c:pt>
                </c:numCache>
              </c:numRef>
            </c:plus>
            <c:minus>
              <c:numRef>
                <c:f>Response_Functions!$E$235:$E$238</c:f>
                <c:numCache>
                  <c:formatCode>General</c:formatCode>
                  <c:ptCount val="4"/>
                  <c:pt idx="0">
                    <c:v>2.8369576350343002E-7</c:v>
                  </c:pt>
                  <c:pt idx="1">
                    <c:v>2.9330487469499298E-7</c:v>
                  </c:pt>
                  <c:pt idx="2">
                    <c:v>8.0206379137932495E-8</c:v>
                  </c:pt>
                  <c:pt idx="3">
                    <c:v>2.1102507190129E-7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Response_Functions!$A$235:$A$238</c:f>
              <c:numCache>
                <c:formatCode>General</c:formatCode>
                <c:ptCount val="4"/>
                <c:pt idx="0">
                  <c:v>136</c:v>
                </c:pt>
                <c:pt idx="1">
                  <c:v>138</c:v>
                </c:pt>
                <c:pt idx="2">
                  <c:v>140</c:v>
                </c:pt>
                <c:pt idx="3">
                  <c:v>142</c:v>
                </c:pt>
              </c:numCache>
            </c:numRef>
          </c:xVal>
          <c:yVal>
            <c:numRef>
              <c:f>Response_Functions!$D$235:$D$238</c:f>
              <c:numCache>
                <c:formatCode>0.00E+00</c:formatCode>
                <c:ptCount val="4"/>
                <c:pt idx="0">
                  <c:v>1.1083192269459701E-5</c:v>
                </c:pt>
                <c:pt idx="1">
                  <c:v>1.13063520900792E-5</c:v>
                </c:pt>
                <c:pt idx="2">
                  <c:v>1.1305353240956199E-5</c:v>
                </c:pt>
                <c:pt idx="3">
                  <c:v>1.0859399470364601E-5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287008"/>
        <c:axId val="361295936"/>
      </c:scatterChart>
      <c:valAx>
        <c:axId val="36128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95936"/>
        <c:crosses val="autoZero"/>
        <c:crossBetween val="midCat"/>
      </c:valAx>
      <c:valAx>
        <c:axId val="3612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 Response (ppb/cps)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28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125467923066994"/>
          <c:y val="5.0925925925925923E-2"/>
          <c:w val="0.46883998106794028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46 - Palladium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Response_Functions!$C$102:$C$107</c:f>
                <c:numCache>
                  <c:formatCode>General</c:formatCode>
                  <c:ptCount val="6"/>
                  <c:pt idx="0">
                    <c:v>8.8563306600036008E-6</c:v>
                  </c:pt>
                  <c:pt idx="1">
                    <c:v>4.8807195589713902E-7</c:v>
                  </c:pt>
                  <c:pt idx="2">
                    <c:v>1.7933008921358501E-7</c:v>
                  </c:pt>
                  <c:pt idx="3">
                    <c:v>1.71146069186698E-7</c:v>
                  </c:pt>
                  <c:pt idx="4">
                    <c:v>1.40411815306763E-7</c:v>
                  </c:pt>
                  <c:pt idx="5">
                    <c:v>1.32046027675256E-7</c:v>
                  </c:pt>
                </c:numCache>
              </c:numRef>
            </c:plus>
            <c:minus>
              <c:numRef>
                <c:f>Response_Functions!$C$102:$C$107</c:f>
                <c:numCache>
                  <c:formatCode>General</c:formatCode>
                  <c:ptCount val="6"/>
                  <c:pt idx="0">
                    <c:v>8.8563306600036008E-6</c:v>
                  </c:pt>
                  <c:pt idx="1">
                    <c:v>4.8807195589713902E-7</c:v>
                  </c:pt>
                  <c:pt idx="2">
                    <c:v>1.7933008921358501E-7</c:v>
                  </c:pt>
                  <c:pt idx="3">
                    <c:v>1.71146069186698E-7</c:v>
                  </c:pt>
                  <c:pt idx="4">
                    <c:v>1.40411815306763E-7</c:v>
                  </c:pt>
                  <c:pt idx="5">
                    <c:v>1.32046027675256E-7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Response_Functions!$A$102:$A$107</c:f>
              <c:numCache>
                <c:formatCode>General</c:formatCode>
                <c:ptCount val="6"/>
                <c:pt idx="0">
                  <c:v>102</c:v>
                </c:pt>
                <c:pt idx="1">
                  <c:v>104</c:v>
                </c:pt>
                <c:pt idx="2">
                  <c:v>105</c:v>
                </c:pt>
                <c:pt idx="3">
                  <c:v>106</c:v>
                </c:pt>
                <c:pt idx="4">
                  <c:v>108</c:v>
                </c:pt>
                <c:pt idx="5">
                  <c:v>110</c:v>
                </c:pt>
              </c:numCache>
            </c:numRef>
          </c:xVal>
          <c:yVal>
            <c:numRef>
              <c:f>Response_Functions!$B$102:$B$107</c:f>
              <c:numCache>
                <c:formatCode>0.0000000E+00</c:formatCode>
                <c:ptCount val="6"/>
                <c:pt idx="0">
                  <c:v>2.8897800000000006E-5</c:v>
                </c:pt>
                <c:pt idx="1">
                  <c:v>2.52866753485642E-5</c:v>
                </c:pt>
                <c:pt idx="2">
                  <c:v>2.30601870116374E-5</c:v>
                </c:pt>
                <c:pt idx="3">
                  <c:v>2.24252617588446E-5</c:v>
                </c:pt>
                <c:pt idx="4">
                  <c:v>1.86085023730408E-5</c:v>
                </c:pt>
                <c:pt idx="5">
                  <c:v>1.6548295591259099E-5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0304"/>
        <c:axId val="353070864"/>
      </c:scatterChart>
      <c:valAx>
        <c:axId val="353070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0864"/>
        <c:crosses val="autoZero"/>
        <c:crossBetween val="midCat"/>
      </c:valAx>
      <c:valAx>
        <c:axId val="353070864"/>
        <c:scaling>
          <c:orientation val="minMax"/>
          <c:max val="3.9000000000000013E-5"/>
          <c:min val="1.4000000000000005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0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804955626725342"/>
          <c:y val="0.38474466055511969"/>
          <c:w val="0.21171037685035832"/>
          <c:h val="7.08863154357354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5462097550306211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40 - Zirconium MS - D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Response_Functions!$C$38:$C$42</c:f>
                <c:numCache>
                  <c:formatCode>General</c:formatCode>
                  <c:ptCount val="5"/>
                  <c:pt idx="0">
                    <c:v>2.01873586493593E-7</c:v>
                  </c:pt>
                  <c:pt idx="1">
                    <c:v>2.29307934337728E-7</c:v>
                  </c:pt>
                  <c:pt idx="2">
                    <c:v>2.5933364361702302E-7</c:v>
                  </c:pt>
                  <c:pt idx="3">
                    <c:v>2.2418272092667499E-7</c:v>
                  </c:pt>
                  <c:pt idx="4">
                    <c:v>9.78780912162962E-7</c:v>
                  </c:pt>
                </c:numCache>
              </c:numRef>
            </c:plus>
            <c:minus>
              <c:numRef>
                <c:f>Response_Functions!$C$38:$C$42</c:f>
                <c:numCache>
                  <c:formatCode>General</c:formatCode>
                  <c:ptCount val="5"/>
                  <c:pt idx="0">
                    <c:v>2.01873586493593E-7</c:v>
                  </c:pt>
                  <c:pt idx="1">
                    <c:v>2.29307934337728E-7</c:v>
                  </c:pt>
                  <c:pt idx="2">
                    <c:v>2.5933364361702302E-7</c:v>
                  </c:pt>
                  <c:pt idx="3">
                    <c:v>2.2418272092667499E-7</c:v>
                  </c:pt>
                  <c:pt idx="4">
                    <c:v>9.78780912162962E-7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Response_Functions!$A$38:$A$42</c:f>
              <c:numCache>
                <c:formatCode>General</c:formatCode>
                <c:ptCount val="5"/>
                <c:pt idx="0">
                  <c:v>90</c:v>
                </c:pt>
                <c:pt idx="1">
                  <c:v>91</c:v>
                </c:pt>
                <c:pt idx="2">
                  <c:v>92</c:v>
                </c:pt>
                <c:pt idx="3">
                  <c:v>94</c:v>
                </c:pt>
                <c:pt idx="4">
                  <c:v>96</c:v>
                </c:pt>
              </c:numCache>
            </c:numRef>
          </c:xVal>
          <c:yVal>
            <c:numRef>
              <c:f>Response_Functions!$B$38:$B$42</c:f>
              <c:numCache>
                <c:formatCode>0.00E+00</c:formatCode>
                <c:ptCount val="5"/>
                <c:pt idx="0">
                  <c:v>2.6601148033347999E-5</c:v>
                </c:pt>
                <c:pt idx="1">
                  <c:v>2.6209666391883101E-5</c:v>
                </c:pt>
                <c:pt idx="2">
                  <c:v>2.54449820734894E-5</c:v>
                </c:pt>
                <c:pt idx="3">
                  <c:v>2.46393993102373E-5</c:v>
                </c:pt>
                <c:pt idx="4">
                  <c:v>2.3136014301610999E-5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073104"/>
        <c:axId val="353127104"/>
      </c:scatterChart>
      <c:valAx>
        <c:axId val="3530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27104"/>
        <c:crosses val="autoZero"/>
        <c:crossBetween val="midCat"/>
        <c:majorUnit val="1"/>
      </c:valAx>
      <c:valAx>
        <c:axId val="353127104"/>
        <c:scaling>
          <c:orientation val="minMax"/>
          <c:min val="2.0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82022593402151"/>
          <c:y val="0.32735808023996998"/>
          <c:w val="0.2801797740659786"/>
          <c:h val="0.19636592698639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511862423447069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42 - Molybdenum MS - 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Response_Functions!$G$55:$G$61</c:f>
                <c:numCache>
                  <c:formatCode>General</c:formatCode>
                  <c:ptCount val="7"/>
                  <c:pt idx="0">
                    <c:v>4.3600730292378398E-7</c:v>
                  </c:pt>
                  <c:pt idx="1">
                    <c:v>5.9485329031723997E-7</c:v>
                  </c:pt>
                  <c:pt idx="2">
                    <c:v>2.32235057395795E-7</c:v>
                  </c:pt>
                  <c:pt idx="3">
                    <c:v>2.3053579676878301E-7</c:v>
                  </c:pt>
                  <c:pt idx="4">
                    <c:v>2.3003067082004399E-7</c:v>
                  </c:pt>
                  <c:pt idx="5">
                    <c:v>1.9946806969430299E-7</c:v>
                  </c:pt>
                  <c:pt idx="6">
                    <c:v>2.0298222368682E-7</c:v>
                  </c:pt>
                </c:numCache>
              </c:numRef>
            </c:plus>
            <c:minus>
              <c:numRef>
                <c:f>Response_Functions!$G$55:$G$61</c:f>
                <c:numCache>
                  <c:formatCode>General</c:formatCode>
                  <c:ptCount val="7"/>
                  <c:pt idx="0">
                    <c:v>4.3600730292378398E-7</c:v>
                  </c:pt>
                  <c:pt idx="1">
                    <c:v>5.9485329031723997E-7</c:v>
                  </c:pt>
                  <c:pt idx="2">
                    <c:v>2.32235057395795E-7</c:v>
                  </c:pt>
                  <c:pt idx="3">
                    <c:v>2.3053579676878301E-7</c:v>
                  </c:pt>
                  <c:pt idx="4">
                    <c:v>2.3003067082004399E-7</c:v>
                  </c:pt>
                  <c:pt idx="5">
                    <c:v>1.9946806969430299E-7</c:v>
                  </c:pt>
                  <c:pt idx="6">
                    <c:v>2.0298222368682E-7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Response_Functions!$F$55:$F$61</c:f>
              <c:numCache>
                <c:formatCode>0.00E+00</c:formatCode>
                <c:ptCount val="7"/>
                <c:pt idx="0">
                  <c:v>2.9923949061548501E-5</c:v>
                </c:pt>
                <c:pt idx="1">
                  <c:v>2.85448690824345E-5</c:v>
                </c:pt>
                <c:pt idx="2">
                  <c:v>2.76727644359588E-5</c:v>
                </c:pt>
                <c:pt idx="3">
                  <c:v>2.6725894608654801E-5</c:v>
                </c:pt>
                <c:pt idx="4">
                  <c:v>2.5732352547278199E-5</c:v>
                </c:pt>
                <c:pt idx="5">
                  <c:v>2.5175527541004301E-5</c:v>
                </c:pt>
                <c:pt idx="6">
                  <c:v>2.32427283186982E-5</c:v>
                </c:pt>
              </c:numCache>
            </c:numRef>
          </c:yVal>
          <c:smooth val="0"/>
        </c:ser>
        <c:ser>
          <c:idx val="1"/>
          <c:order val="1"/>
          <c:tx>
            <c:v>42 - Molybdenum MSCS - 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Response_Functions!$C$55:$C$61</c:f>
                <c:numCache>
                  <c:formatCode>General</c:formatCode>
                  <c:ptCount val="7"/>
                  <c:pt idx="0">
                    <c:v>2.75059013800822E-7</c:v>
                  </c:pt>
                  <c:pt idx="1">
                    <c:v>2.74445551626227E-7</c:v>
                  </c:pt>
                  <c:pt idx="2">
                    <c:v>2.5129793631301701E-7</c:v>
                  </c:pt>
                  <c:pt idx="3">
                    <c:v>2.36719014816298E-7</c:v>
                  </c:pt>
                  <c:pt idx="4">
                    <c:v>2.4442977038753201E-7</c:v>
                  </c:pt>
                  <c:pt idx="5">
                    <c:v>2.0190240766911399E-7</c:v>
                  </c:pt>
                  <c:pt idx="6">
                    <c:v>2.1614437912049899E-7</c:v>
                  </c:pt>
                </c:numCache>
              </c:numRef>
            </c:plus>
            <c:minus>
              <c:numRef>
                <c:f>Response_Functions!$C$55:$C$61</c:f>
                <c:numCache>
                  <c:formatCode>General</c:formatCode>
                  <c:ptCount val="7"/>
                  <c:pt idx="0">
                    <c:v>2.75059013800822E-7</c:v>
                  </c:pt>
                  <c:pt idx="1">
                    <c:v>2.74445551626227E-7</c:v>
                  </c:pt>
                  <c:pt idx="2">
                    <c:v>2.5129793631301701E-7</c:v>
                  </c:pt>
                  <c:pt idx="3">
                    <c:v>2.36719014816298E-7</c:v>
                  </c:pt>
                  <c:pt idx="4">
                    <c:v>2.4442977038753201E-7</c:v>
                  </c:pt>
                  <c:pt idx="5">
                    <c:v>2.0190240766911399E-7</c:v>
                  </c:pt>
                  <c:pt idx="6">
                    <c:v>2.1614437912049899E-7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Response_Functions!$B$55:$B$61</c:f>
              <c:numCache>
                <c:formatCode>0.00E+00</c:formatCode>
                <c:ptCount val="7"/>
                <c:pt idx="0">
                  <c:v>3.4145608509708902E-5</c:v>
                </c:pt>
                <c:pt idx="1">
                  <c:v>3.1786031697105102E-5</c:v>
                </c:pt>
                <c:pt idx="2">
                  <c:v>3.2000659800120198E-5</c:v>
                </c:pt>
                <c:pt idx="3">
                  <c:v>3.0575179909432002E-5</c:v>
                </c:pt>
                <c:pt idx="4">
                  <c:v>2.9153776859578101E-5</c:v>
                </c:pt>
                <c:pt idx="5">
                  <c:v>2.75485635608373E-5</c:v>
                </c:pt>
                <c:pt idx="6">
                  <c:v>2.6422243967995802E-5</c:v>
                </c:pt>
              </c:numCache>
            </c:numRef>
          </c:yVal>
          <c:smooth val="0"/>
        </c:ser>
        <c:ser>
          <c:idx val="2"/>
          <c:order val="2"/>
          <c:tx>
            <c:v>42 - Molybdenum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Response_Functions!$E$55:$E$61</c:f>
                <c:numCache>
                  <c:formatCode>General</c:formatCode>
                  <c:ptCount val="7"/>
                  <c:pt idx="0">
                    <c:v>2.14976755298077E-7</c:v>
                  </c:pt>
                  <c:pt idx="1">
                    <c:v>2.2241670464014699E-7</c:v>
                  </c:pt>
                  <c:pt idx="2">
                    <c:v>1.91371516352015E-7</c:v>
                  </c:pt>
                  <c:pt idx="3">
                    <c:v>1.8594487210376101E-7</c:v>
                  </c:pt>
                  <c:pt idx="4">
                    <c:v>1.9395599227802299E-7</c:v>
                  </c:pt>
                  <c:pt idx="5">
                    <c:v>1.62190528828943E-7</c:v>
                  </c:pt>
                  <c:pt idx="6">
                    <c:v>1.6466691098078E-7</c:v>
                  </c:pt>
                </c:numCache>
              </c:numRef>
            </c:plus>
            <c:minus>
              <c:numRef>
                <c:f>Response_Functions!$E$55:$E$61</c:f>
                <c:numCache>
                  <c:formatCode>General</c:formatCode>
                  <c:ptCount val="7"/>
                  <c:pt idx="0">
                    <c:v>2.14976755298077E-7</c:v>
                  </c:pt>
                  <c:pt idx="1">
                    <c:v>2.2241670464014699E-7</c:v>
                  </c:pt>
                  <c:pt idx="2">
                    <c:v>1.91371516352015E-7</c:v>
                  </c:pt>
                  <c:pt idx="3">
                    <c:v>1.8594487210376101E-7</c:v>
                  </c:pt>
                  <c:pt idx="4">
                    <c:v>1.9395599227802299E-7</c:v>
                  </c:pt>
                  <c:pt idx="5">
                    <c:v>1.62190528828943E-7</c:v>
                  </c:pt>
                  <c:pt idx="6">
                    <c:v>1.6466691098078E-7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Response_Functions!$A$55:$A$61</c:f>
              <c:numCache>
                <c:formatCode>General</c:formatCode>
                <c:ptCount val="7"/>
                <c:pt idx="0">
                  <c:v>92</c:v>
                </c:pt>
                <c:pt idx="1">
                  <c:v>94</c:v>
                </c:pt>
                <c:pt idx="2">
                  <c:v>95</c:v>
                </c:pt>
                <c:pt idx="3">
                  <c:v>96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</c:numCache>
            </c:numRef>
          </c:xVal>
          <c:yVal>
            <c:numRef>
              <c:f>Response_Functions!$D$55:$D$61</c:f>
              <c:numCache>
                <c:formatCode>0.00E+00</c:formatCode>
                <c:ptCount val="7"/>
                <c:pt idx="0">
                  <c:v>2.75578802550145E-5</c:v>
                </c:pt>
                <c:pt idx="1">
                  <c:v>2.6657347549654199E-5</c:v>
                </c:pt>
                <c:pt idx="2">
                  <c:v>2.5154046099474298E-5</c:v>
                </c:pt>
                <c:pt idx="3">
                  <c:v>2.4661013957771401E-5</c:v>
                </c:pt>
                <c:pt idx="4">
                  <c:v>2.3948173065528802E-5</c:v>
                </c:pt>
                <c:pt idx="5">
                  <c:v>2.2506847155815198E-5</c:v>
                </c:pt>
                <c:pt idx="6">
                  <c:v>2.0893105431924501E-5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130464"/>
        <c:axId val="357002336"/>
      </c:scatterChart>
      <c:valAx>
        <c:axId val="35313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002336"/>
        <c:crosses val="autoZero"/>
        <c:crossBetween val="midCat"/>
      </c:valAx>
      <c:valAx>
        <c:axId val="357002336"/>
        <c:scaling>
          <c:orientation val="minMax"/>
          <c:min val="1.9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130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702606967987359"/>
          <c:y val="0.36085834725204802"/>
          <c:w val="0.28297375536287706"/>
          <c:h val="0.204948731099902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999382914580653"/>
          <c:y val="4.9886621315192746E-2"/>
          <c:w val="0.41189022854441465"/>
          <c:h val="0.70369262963751156"/>
        </c:manualLayout>
      </c:layout>
      <c:scatterChart>
        <c:scatterStyle val="lineMarker"/>
        <c:varyColors val="0"/>
        <c:ser>
          <c:idx val="0"/>
          <c:order val="0"/>
          <c:tx>
            <c:v>38 - Strontium MSCS - M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Response_Functions!$C$2:$C$4</c:f>
                <c:numCache>
                  <c:formatCode>General</c:formatCode>
                  <c:ptCount val="3"/>
                  <c:pt idx="0">
                    <c:v>1.85713424399254E-7</c:v>
                  </c:pt>
                  <c:pt idx="1">
                    <c:v>2.1073083569353199E-7</c:v>
                  </c:pt>
                  <c:pt idx="2">
                    <c:v>1.71367499050015E-7</c:v>
                  </c:pt>
                </c:numCache>
              </c:numRef>
            </c:plus>
            <c:minus>
              <c:numRef>
                <c:f>Response_Functions!$C$2:$C$4</c:f>
                <c:numCache>
                  <c:formatCode>General</c:formatCode>
                  <c:ptCount val="3"/>
                  <c:pt idx="0">
                    <c:v>1.85713424399254E-7</c:v>
                  </c:pt>
                  <c:pt idx="1">
                    <c:v>2.1073083569353199E-7</c:v>
                  </c:pt>
                  <c:pt idx="2">
                    <c:v>1.71367499050015E-7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Response_Functions!$B$2:$B$4</c:f>
              <c:numCache>
                <c:formatCode>0.00000E+00</c:formatCode>
                <c:ptCount val="3"/>
                <c:pt idx="0" formatCode="0.00E+00">
                  <c:v>2.30771691920757E-5</c:v>
                </c:pt>
                <c:pt idx="1">
                  <c:v>2.4401241361238601E-5</c:v>
                </c:pt>
                <c:pt idx="2" formatCode="0.00E+00">
                  <c:v>2.51012620741089E-5</c:v>
                </c:pt>
              </c:numCache>
            </c:numRef>
          </c:yVal>
          <c:smooth val="0"/>
        </c:ser>
        <c:ser>
          <c:idx val="1"/>
          <c:order val="1"/>
          <c:tx>
            <c:v>38 - Strontium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Response_Functions!$E$2:$E$4</c:f>
                <c:numCache>
                  <c:formatCode>General</c:formatCode>
                  <c:ptCount val="3"/>
                  <c:pt idx="0">
                    <c:v>1.4894960260708501E-7</c:v>
                  </c:pt>
                  <c:pt idx="1">
                    <c:v>1.62156985948823E-7</c:v>
                  </c:pt>
                  <c:pt idx="2">
                    <c:v>1.3498216787682501E-7</c:v>
                  </c:pt>
                </c:numCache>
              </c:numRef>
            </c:plus>
            <c:minus>
              <c:numRef>
                <c:f>Response_Functions!$E$2:$E$4</c:f>
                <c:numCache>
                  <c:formatCode>General</c:formatCode>
                  <c:ptCount val="3"/>
                  <c:pt idx="0">
                    <c:v>1.4894960260708501E-7</c:v>
                  </c:pt>
                  <c:pt idx="1">
                    <c:v>1.62156985948823E-7</c:v>
                  </c:pt>
                  <c:pt idx="2">
                    <c:v>1.3498216787682501E-7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Response_Functions!$D$2:$D$4</c:f>
              <c:numCache>
                <c:formatCode>0.00E+00</c:formatCode>
                <c:ptCount val="3"/>
                <c:pt idx="0">
                  <c:v>1.9050156938793099E-5</c:v>
                </c:pt>
                <c:pt idx="1">
                  <c:v>1.9586583252777999E-5</c:v>
                </c:pt>
                <c:pt idx="2">
                  <c:v>1.9888945333941101E-5</c:v>
                </c:pt>
              </c:numCache>
            </c:numRef>
          </c:yVal>
          <c:smooth val="0"/>
        </c:ser>
        <c:ser>
          <c:idx val="2"/>
          <c:order val="2"/>
          <c:tx>
            <c:v>38 - Strontium Custom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Response_Functions!$G$2:$G$4</c:f>
                <c:numCache>
                  <c:formatCode>General</c:formatCode>
                  <c:ptCount val="3"/>
                  <c:pt idx="0">
                    <c:v>2.00943512757675E-7</c:v>
                  </c:pt>
                  <c:pt idx="1">
                    <c:v>5.5926220231227001E-7</c:v>
                  </c:pt>
                  <c:pt idx="2">
                    <c:v>1.7421128072245601E-7</c:v>
                  </c:pt>
                </c:numCache>
              </c:numRef>
            </c:plus>
            <c:minus>
              <c:numRef>
                <c:f>Response_Functions!$G$2:$G$4</c:f>
                <c:numCache>
                  <c:formatCode>General</c:formatCode>
                  <c:ptCount val="3"/>
                  <c:pt idx="0">
                    <c:v>2.00943512757675E-7</c:v>
                  </c:pt>
                  <c:pt idx="1">
                    <c:v>5.5926220231227001E-7</c:v>
                  </c:pt>
                  <c:pt idx="2">
                    <c:v>1.7421128072245601E-7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Response_Functions!$F$2:$F$4</c:f>
              <c:numCache>
                <c:formatCode>0.00E+00</c:formatCode>
                <c:ptCount val="3"/>
                <c:pt idx="0">
                  <c:v>2.16977210172306E-5</c:v>
                </c:pt>
                <c:pt idx="1">
                  <c:v>2.1900296547855699E-5</c:v>
                </c:pt>
                <c:pt idx="2">
                  <c:v>2.20275051283778E-5</c:v>
                </c:pt>
              </c:numCache>
            </c:numRef>
          </c:yVal>
          <c:smooth val="0"/>
        </c:ser>
        <c:ser>
          <c:idx val="3"/>
          <c:order val="3"/>
          <c:tx>
            <c:v>38 - Strontium Custom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Response_Functions!$I$2:$I$4</c:f>
                <c:numCache>
                  <c:formatCode>General</c:formatCode>
                  <c:ptCount val="3"/>
                  <c:pt idx="0">
                    <c:v>1.7265767922442499E-7</c:v>
                  </c:pt>
                  <c:pt idx="1">
                    <c:v>5.2206027500177596E-7</c:v>
                  </c:pt>
                  <c:pt idx="2">
                    <c:v>1.55772158730659E-7</c:v>
                  </c:pt>
                </c:numCache>
              </c:numRef>
            </c:plus>
            <c:minus>
              <c:numRef>
                <c:f>Response_Functions!$I$2:$I$4</c:f>
                <c:numCache>
                  <c:formatCode>General</c:formatCode>
                  <c:ptCount val="3"/>
                  <c:pt idx="0">
                    <c:v>1.7265767922442499E-7</c:v>
                  </c:pt>
                  <c:pt idx="1">
                    <c:v>5.2206027500177596E-7</c:v>
                  </c:pt>
                  <c:pt idx="2">
                    <c:v>1.55772158730659E-7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Response_Functions!$A$2:$A$4</c:f>
              <c:numCache>
                <c:formatCode>General</c:formatCode>
                <c:ptCount val="3"/>
                <c:pt idx="0">
                  <c:v>86</c:v>
                </c:pt>
                <c:pt idx="1">
                  <c:v>87</c:v>
                </c:pt>
                <c:pt idx="2">
                  <c:v>88</c:v>
                </c:pt>
              </c:numCache>
            </c:numRef>
          </c:xVal>
          <c:yVal>
            <c:numRef>
              <c:f>Response_Functions!$H$2:$H$4</c:f>
              <c:numCache>
                <c:formatCode>0.00E+00</c:formatCode>
                <c:ptCount val="3"/>
                <c:pt idx="0">
                  <c:v>1.90086619270091E-5</c:v>
                </c:pt>
                <c:pt idx="1">
                  <c:v>1.9599986671767401E-5</c:v>
                </c:pt>
                <c:pt idx="2">
                  <c:v>1.97470904434267E-5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08352"/>
        <c:axId val="357108912"/>
      </c:scatterChart>
      <c:valAx>
        <c:axId val="357108352"/>
        <c:scaling>
          <c:orientation val="minMax"/>
          <c:max val="89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</a:t>
                </a:r>
                <a:r>
                  <a:rPr lang="en-US" baseline="0"/>
                  <a:t> Mass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912"/>
        <c:crosses val="autoZero"/>
        <c:crossBetween val="midCat"/>
        <c:majorUnit val="1"/>
      </c:valAx>
      <c:valAx>
        <c:axId val="357108912"/>
        <c:scaling>
          <c:orientation val="minMax"/>
          <c:max val="2.550000000000001E-5"/>
          <c:min val="1.9000000000000008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75795139265622"/>
          <c:y val="0.27437534593890045"/>
          <c:w val="0.29784255108579061"/>
          <c:h val="0.32470514441465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44225721784777"/>
          <c:y val="5.0925925925925923E-2"/>
          <c:w val="0.46489916885389326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48 - Cadmium MSCS - M 1 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Response_Functions!$C$126:$C$133</c:f>
                <c:numCache>
                  <c:formatCode>General</c:formatCode>
                  <c:ptCount val="8"/>
                  <c:pt idx="0">
                    <c:v>4.7455440056494397E-7</c:v>
                  </c:pt>
                  <c:pt idx="1">
                    <c:v>4.2029220863220398E-7</c:v>
                  </c:pt>
                  <c:pt idx="2">
                    <c:v>1.6956425707386199E-7</c:v>
                  </c:pt>
                  <c:pt idx="3">
                    <c:v>1.55699214403065E-7</c:v>
                  </c:pt>
                  <c:pt idx="4">
                    <c:v>1.4131991115144101E-7</c:v>
                  </c:pt>
                  <c:pt idx="5">
                    <c:v>1.9073311768848499E-7</c:v>
                  </c:pt>
                  <c:pt idx="6">
                    <c:v>1.34654790009284E-7</c:v>
                  </c:pt>
                  <c:pt idx="7">
                    <c:v>1.2861680447469399E-7</c:v>
                  </c:pt>
                </c:numCache>
              </c:numRef>
            </c:plus>
            <c:minus>
              <c:numRef>
                <c:f>Response_Functions!$C$126:$C$133</c:f>
                <c:numCache>
                  <c:formatCode>General</c:formatCode>
                  <c:ptCount val="8"/>
                  <c:pt idx="0">
                    <c:v>4.7455440056494397E-7</c:v>
                  </c:pt>
                  <c:pt idx="1">
                    <c:v>4.2029220863220398E-7</c:v>
                  </c:pt>
                  <c:pt idx="2">
                    <c:v>1.6956425707386199E-7</c:v>
                  </c:pt>
                  <c:pt idx="3">
                    <c:v>1.55699214403065E-7</c:v>
                  </c:pt>
                  <c:pt idx="4">
                    <c:v>1.4131991115144101E-7</c:v>
                  </c:pt>
                  <c:pt idx="5">
                    <c:v>1.9073311768848499E-7</c:v>
                  </c:pt>
                  <c:pt idx="6">
                    <c:v>1.34654790009284E-7</c:v>
                  </c:pt>
                  <c:pt idx="7">
                    <c:v>1.2861680447469399E-7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Response_Functions!$A$126:$A$133</c:f>
              <c:numCache>
                <c:formatCode>General</c:formatCode>
                <c:ptCount val="8"/>
                <c:pt idx="0">
                  <c:v>106</c:v>
                </c:pt>
                <c:pt idx="1">
                  <c:v>108</c:v>
                </c:pt>
                <c:pt idx="2">
                  <c:v>110</c:v>
                </c:pt>
                <c:pt idx="3">
                  <c:v>111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116</c:v>
                </c:pt>
              </c:numCache>
            </c:numRef>
          </c:xVal>
          <c:yVal>
            <c:numRef>
              <c:f>Response_Functions!$B$126:$B$133</c:f>
              <c:numCache>
                <c:formatCode>0.00E+00</c:formatCode>
                <c:ptCount val="8"/>
                <c:pt idx="0">
                  <c:v>2.9364614912120699E-5</c:v>
                </c:pt>
                <c:pt idx="1">
                  <c:v>2.4514877939529699E-5</c:v>
                </c:pt>
                <c:pt idx="2">
                  <c:v>2.19579111617912E-5</c:v>
                </c:pt>
                <c:pt idx="3">
                  <c:v>2.0433064089770799E-5</c:v>
                </c:pt>
                <c:pt idx="4">
                  <c:v>1.9762399219418501E-5</c:v>
                </c:pt>
                <c:pt idx="5">
                  <c:v>1.9000061558614002E-5</c:v>
                </c:pt>
                <c:pt idx="6">
                  <c:v>1.7672200000000003E-5</c:v>
                </c:pt>
                <c:pt idx="7">
                  <c:v>1.6289362274659201E-5</c:v>
                </c:pt>
              </c:numCache>
            </c:numRef>
          </c:yVal>
          <c:smooth val="0"/>
        </c:ser>
        <c:ser>
          <c:idx val="1"/>
          <c:order val="1"/>
          <c:tx>
            <c:v>48 - Cadmium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Response_Functions!$E$126:$E$133</c:f>
                <c:numCache>
                  <c:formatCode>General</c:formatCode>
                  <c:ptCount val="8"/>
                  <c:pt idx="0">
                    <c:v>3.7536241322305402E-7</c:v>
                  </c:pt>
                  <c:pt idx="1">
                    <c:v>3.2407866959669698E-7</c:v>
                  </c:pt>
                  <c:pt idx="2">
                    <c:v>1.40958325703395E-7</c:v>
                  </c:pt>
                  <c:pt idx="3">
                    <c:v>1.3371638470618301E-7</c:v>
                  </c:pt>
                  <c:pt idx="4">
                    <c:v>1.22086449829091E-7</c:v>
                  </c:pt>
                  <c:pt idx="5">
                    <c:v>1.6550171699860999E-7</c:v>
                  </c:pt>
                  <c:pt idx="6">
                    <c:v>1.17917171641384E-7</c:v>
                  </c:pt>
                  <c:pt idx="7">
                    <c:v>1.11062056812467E-7</c:v>
                  </c:pt>
                </c:numCache>
              </c:numRef>
            </c:plus>
            <c:minus>
              <c:numRef>
                <c:f>Response_Functions!$E$126:$E$133</c:f>
                <c:numCache>
                  <c:formatCode>General</c:formatCode>
                  <c:ptCount val="8"/>
                  <c:pt idx="0">
                    <c:v>3.7536241322305402E-7</c:v>
                  </c:pt>
                  <c:pt idx="1">
                    <c:v>3.2407866959669698E-7</c:v>
                  </c:pt>
                  <c:pt idx="2">
                    <c:v>1.40958325703395E-7</c:v>
                  </c:pt>
                  <c:pt idx="3">
                    <c:v>1.3371638470618301E-7</c:v>
                  </c:pt>
                  <c:pt idx="4">
                    <c:v>1.22086449829091E-7</c:v>
                  </c:pt>
                  <c:pt idx="5">
                    <c:v>1.6550171699860999E-7</c:v>
                  </c:pt>
                  <c:pt idx="6">
                    <c:v>1.17917171641384E-7</c:v>
                  </c:pt>
                  <c:pt idx="7">
                    <c:v>1.11062056812467E-7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Response_Functions!$A$126:$A$133</c:f>
              <c:numCache>
                <c:formatCode>General</c:formatCode>
                <c:ptCount val="8"/>
                <c:pt idx="0">
                  <c:v>106</c:v>
                </c:pt>
                <c:pt idx="1">
                  <c:v>108</c:v>
                </c:pt>
                <c:pt idx="2">
                  <c:v>110</c:v>
                </c:pt>
                <c:pt idx="3">
                  <c:v>111</c:v>
                </c:pt>
                <c:pt idx="4">
                  <c:v>112</c:v>
                </c:pt>
                <c:pt idx="5">
                  <c:v>113</c:v>
                </c:pt>
                <c:pt idx="6">
                  <c:v>114</c:v>
                </c:pt>
                <c:pt idx="7">
                  <c:v>116</c:v>
                </c:pt>
              </c:numCache>
            </c:numRef>
          </c:xVal>
          <c:yVal>
            <c:numRef>
              <c:f>Response_Functions!$D$126:$D$133</c:f>
              <c:numCache>
                <c:formatCode>0.00E+00</c:formatCode>
                <c:ptCount val="8"/>
                <c:pt idx="0">
                  <c:v>2.4865070062054201E-5</c:v>
                </c:pt>
                <c:pt idx="1">
                  <c:v>2.04114119027996E-5</c:v>
                </c:pt>
                <c:pt idx="2">
                  <c:v>1.8628300929571601E-5</c:v>
                </c:pt>
                <c:pt idx="3">
                  <c:v>1.78263493568556E-5</c:v>
                </c:pt>
                <c:pt idx="4">
                  <c:v>1.7228268223316399E-5</c:v>
                </c:pt>
                <c:pt idx="5">
                  <c:v>1.6499991618363399E-5</c:v>
                </c:pt>
                <c:pt idx="6">
                  <c:v>1.5420539999999995E-5</c:v>
                </c:pt>
                <c:pt idx="7">
                  <c:v>1.4323121448267401E-5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204608"/>
        <c:axId val="357205168"/>
      </c:scatterChart>
      <c:valAx>
        <c:axId val="357204608"/>
        <c:scaling>
          <c:orientation val="minMax"/>
          <c:max val="117"/>
          <c:min val="10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Atomic Mass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5168"/>
        <c:crosses val="autoZero"/>
        <c:crossBetween val="midCat"/>
        <c:majorUnit val="2"/>
      </c:valAx>
      <c:valAx>
        <c:axId val="357205168"/>
        <c:scaling>
          <c:orientation val="minMax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20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50 - Tin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Response_Functions!$C$161:$C$170</c:f>
                <c:numCache>
                  <c:formatCode>General</c:formatCode>
                  <c:ptCount val="10"/>
                  <c:pt idx="0">
                    <c:v>1.5467786885695401E-7</c:v>
                  </c:pt>
                  <c:pt idx="1">
                    <c:v>1.7101588933781E-7</c:v>
                  </c:pt>
                  <c:pt idx="2">
                    <c:v>2.2097270705052401E-7</c:v>
                  </c:pt>
                  <c:pt idx="3">
                    <c:v>8.6584093794567299E-8</c:v>
                  </c:pt>
                  <c:pt idx="4">
                    <c:v>9.1974777831238999E-8</c:v>
                  </c:pt>
                  <c:pt idx="5">
                    <c:v>8.5162225816177602E-8</c:v>
                  </c:pt>
                  <c:pt idx="6">
                    <c:v>9.3384820962855102E-8</c:v>
                  </c:pt>
                  <c:pt idx="7">
                    <c:v>8.6931983599519403E-8</c:v>
                  </c:pt>
                  <c:pt idx="8">
                    <c:v>1.05375976087826E-7</c:v>
                  </c:pt>
                  <c:pt idx="9">
                    <c:v>1.0595530059326801E-7</c:v>
                  </c:pt>
                </c:numCache>
              </c:numRef>
            </c:plus>
            <c:minus>
              <c:numRef>
                <c:f>Response_Functions!$C$161:$C$170</c:f>
                <c:numCache>
                  <c:formatCode>General</c:formatCode>
                  <c:ptCount val="10"/>
                  <c:pt idx="0">
                    <c:v>1.5467786885695401E-7</c:v>
                  </c:pt>
                  <c:pt idx="1">
                    <c:v>1.7101588933781E-7</c:v>
                  </c:pt>
                  <c:pt idx="2">
                    <c:v>2.2097270705052401E-7</c:v>
                  </c:pt>
                  <c:pt idx="3">
                    <c:v>8.6584093794567299E-8</c:v>
                  </c:pt>
                  <c:pt idx="4">
                    <c:v>9.1974777831238999E-8</c:v>
                  </c:pt>
                  <c:pt idx="5">
                    <c:v>8.5162225816177602E-8</c:v>
                  </c:pt>
                  <c:pt idx="6">
                    <c:v>9.3384820962855102E-8</c:v>
                  </c:pt>
                  <c:pt idx="7">
                    <c:v>8.6931983599519403E-8</c:v>
                  </c:pt>
                  <c:pt idx="8">
                    <c:v>1.05375976087826E-7</c:v>
                  </c:pt>
                  <c:pt idx="9">
                    <c:v>1.0595530059326801E-7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Response_Functions!$A$161:$A$170</c:f>
              <c:numCache>
                <c:formatCode>General</c:formatCode>
                <c:ptCount val="10"/>
                <c:pt idx="0">
                  <c:v>112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122</c:v>
                </c:pt>
                <c:pt idx="9">
                  <c:v>124</c:v>
                </c:pt>
              </c:numCache>
            </c:numRef>
          </c:xVal>
          <c:yVal>
            <c:numRef>
              <c:f>Response_Functions!$B$161:$B$170</c:f>
              <c:numCache>
                <c:formatCode>0.00E+00</c:formatCode>
                <c:ptCount val="10"/>
                <c:pt idx="0">
                  <c:v>1.16227311091E-5</c:v>
                </c:pt>
                <c:pt idx="1">
                  <c:v>1.1310738257430999E-5</c:v>
                </c:pt>
                <c:pt idx="2">
                  <c:v>1.1189360660419701E-5</c:v>
                </c:pt>
                <c:pt idx="3">
                  <c:v>1.1368258695551201E-5</c:v>
                </c:pt>
                <c:pt idx="4">
                  <c:v>1.14014767029888E-5</c:v>
                </c:pt>
                <c:pt idx="5">
                  <c:v>1.1505973337568001E-5</c:v>
                </c:pt>
                <c:pt idx="6">
                  <c:v>1.17089469408196E-5</c:v>
                </c:pt>
                <c:pt idx="7" formatCode="0.00000E+00">
                  <c:v>1.170664E-5</c:v>
                </c:pt>
                <c:pt idx="8" formatCode="0.00000E+00">
                  <c:v>1.19E-5</c:v>
                </c:pt>
                <c:pt idx="9" formatCode="0.00000E+00">
                  <c:v>1.22E-5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7008"/>
        <c:axId val="357627568"/>
      </c:scatterChart>
      <c:valAx>
        <c:axId val="357627008"/>
        <c:scaling>
          <c:orientation val="minMax"/>
          <c:max val="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7568"/>
        <c:crosses val="autoZero"/>
        <c:crossBetween val="midCat"/>
        <c:majorUnit val="2"/>
      </c:valAx>
      <c:valAx>
        <c:axId val="3576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52 - Tellurium MS - C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Response_Functions!$C$177:$C$184</c:f>
                <c:numCache>
                  <c:formatCode>General</c:formatCode>
                  <c:ptCount val="8"/>
                  <c:pt idx="0">
                    <c:v>7.1500000000000003E-5</c:v>
                  </c:pt>
                  <c:pt idx="1">
                    <c:v>1.06603844859902E-5</c:v>
                  </c:pt>
                  <c:pt idx="2">
                    <c:v>6.6975317804950205E-5</c:v>
                  </c:pt>
                  <c:pt idx="3">
                    <c:v>6.1205710482010902E-6</c:v>
                  </c:pt>
                  <c:pt idx="4">
                    <c:v>8.8689423290456297E-7</c:v>
                  </c:pt>
                  <c:pt idx="5">
                    <c:v>6.6530923809204099E-7</c:v>
                  </c:pt>
                  <c:pt idx="6">
                    <c:v>5.8868382035838699E-7</c:v>
                  </c:pt>
                  <c:pt idx="7">
                    <c:v>5.6779523483232503E-7</c:v>
                  </c:pt>
                </c:numCache>
              </c:numRef>
            </c:plus>
            <c:minus>
              <c:numRef>
                <c:f>Response_Functions!$C$177:$C$184</c:f>
                <c:numCache>
                  <c:formatCode>General</c:formatCode>
                  <c:ptCount val="8"/>
                  <c:pt idx="0">
                    <c:v>7.1500000000000003E-5</c:v>
                  </c:pt>
                  <c:pt idx="1">
                    <c:v>1.06603844859902E-5</c:v>
                  </c:pt>
                  <c:pt idx="2">
                    <c:v>6.6975317804950205E-5</c:v>
                  </c:pt>
                  <c:pt idx="3">
                    <c:v>6.1205710482010902E-6</c:v>
                  </c:pt>
                  <c:pt idx="4">
                    <c:v>8.8689423290456297E-7</c:v>
                  </c:pt>
                  <c:pt idx="5">
                    <c:v>6.6530923809204099E-7</c:v>
                  </c:pt>
                  <c:pt idx="6">
                    <c:v>5.8868382035838699E-7</c:v>
                  </c:pt>
                  <c:pt idx="7">
                    <c:v>5.6779523483232503E-7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Response_Functions!$A$177:$A$184</c:f>
              <c:numCache>
                <c:formatCode>General</c:formatCode>
                <c:ptCount val="8"/>
                <c:pt idx="0">
                  <c:v>120</c:v>
                </c:pt>
                <c:pt idx="1">
                  <c:v>122</c:v>
                </c:pt>
                <c:pt idx="2">
                  <c:v>123</c:v>
                </c:pt>
                <c:pt idx="3">
                  <c:v>124</c:v>
                </c:pt>
                <c:pt idx="4">
                  <c:v>125</c:v>
                </c:pt>
                <c:pt idx="5">
                  <c:v>126</c:v>
                </c:pt>
                <c:pt idx="6">
                  <c:v>128</c:v>
                </c:pt>
                <c:pt idx="7">
                  <c:v>130</c:v>
                </c:pt>
              </c:numCache>
            </c:numRef>
          </c:xVal>
          <c:yVal>
            <c:numRef>
              <c:f>Response_Functions!$B$177:$B$184</c:f>
              <c:numCache>
                <c:formatCode>0.00E+00</c:formatCode>
                <c:ptCount val="8"/>
                <c:pt idx="0">
                  <c:v>7.9604000000000006E-5</c:v>
                </c:pt>
                <c:pt idx="1">
                  <c:v>8.6050707071115001E-5</c:v>
                </c:pt>
                <c:pt idx="2">
                  <c:v>7.3085777729755403E-5</c:v>
                </c:pt>
                <c:pt idx="3">
                  <c:v>8.1545681266245504E-5</c:v>
                </c:pt>
                <c:pt idx="4">
                  <c:v>7.1595025522080199E-5</c:v>
                </c:pt>
                <c:pt idx="5">
                  <c:v>7.0871670592326006E-5</c:v>
                </c:pt>
                <c:pt idx="6">
                  <c:v>6.9458171340445302E-5</c:v>
                </c:pt>
                <c:pt idx="7">
                  <c:v>6.8052225386236101E-5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629808"/>
        <c:axId val="357630368"/>
      </c:scatterChart>
      <c:valAx>
        <c:axId val="35762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30368"/>
        <c:crosses val="autoZero"/>
        <c:crossBetween val="midCat"/>
      </c:valAx>
      <c:valAx>
        <c:axId val="357630368"/>
        <c:scaling>
          <c:orientation val="minMax"/>
          <c:max val="9.0000000000000033E-5"/>
          <c:min val="6.0000000000000022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629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56 - Barium MSCS - M 1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Response_Functions!$C$206:$C$212</c:f>
                <c:numCache>
                  <c:formatCode>General</c:formatCode>
                  <c:ptCount val="7"/>
                  <c:pt idx="0">
                    <c:v>4.5733239137004701E-7</c:v>
                  </c:pt>
                  <c:pt idx="1">
                    <c:v>3.8117365387567598E-7</c:v>
                  </c:pt>
                  <c:pt idx="2">
                    <c:v>1.0999563830224099E-7</c:v>
                  </c:pt>
                  <c:pt idx="3">
                    <c:v>9.2093755279638599E-8</c:v>
                  </c:pt>
                  <c:pt idx="4">
                    <c:v>8.8191864767525296E-8</c:v>
                  </c:pt>
                  <c:pt idx="5">
                    <c:v>8.5233099141957198E-8</c:v>
                  </c:pt>
                  <c:pt idx="6">
                    <c:v>7.9052759046785904E-8</c:v>
                  </c:pt>
                </c:numCache>
              </c:numRef>
            </c:plus>
            <c:minus>
              <c:numRef>
                <c:f>Response_Functions!$C$206:$C$212</c:f>
                <c:numCache>
                  <c:formatCode>General</c:formatCode>
                  <c:ptCount val="7"/>
                  <c:pt idx="0">
                    <c:v>4.5733239137004701E-7</c:v>
                  </c:pt>
                  <c:pt idx="1">
                    <c:v>3.8117365387567598E-7</c:v>
                  </c:pt>
                  <c:pt idx="2">
                    <c:v>1.0999563830224099E-7</c:v>
                  </c:pt>
                  <c:pt idx="3">
                    <c:v>9.2093755279638599E-8</c:v>
                  </c:pt>
                  <c:pt idx="4">
                    <c:v>8.8191864767525296E-8</c:v>
                  </c:pt>
                  <c:pt idx="5">
                    <c:v>8.5233099141957198E-8</c:v>
                  </c:pt>
                  <c:pt idx="6">
                    <c:v>7.9052759046785904E-8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Response_Functions!$B$206:$B$212</c:f>
              <c:numCache>
                <c:formatCode>0.00E+00</c:formatCode>
                <c:ptCount val="7"/>
                <c:pt idx="0">
                  <c:v>1.3236188667095899E-5</c:v>
                </c:pt>
                <c:pt idx="1">
                  <c:v>1.1579114096192599E-5</c:v>
                </c:pt>
                <c:pt idx="2">
                  <c:v>1.17626967293937E-5</c:v>
                </c:pt>
                <c:pt idx="3">
                  <c:v>1.18925604569287E-5</c:v>
                </c:pt>
                <c:pt idx="4">
                  <c:v>1.1675719921668199E-5</c:v>
                </c:pt>
                <c:pt idx="5">
                  <c:v>1.1699828097681201E-5</c:v>
                </c:pt>
                <c:pt idx="6" formatCode="0.000000E+00">
                  <c:v>1.17338668895255E-5</c:v>
                </c:pt>
              </c:numCache>
            </c:numRef>
          </c:yVal>
          <c:smooth val="0"/>
        </c:ser>
        <c:ser>
          <c:idx val="1"/>
          <c:order val="1"/>
          <c:tx>
            <c:v>56 - Barium MSCS - 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Response_Functions!$E$206:$E$212</c:f>
                <c:numCache>
                  <c:formatCode>General</c:formatCode>
                  <c:ptCount val="7"/>
                  <c:pt idx="0">
                    <c:v>3.2723063120846001E-7</c:v>
                  </c:pt>
                  <c:pt idx="1">
                    <c:v>3.24571801308055E-7</c:v>
                  </c:pt>
                  <c:pt idx="2">
                    <c:v>9.06858805973131E-8</c:v>
                  </c:pt>
                  <c:pt idx="3">
                    <c:v>7.7427151637450302E-8</c:v>
                  </c:pt>
                  <c:pt idx="4">
                    <c:v>7.7263889821649002E-8</c:v>
                  </c:pt>
                  <c:pt idx="5">
                    <c:v>7.2449495687740101E-8</c:v>
                  </c:pt>
                  <c:pt idx="6">
                    <c:v>6.9065189734490605E-8</c:v>
                  </c:pt>
                </c:numCache>
              </c:numRef>
            </c:plus>
            <c:minus>
              <c:numRef>
                <c:f>Response_Functions!$E$206:$E$212</c:f>
                <c:numCache>
                  <c:formatCode>General</c:formatCode>
                  <c:ptCount val="7"/>
                  <c:pt idx="0">
                    <c:v>3.2723063120846001E-7</c:v>
                  </c:pt>
                  <c:pt idx="1">
                    <c:v>3.24571801308055E-7</c:v>
                  </c:pt>
                  <c:pt idx="2">
                    <c:v>9.06858805973131E-8</c:v>
                  </c:pt>
                  <c:pt idx="3">
                    <c:v>7.7427151637450302E-8</c:v>
                  </c:pt>
                  <c:pt idx="4">
                    <c:v>7.7263889821649002E-8</c:v>
                  </c:pt>
                  <c:pt idx="5">
                    <c:v>7.2449495687740101E-8</c:v>
                  </c:pt>
                  <c:pt idx="6">
                    <c:v>6.9065189734490605E-8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Response_Functions!$D$206:$D$212</c:f>
              <c:numCache>
                <c:formatCode>0.00E+00</c:formatCode>
                <c:ptCount val="7"/>
                <c:pt idx="0">
                  <c:v>1.05559363227877E-5</c:v>
                </c:pt>
                <c:pt idx="1">
                  <c:v>1.0386301637632E-5</c:v>
                </c:pt>
                <c:pt idx="2">
                  <c:v>1.0065499877974399E-5</c:v>
                </c:pt>
                <c:pt idx="3">
                  <c:v>1.01946110739637E-5</c:v>
                </c:pt>
                <c:pt idx="4">
                  <c:v>1.03634074654099E-5</c:v>
                </c:pt>
                <c:pt idx="5">
                  <c:v>1.00662874187069E-5</c:v>
                </c:pt>
                <c:pt idx="6" formatCode="0.000000E+00">
                  <c:v>1.0271442506792101E-5</c:v>
                </c:pt>
              </c:numCache>
            </c:numRef>
          </c:yVal>
          <c:smooth val="0"/>
        </c:ser>
        <c:ser>
          <c:idx val="2"/>
          <c:order val="2"/>
          <c:tx>
            <c:v>56 - Barium Custom 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Response_Functions!$G$206:$G$212</c:f>
                <c:numCache>
                  <c:formatCode>General</c:formatCode>
                  <c:ptCount val="7"/>
                  <c:pt idx="0">
                    <c:v>4.39726061371896E-7</c:v>
                  </c:pt>
                  <c:pt idx="1">
                    <c:v>4.8346375501881602E-7</c:v>
                  </c:pt>
                  <c:pt idx="2">
                    <c:v>1.2258354996997201E-7</c:v>
                  </c:pt>
                  <c:pt idx="3">
                    <c:v>1.03432435659845E-7</c:v>
                  </c:pt>
                  <c:pt idx="4">
                    <c:v>1.0129541177539E-7</c:v>
                  </c:pt>
                  <c:pt idx="5">
                    <c:v>9.7828027040692905E-8</c:v>
                  </c:pt>
                  <c:pt idx="6">
                    <c:v>9.0886985536842398E-8</c:v>
                  </c:pt>
                </c:numCache>
              </c:numRef>
            </c:plus>
            <c:minus>
              <c:numRef>
                <c:f>Response_Functions!$G$206:$G$212</c:f>
                <c:numCache>
                  <c:formatCode>General</c:formatCode>
                  <c:ptCount val="7"/>
                  <c:pt idx="0">
                    <c:v>4.39726061371896E-7</c:v>
                  </c:pt>
                  <c:pt idx="1">
                    <c:v>4.8346375501881602E-7</c:v>
                  </c:pt>
                  <c:pt idx="2">
                    <c:v>1.2258354996997201E-7</c:v>
                  </c:pt>
                  <c:pt idx="3">
                    <c:v>1.03432435659845E-7</c:v>
                  </c:pt>
                  <c:pt idx="4">
                    <c:v>1.0129541177539E-7</c:v>
                  </c:pt>
                  <c:pt idx="5">
                    <c:v>9.7828027040692905E-8</c:v>
                  </c:pt>
                  <c:pt idx="6">
                    <c:v>9.0886985536842398E-8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Response_Functions!$F$206:$F$212</c:f>
              <c:numCache>
                <c:formatCode>0.00E+00</c:formatCode>
                <c:ptCount val="7"/>
                <c:pt idx="0">
                  <c:v>1.16524555494992E-5</c:v>
                </c:pt>
                <c:pt idx="1">
                  <c:v>1.22910450198286E-5</c:v>
                </c:pt>
                <c:pt idx="2">
                  <c:v>1.1374447234721601E-5</c:v>
                </c:pt>
                <c:pt idx="3">
                  <c:v>1.15359584283305E-5</c:v>
                </c:pt>
                <c:pt idx="4">
                  <c:v>1.15496011911996E-5</c:v>
                </c:pt>
                <c:pt idx="5">
                  <c:v>1.15615641136669E-5</c:v>
                </c:pt>
                <c:pt idx="6">
                  <c:v>1.16022600271382E-5</c:v>
                </c:pt>
              </c:numCache>
            </c:numRef>
          </c:yVal>
          <c:smooth val="0"/>
        </c:ser>
        <c:ser>
          <c:idx val="3"/>
          <c:order val="3"/>
          <c:tx>
            <c:v>56 - Barium Custom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Response_Functions!$I$206:$I$212</c:f>
                <c:numCache>
                  <c:formatCode>General</c:formatCode>
                  <c:ptCount val="7"/>
                  <c:pt idx="0">
                    <c:v>3.4190146805626299E-7</c:v>
                  </c:pt>
                  <c:pt idx="1">
                    <c:v>3.7245838268844E-7</c:v>
                  </c:pt>
                  <c:pt idx="2">
                    <c:v>1.05594444910508E-7</c:v>
                  </c:pt>
                  <c:pt idx="3">
                    <c:v>9.0607353839072805E-8</c:v>
                  </c:pt>
                  <c:pt idx="4">
                    <c:v>8.8344872737981201E-8</c:v>
                  </c:pt>
                  <c:pt idx="5">
                    <c:v>8.4945437283821703E-8</c:v>
                  </c:pt>
                  <c:pt idx="6">
                    <c:v>7.9494604681934094E-8</c:v>
                  </c:pt>
                </c:numCache>
              </c:numRef>
            </c:plus>
            <c:minus>
              <c:numRef>
                <c:f>Response_Functions!$I$206:$I$212</c:f>
                <c:numCache>
                  <c:formatCode>General</c:formatCode>
                  <c:ptCount val="7"/>
                  <c:pt idx="0">
                    <c:v>3.4190146805626299E-7</c:v>
                  </c:pt>
                  <c:pt idx="1">
                    <c:v>3.7245838268844E-7</c:v>
                  </c:pt>
                  <c:pt idx="2">
                    <c:v>1.05594444910508E-7</c:v>
                  </c:pt>
                  <c:pt idx="3">
                    <c:v>9.0607353839072805E-8</c:v>
                  </c:pt>
                  <c:pt idx="4">
                    <c:v>8.8344872737981201E-8</c:v>
                  </c:pt>
                  <c:pt idx="5">
                    <c:v>8.4945437283821703E-8</c:v>
                  </c:pt>
                  <c:pt idx="6">
                    <c:v>7.9494604681934094E-8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Response_Functions!$A$206:$A$212</c:f>
              <c:numCache>
                <c:formatCode>General</c:formatCode>
                <c:ptCount val="7"/>
                <c:pt idx="0">
                  <c:v>130</c:v>
                </c:pt>
                <c:pt idx="1">
                  <c:v>132</c:v>
                </c:pt>
                <c:pt idx="2">
                  <c:v>134</c:v>
                </c:pt>
                <c:pt idx="3">
                  <c:v>135</c:v>
                </c:pt>
                <c:pt idx="4">
                  <c:v>136</c:v>
                </c:pt>
                <c:pt idx="5">
                  <c:v>137</c:v>
                </c:pt>
                <c:pt idx="6">
                  <c:v>138</c:v>
                </c:pt>
              </c:numCache>
            </c:numRef>
          </c:xVal>
          <c:yVal>
            <c:numRef>
              <c:f>Response_Functions!$H$206:$H$212</c:f>
              <c:numCache>
                <c:formatCode>0.00E+00</c:formatCode>
                <c:ptCount val="7"/>
                <c:pt idx="0">
                  <c:v>9.8275434178662705E-6</c:v>
                </c:pt>
                <c:pt idx="1">
                  <c:v>1.03037525823497E-5</c:v>
                </c:pt>
                <c:pt idx="2">
                  <c:v>1.00815985266921E-5</c:v>
                </c:pt>
                <c:pt idx="3">
                  <c:v>1.0254816893971701E-5</c:v>
                </c:pt>
                <c:pt idx="4">
                  <c:v>1.0208349114671499E-5</c:v>
                </c:pt>
                <c:pt idx="5">
                  <c:v>1.0144873263634E-5</c:v>
                </c:pt>
                <c:pt idx="6">
                  <c:v>1.0167361094775499E-5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744016"/>
        <c:axId val="357804208"/>
      </c:scatterChart>
      <c:valAx>
        <c:axId val="35774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04208"/>
        <c:crosses val="autoZero"/>
        <c:crossBetween val="midCat"/>
      </c:valAx>
      <c:valAx>
        <c:axId val="357804208"/>
        <c:scaling>
          <c:orientation val="minMax"/>
          <c:min val="9.0000000000000036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Instrument</a:t>
                </a:r>
                <a:r>
                  <a:rPr lang="en-US" baseline="0"/>
                  <a:t> Response (ppb/cps)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74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82</xdr:row>
      <xdr:rowOff>161927</xdr:rowOff>
    </xdr:from>
    <xdr:to>
      <xdr:col>11</xdr:col>
      <xdr:colOff>371474</xdr:colOff>
      <xdr:row>96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389605</xdr:colOff>
      <xdr:row>100</xdr:row>
      <xdr:rowOff>218114</xdr:rowOff>
    </xdr:from>
    <xdr:to>
      <xdr:col>12</xdr:col>
      <xdr:colOff>531800</xdr:colOff>
      <xdr:row>115</xdr:row>
      <xdr:rowOff>103814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119624</xdr:colOff>
      <xdr:row>37</xdr:row>
      <xdr:rowOff>174811</xdr:rowOff>
    </xdr:from>
    <xdr:to>
      <xdr:col>12</xdr:col>
      <xdr:colOff>440392</xdr:colOff>
      <xdr:row>50</xdr:row>
      <xdr:rowOff>117661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668789</xdr:colOff>
      <xdr:row>58</xdr:row>
      <xdr:rowOff>149679</xdr:rowOff>
    </xdr:from>
    <xdr:to>
      <xdr:col>13</xdr:col>
      <xdr:colOff>1050471</xdr:colOff>
      <xdr:row>75</xdr:row>
      <xdr:rowOff>53068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48065</xdr:colOff>
      <xdr:row>3</xdr:row>
      <xdr:rowOff>99813</xdr:rowOff>
    </xdr:from>
    <xdr:to>
      <xdr:col>14</xdr:col>
      <xdr:colOff>262378</xdr:colOff>
      <xdr:row>17</xdr:row>
      <xdr:rowOff>48106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200024</xdr:colOff>
      <xdr:row>124</xdr:row>
      <xdr:rowOff>180974</xdr:rowOff>
    </xdr:from>
    <xdr:to>
      <xdr:col>12</xdr:col>
      <xdr:colOff>295274</xdr:colOff>
      <xdr:row>138</xdr:row>
      <xdr:rowOff>76199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588308</xdr:colOff>
      <xdr:row>159</xdr:row>
      <xdr:rowOff>342900</xdr:rowOff>
    </xdr:from>
    <xdr:to>
      <xdr:col>11</xdr:col>
      <xdr:colOff>252132</xdr:colOff>
      <xdr:row>174</xdr:row>
      <xdr:rowOff>15688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521072</xdr:colOff>
      <xdr:row>175</xdr:row>
      <xdr:rowOff>242046</xdr:rowOff>
    </xdr:from>
    <xdr:to>
      <xdr:col>11</xdr:col>
      <xdr:colOff>263337</xdr:colOff>
      <xdr:row>187</xdr:row>
      <xdr:rowOff>105335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186497</xdr:colOff>
      <xdr:row>208</xdr:row>
      <xdr:rowOff>105975</xdr:rowOff>
    </xdr:from>
    <xdr:to>
      <xdr:col>14</xdr:col>
      <xdr:colOff>509066</xdr:colOff>
      <xdr:row>222</xdr:row>
      <xdr:rowOff>182175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352985</xdr:colOff>
      <xdr:row>268</xdr:row>
      <xdr:rowOff>230841</xdr:rowOff>
    </xdr:from>
    <xdr:to>
      <xdr:col>12</xdr:col>
      <xdr:colOff>296955</xdr:colOff>
      <xdr:row>282</xdr:row>
      <xdr:rowOff>94129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691963</xdr:colOff>
      <xdr:row>294</xdr:row>
      <xdr:rowOff>188819</xdr:rowOff>
    </xdr:from>
    <xdr:to>
      <xdr:col>13</xdr:col>
      <xdr:colOff>28015</xdr:colOff>
      <xdr:row>309</xdr:row>
      <xdr:rowOff>68916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487456</xdr:colOff>
      <xdr:row>322</xdr:row>
      <xdr:rowOff>96370</xdr:rowOff>
    </xdr:from>
    <xdr:to>
      <xdr:col>12</xdr:col>
      <xdr:colOff>431426</xdr:colOff>
      <xdr:row>335</xdr:row>
      <xdr:rowOff>150159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352985</xdr:colOff>
      <xdr:row>350</xdr:row>
      <xdr:rowOff>320489</xdr:rowOff>
    </xdr:from>
    <xdr:to>
      <xdr:col>12</xdr:col>
      <xdr:colOff>296955</xdr:colOff>
      <xdr:row>364</xdr:row>
      <xdr:rowOff>183777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369794</xdr:colOff>
      <xdr:row>238</xdr:row>
      <xdr:rowOff>40342</xdr:rowOff>
    </xdr:from>
    <xdr:to>
      <xdr:col>12</xdr:col>
      <xdr:colOff>313764</xdr:colOff>
      <xdr:row>252</xdr:row>
      <xdr:rowOff>116542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CS63"/>
  <sheetViews>
    <sheetView workbookViewId="0">
      <pane xSplit="2" ySplit="7" topLeftCell="AC8" activePane="bottomRight" state="frozen"/>
      <selection pane="topRight" activeCell="C1" sqref="C1"/>
      <selection pane="bottomLeft" activeCell="A3" sqref="A3"/>
      <selection pane="bottomRight" activeCell="Z23" sqref="Z23"/>
    </sheetView>
  </sheetViews>
  <sheetFormatPr defaultColWidth="8.85546875" defaultRowHeight="15" x14ac:dyDescent="0.25"/>
  <cols>
    <col min="1" max="1" width="22.85546875" customWidth="1"/>
    <col min="2" max="2" width="32.85546875" customWidth="1"/>
    <col min="3" max="3" width="12" bestFit="1" customWidth="1"/>
    <col min="6" max="6" width="15.85546875" customWidth="1"/>
    <col min="7" max="7" width="12" bestFit="1" customWidth="1"/>
    <col min="9" max="10" width="12" bestFit="1" customWidth="1"/>
    <col min="11" max="11" width="11.28515625" bestFit="1" customWidth="1"/>
    <col min="12" max="15" width="12" bestFit="1" customWidth="1"/>
    <col min="16" max="16" width="12" style="41" bestFit="1" customWidth="1"/>
    <col min="17" max="25" width="12" bestFit="1" customWidth="1"/>
    <col min="26" max="26" width="12.7109375" bestFit="1" customWidth="1"/>
    <col min="27" max="27" width="11" bestFit="1" customWidth="1"/>
    <col min="28" max="36" width="12" bestFit="1" customWidth="1"/>
    <col min="38" max="43" width="12" bestFit="1" customWidth="1"/>
    <col min="45" max="45" width="12" style="41" bestFit="1" customWidth="1"/>
    <col min="47" max="47" width="12.7109375" style="41" bestFit="1" customWidth="1"/>
    <col min="49" max="50" width="12" bestFit="1" customWidth="1"/>
    <col min="52" max="52" width="12" bestFit="1" customWidth="1"/>
    <col min="54" max="54" width="12" bestFit="1" customWidth="1"/>
    <col min="56" max="79" width="12" bestFit="1" customWidth="1"/>
    <col min="80" max="80" width="12.7109375" bestFit="1" customWidth="1"/>
    <col min="81" max="82" width="12" bestFit="1" customWidth="1"/>
    <col min="84" max="84" width="12" bestFit="1" customWidth="1"/>
    <col min="88" max="89" width="12" bestFit="1" customWidth="1"/>
    <col min="92" max="96" width="12" bestFit="1" customWidth="1"/>
  </cols>
  <sheetData>
    <row r="1" spans="1:97" x14ac:dyDescent="0.25">
      <c r="B1" t="s">
        <v>0</v>
      </c>
      <c r="C1" s="2">
        <v>66</v>
      </c>
      <c r="D1" s="2">
        <v>70</v>
      </c>
      <c r="E1" s="2">
        <v>71</v>
      </c>
      <c r="F1" s="2">
        <v>72</v>
      </c>
      <c r="G1" s="2">
        <v>73</v>
      </c>
      <c r="H1" s="2">
        <v>74</v>
      </c>
      <c r="I1" s="2">
        <v>85</v>
      </c>
      <c r="J1" s="2">
        <v>86</v>
      </c>
      <c r="K1" s="2">
        <v>87</v>
      </c>
      <c r="L1" s="2">
        <v>88</v>
      </c>
      <c r="M1" s="2">
        <v>89</v>
      </c>
      <c r="N1" s="2">
        <v>90</v>
      </c>
      <c r="O1" s="2">
        <v>91</v>
      </c>
      <c r="P1" s="79">
        <v>92</v>
      </c>
      <c r="Q1" s="2">
        <v>93</v>
      </c>
      <c r="R1" s="2">
        <v>94</v>
      </c>
      <c r="S1" s="2">
        <v>95</v>
      </c>
      <c r="T1" s="2">
        <v>96</v>
      </c>
      <c r="U1" s="2">
        <v>97</v>
      </c>
      <c r="V1" s="2">
        <v>98</v>
      </c>
      <c r="W1" s="2">
        <v>99</v>
      </c>
      <c r="X1" s="2">
        <v>100</v>
      </c>
      <c r="Y1" s="2">
        <v>101</v>
      </c>
      <c r="Z1" s="2">
        <v>102</v>
      </c>
      <c r="AA1" s="2">
        <v>103</v>
      </c>
      <c r="AB1" s="2">
        <v>104</v>
      </c>
      <c r="AC1" s="2">
        <v>105</v>
      </c>
      <c r="AD1" s="2">
        <v>106</v>
      </c>
      <c r="AE1" s="2">
        <v>107</v>
      </c>
      <c r="AF1" s="2">
        <v>108</v>
      </c>
      <c r="AG1" s="2">
        <v>109</v>
      </c>
      <c r="AH1" s="2">
        <v>110</v>
      </c>
      <c r="AI1" s="2">
        <v>111</v>
      </c>
      <c r="AJ1" s="2">
        <v>112</v>
      </c>
      <c r="AK1" s="2">
        <v>113</v>
      </c>
      <c r="AL1" s="2">
        <v>114</v>
      </c>
      <c r="AM1" s="2">
        <v>115</v>
      </c>
      <c r="AN1" s="2">
        <v>116</v>
      </c>
      <c r="AO1" s="2">
        <v>117</v>
      </c>
      <c r="AP1" s="2">
        <v>118</v>
      </c>
      <c r="AQ1" s="2">
        <v>119</v>
      </c>
      <c r="AR1" s="2">
        <v>120</v>
      </c>
      <c r="AS1" s="79">
        <v>121</v>
      </c>
      <c r="AT1" s="2">
        <v>122</v>
      </c>
      <c r="AU1" s="79">
        <v>123</v>
      </c>
      <c r="AV1" s="2">
        <v>124</v>
      </c>
      <c r="AW1" s="2">
        <v>125</v>
      </c>
      <c r="AX1" s="2">
        <v>126</v>
      </c>
      <c r="AY1" s="2">
        <v>127</v>
      </c>
      <c r="AZ1" s="2">
        <v>128</v>
      </c>
      <c r="BA1" s="2">
        <v>129</v>
      </c>
      <c r="BB1" s="2">
        <v>130</v>
      </c>
      <c r="BC1" s="2">
        <v>131</v>
      </c>
      <c r="BD1" s="2">
        <v>132</v>
      </c>
      <c r="BE1" s="2">
        <v>133</v>
      </c>
      <c r="BF1" s="2">
        <v>134</v>
      </c>
      <c r="BG1" s="2">
        <v>135</v>
      </c>
      <c r="BH1" s="2">
        <v>136</v>
      </c>
      <c r="BI1" s="2">
        <v>137</v>
      </c>
      <c r="BJ1" s="2">
        <v>138</v>
      </c>
      <c r="BK1" s="2">
        <v>139</v>
      </c>
      <c r="BL1" s="2">
        <v>140</v>
      </c>
      <c r="BM1" s="2">
        <v>141</v>
      </c>
      <c r="BN1" s="2">
        <v>142</v>
      </c>
      <c r="BO1" s="2">
        <v>143</v>
      </c>
      <c r="BP1" s="2">
        <v>144</v>
      </c>
      <c r="BQ1" s="2">
        <v>145</v>
      </c>
      <c r="BR1" s="2">
        <v>146</v>
      </c>
      <c r="BS1" s="2">
        <v>147</v>
      </c>
      <c r="BT1" s="2">
        <v>148</v>
      </c>
      <c r="BU1" s="2">
        <v>149</v>
      </c>
      <c r="BV1" s="2">
        <v>150</v>
      </c>
      <c r="BW1" s="2">
        <v>151</v>
      </c>
      <c r="BX1" s="2">
        <v>152</v>
      </c>
      <c r="BY1" s="2">
        <v>153</v>
      </c>
      <c r="BZ1" s="2">
        <v>154</v>
      </c>
      <c r="CA1" s="2">
        <v>155</v>
      </c>
      <c r="CB1" s="2">
        <v>156</v>
      </c>
      <c r="CC1" s="2">
        <v>157</v>
      </c>
      <c r="CD1" s="2">
        <v>158</v>
      </c>
      <c r="CE1" s="2">
        <v>159</v>
      </c>
      <c r="CF1" s="2">
        <v>160</v>
      </c>
      <c r="CG1" s="2">
        <v>231</v>
      </c>
      <c r="CH1" s="2">
        <v>232</v>
      </c>
      <c r="CI1" s="2">
        <v>233</v>
      </c>
      <c r="CJ1" s="2">
        <v>234</v>
      </c>
      <c r="CK1" s="2">
        <v>235</v>
      </c>
      <c r="CL1" s="2">
        <v>236</v>
      </c>
      <c r="CM1" s="2">
        <v>237</v>
      </c>
      <c r="CN1" s="2">
        <v>238</v>
      </c>
      <c r="CO1" s="2">
        <v>239</v>
      </c>
      <c r="CP1" s="2">
        <v>240</v>
      </c>
      <c r="CQ1" s="2">
        <v>241</v>
      </c>
      <c r="CR1" s="2">
        <v>242</v>
      </c>
      <c r="CS1" s="2">
        <v>243</v>
      </c>
    </row>
    <row r="2" spans="1:97" x14ac:dyDescent="0.25">
      <c r="B2" t="s">
        <v>1</v>
      </c>
      <c r="C2" s="2" t="s">
        <v>2</v>
      </c>
      <c r="D2" s="2" t="s">
        <v>2</v>
      </c>
      <c r="E2" s="2" t="s">
        <v>3</v>
      </c>
      <c r="F2" s="2"/>
      <c r="G2" s="2"/>
      <c r="H2" s="2" t="s">
        <v>4</v>
      </c>
      <c r="I2" s="2" t="s">
        <v>5</v>
      </c>
      <c r="J2" s="2"/>
      <c r="K2" s="2" t="s">
        <v>5</v>
      </c>
      <c r="L2" s="2"/>
      <c r="M2" s="2" t="s">
        <v>7</v>
      </c>
      <c r="N2" s="2" t="s">
        <v>8</v>
      </c>
      <c r="O2" s="2" t="s">
        <v>8</v>
      </c>
      <c r="P2" s="79" t="s">
        <v>8</v>
      </c>
      <c r="Q2" s="2" t="s">
        <v>9</v>
      </c>
      <c r="R2" s="2" t="s">
        <v>8</v>
      </c>
      <c r="S2" s="2"/>
      <c r="T2" s="2" t="s">
        <v>8</v>
      </c>
      <c r="U2" s="2"/>
      <c r="V2" s="2"/>
      <c r="W2" s="2"/>
      <c r="X2" s="2"/>
      <c r="Y2" s="2"/>
      <c r="Z2" s="2" t="s">
        <v>10</v>
      </c>
      <c r="AA2" s="2"/>
      <c r="AB2" s="2" t="s">
        <v>10</v>
      </c>
      <c r="AC2" s="2" t="s">
        <v>10</v>
      </c>
      <c r="AD2" s="2" t="s">
        <v>10</v>
      </c>
      <c r="AE2" s="2"/>
      <c r="AF2" s="2" t="s">
        <v>10</v>
      </c>
      <c r="AG2" s="2"/>
      <c r="AH2" s="2" t="s">
        <v>10</v>
      </c>
      <c r="AI2" s="2"/>
      <c r="AJ2" s="2" t="s">
        <v>11</v>
      </c>
      <c r="AK2" s="2"/>
      <c r="AL2" s="2" t="s">
        <v>11</v>
      </c>
      <c r="AM2" s="2" t="s">
        <v>11</v>
      </c>
      <c r="AN2" s="2" t="s">
        <v>11</v>
      </c>
      <c r="AO2" s="2" t="s">
        <v>11</v>
      </c>
      <c r="AP2" s="2" t="s">
        <v>11</v>
      </c>
      <c r="AQ2" s="2" t="s">
        <v>11</v>
      </c>
      <c r="AR2" s="2" t="s">
        <v>11</v>
      </c>
      <c r="AS2" s="79"/>
      <c r="AT2" s="2" t="s">
        <v>11</v>
      </c>
      <c r="AU2" s="79"/>
      <c r="AV2" s="2" t="s">
        <v>11</v>
      </c>
      <c r="AW2" s="2"/>
      <c r="AX2" s="2"/>
      <c r="AY2" s="2"/>
      <c r="AZ2" s="3" t="s">
        <v>12</v>
      </c>
      <c r="BA2" s="3" t="s">
        <v>12</v>
      </c>
      <c r="BB2" s="3" t="s">
        <v>12</v>
      </c>
      <c r="BC2" s="3" t="s">
        <v>12</v>
      </c>
      <c r="BD2" s="3" t="s">
        <v>12</v>
      </c>
      <c r="BE2" s="2"/>
      <c r="BF2" s="3" t="s">
        <v>12</v>
      </c>
      <c r="BG2" s="2"/>
      <c r="BH2" s="2" t="s">
        <v>13</v>
      </c>
      <c r="BI2" s="2"/>
      <c r="BJ2" s="2" t="s">
        <v>13</v>
      </c>
      <c r="BK2" s="2"/>
      <c r="BL2" s="2" t="s">
        <v>13</v>
      </c>
      <c r="BM2" s="2"/>
      <c r="BN2" s="2" t="s">
        <v>13</v>
      </c>
      <c r="BO2" s="2"/>
      <c r="BP2" s="2" t="s">
        <v>14</v>
      </c>
      <c r="BQ2" s="2"/>
      <c r="BR2" s="2"/>
      <c r="BS2" s="2" t="s">
        <v>14</v>
      </c>
      <c r="BT2" s="2" t="s">
        <v>14</v>
      </c>
      <c r="BU2" s="2" t="s">
        <v>14</v>
      </c>
      <c r="BV2" s="2" t="s">
        <v>14</v>
      </c>
      <c r="BW2" s="2"/>
      <c r="BX2" s="2" t="s">
        <v>14</v>
      </c>
      <c r="BY2" s="2"/>
      <c r="BZ2" s="2" t="s">
        <v>14</v>
      </c>
      <c r="CA2" s="2"/>
      <c r="CB2" s="2" t="s">
        <v>15</v>
      </c>
      <c r="CC2" s="2"/>
      <c r="CD2" s="2" t="s">
        <v>15</v>
      </c>
      <c r="CE2" s="2"/>
      <c r="CF2" s="2" t="s">
        <v>15</v>
      </c>
      <c r="CG2" s="2"/>
      <c r="CH2" s="2"/>
      <c r="CI2" s="2"/>
      <c r="CJ2" s="2"/>
      <c r="CK2" s="2" t="s">
        <v>16</v>
      </c>
      <c r="CL2" s="2"/>
      <c r="CM2" s="2"/>
      <c r="CN2" s="2" t="s">
        <v>16</v>
      </c>
      <c r="CO2" s="2"/>
      <c r="CP2" s="2"/>
      <c r="CQ2" s="2"/>
      <c r="CR2" s="2"/>
      <c r="CS2" s="2"/>
    </row>
    <row r="3" spans="1:97" x14ac:dyDescent="0.25">
      <c r="B3" t="s">
        <v>339</v>
      </c>
      <c r="C3" s="2">
        <v>27.9</v>
      </c>
      <c r="D3" s="2">
        <v>0.62</v>
      </c>
      <c r="E3" s="2">
        <v>39.892000000000003</v>
      </c>
      <c r="F3" s="2"/>
      <c r="G3" s="2"/>
      <c r="H3" s="2">
        <v>0.89</v>
      </c>
      <c r="I3" s="2">
        <v>0.717006121758612</v>
      </c>
      <c r="J3" s="2"/>
      <c r="K3" s="2">
        <v>0.282993878241388</v>
      </c>
      <c r="L3" s="2"/>
      <c r="M3" s="2">
        <v>100</v>
      </c>
      <c r="N3" s="2">
        <v>0.50705999999999996</v>
      </c>
      <c r="O3" s="2">
        <v>0.11181000000000001</v>
      </c>
      <c r="P3" s="79">
        <v>0.17277999999999999</v>
      </c>
      <c r="Q3" s="2">
        <v>100</v>
      </c>
      <c r="R3" s="2">
        <v>0.17891000000000001</v>
      </c>
      <c r="S3" s="2"/>
      <c r="T3" s="2">
        <v>2.9437999999999999E-2</v>
      </c>
      <c r="U3" s="2"/>
      <c r="V3" s="2"/>
      <c r="W3" s="2"/>
      <c r="X3" s="2"/>
      <c r="Y3" s="2"/>
      <c r="Z3" s="2">
        <v>9.7677394869432697E-3</v>
      </c>
      <c r="AA3" s="2"/>
      <c r="AB3" s="2">
        <v>0.10877107380527</v>
      </c>
      <c r="AC3" s="2">
        <v>0.220130931240716</v>
      </c>
      <c r="AD3" s="2">
        <v>0.27198545961488202</v>
      </c>
      <c r="AE3" s="2"/>
      <c r="AF3" s="2">
        <v>0.26830129532423602</v>
      </c>
      <c r="AG3" s="2"/>
      <c r="AH3" s="2">
        <v>0.121043500527953</v>
      </c>
      <c r="AI3" s="2"/>
      <c r="AJ3" s="2">
        <v>9.1439284981915808E-3</v>
      </c>
      <c r="AK3" s="2"/>
      <c r="AL3" s="2">
        <v>6.3327239537578003E-3</v>
      </c>
      <c r="AM3" s="2">
        <v>3.2909696932756998E-3</v>
      </c>
      <c r="AN3" s="2">
        <v>0.14196022130563599</v>
      </c>
      <c r="AO3" s="2">
        <v>7.5630852492968498E-2</v>
      </c>
      <c r="AP3" s="2">
        <v>0.24055043685300301</v>
      </c>
      <c r="AQ3" s="2">
        <v>8.6039800553445303E-2</v>
      </c>
      <c r="AR3" s="2">
        <v>0.329071682034147</v>
      </c>
      <c r="AS3" s="79"/>
      <c r="AT3" s="2">
        <v>4.7545480680581197E-2</v>
      </c>
      <c r="AU3" s="79"/>
      <c r="AV3" s="2">
        <v>6.0433903934993601E-2</v>
      </c>
      <c r="AW3" s="2"/>
      <c r="AX3" s="2"/>
      <c r="AY3" s="2"/>
      <c r="AZ3" s="3">
        <v>1.92</v>
      </c>
      <c r="BA3" s="3">
        <v>26.44</v>
      </c>
      <c r="BB3" s="3">
        <v>4.08</v>
      </c>
      <c r="BC3" s="3">
        <v>21.18</v>
      </c>
      <c r="BD3" s="3">
        <v>26.89</v>
      </c>
      <c r="BE3" s="2"/>
      <c r="BF3" s="3">
        <v>10.44</v>
      </c>
      <c r="BG3" s="2"/>
      <c r="BH3" s="2">
        <v>1.7944325848839101E-3</v>
      </c>
      <c r="BI3" s="2"/>
      <c r="BJ3" s="2">
        <v>2.47041531839642E-3</v>
      </c>
      <c r="BK3" s="2"/>
      <c r="BL3" s="2">
        <v>0.883172530576673</v>
      </c>
      <c r="BM3" s="2"/>
      <c r="BN3" s="2">
        <v>0.11256262152004699</v>
      </c>
      <c r="BO3" s="2"/>
      <c r="BP3" s="2">
        <v>2.9382228289006499E-2</v>
      </c>
      <c r="BQ3" s="2"/>
      <c r="BR3" s="2"/>
      <c r="BS3" s="2">
        <v>0.146459253276505</v>
      </c>
      <c r="BT3" s="2">
        <v>0.110567465434891</v>
      </c>
      <c r="BU3" s="2">
        <v>0.13686808981332699</v>
      </c>
      <c r="BV3" s="2">
        <v>7.3579594377367802E-2</v>
      </c>
      <c r="BW3" s="2"/>
      <c r="BX3" s="2">
        <v>0.270263452298874</v>
      </c>
      <c r="BY3" s="2"/>
      <c r="BZ3" s="2">
        <v>0.23287991651002901</v>
      </c>
      <c r="CA3" s="2"/>
      <c r="CB3" s="2">
        <v>5.7573093352979599E-4</v>
      </c>
      <c r="CC3" s="2"/>
      <c r="CD3" s="2">
        <v>9.7186025469135704E-4</v>
      </c>
      <c r="CE3" s="2"/>
      <c r="CF3" s="2">
        <v>2.3029648841635799E-2</v>
      </c>
      <c r="CG3" s="2"/>
      <c r="CH3" s="2"/>
      <c r="CI3" s="2"/>
      <c r="CJ3" s="2"/>
      <c r="CK3" s="2">
        <v>7.11E-3</v>
      </c>
      <c r="CL3" s="2"/>
      <c r="CM3" s="2"/>
      <c r="CN3" s="2">
        <v>0.99289000000000005</v>
      </c>
      <c r="CO3" s="2"/>
      <c r="CP3" s="2"/>
      <c r="CQ3" s="2"/>
      <c r="CR3" s="2"/>
      <c r="CS3" s="2"/>
    </row>
    <row r="4" spans="1:97" x14ac:dyDescent="0.25">
      <c r="B4" t="s">
        <v>340</v>
      </c>
      <c r="C4" s="2"/>
      <c r="D4" s="2" t="s">
        <v>17</v>
      </c>
      <c r="E4" s="2"/>
      <c r="F4" s="2" t="s">
        <v>17</v>
      </c>
      <c r="G4" s="2" t="s">
        <v>17</v>
      </c>
      <c r="H4" s="2" t="s">
        <v>17</v>
      </c>
      <c r="I4" s="2"/>
      <c r="J4" s="2" t="s">
        <v>18</v>
      </c>
      <c r="K4" s="2" t="s">
        <v>18</v>
      </c>
      <c r="L4" s="2" t="s">
        <v>18</v>
      </c>
      <c r="M4" s="2"/>
      <c r="N4" s="2"/>
      <c r="O4" s="2"/>
      <c r="P4" s="79" t="s">
        <v>19</v>
      </c>
      <c r="Q4" s="2"/>
      <c r="R4" s="2" t="s">
        <v>19</v>
      </c>
      <c r="S4" s="2" t="s">
        <v>19</v>
      </c>
      <c r="T4" s="2" t="s">
        <v>19</v>
      </c>
      <c r="U4" s="2" t="s">
        <v>19</v>
      </c>
      <c r="V4" s="2" t="s">
        <v>19</v>
      </c>
      <c r="W4" s="2"/>
      <c r="X4" s="2" t="s">
        <v>19</v>
      </c>
      <c r="Y4" s="2"/>
      <c r="Z4" s="2"/>
      <c r="AA4" s="2" t="s">
        <v>20</v>
      </c>
      <c r="AB4" s="2"/>
      <c r="AC4" s="2"/>
      <c r="AD4" s="2"/>
      <c r="AE4" s="2" t="s">
        <v>21</v>
      </c>
      <c r="AF4" s="2"/>
      <c r="AG4" s="2" t="s">
        <v>21</v>
      </c>
      <c r="AH4" s="2"/>
      <c r="AI4" s="2"/>
      <c r="AJ4" s="2"/>
      <c r="AK4" s="2" t="s">
        <v>22</v>
      </c>
      <c r="AL4" s="2"/>
      <c r="AM4" s="2" t="s">
        <v>22</v>
      </c>
      <c r="AN4" s="2"/>
      <c r="AO4" s="2"/>
      <c r="AP4" s="2"/>
      <c r="AQ4" s="2"/>
      <c r="AR4" s="2"/>
      <c r="AS4" s="79" t="s">
        <v>23</v>
      </c>
      <c r="AT4" s="2"/>
      <c r="AU4" s="79" t="s">
        <v>23</v>
      </c>
      <c r="AV4" s="3" t="s">
        <v>12</v>
      </c>
      <c r="AW4" s="2"/>
      <c r="AX4" s="3" t="s">
        <v>12</v>
      </c>
      <c r="AY4" s="2" t="s">
        <v>24</v>
      </c>
      <c r="AZ4" s="2"/>
      <c r="BA4" s="2"/>
      <c r="BB4" s="2" t="s">
        <v>25</v>
      </c>
      <c r="BC4" s="2"/>
      <c r="BD4" s="2" t="s">
        <v>25</v>
      </c>
      <c r="BE4" s="2"/>
      <c r="BF4" s="2" t="s">
        <v>25</v>
      </c>
      <c r="BG4" s="2" t="s">
        <v>25</v>
      </c>
      <c r="BH4" s="2" t="s">
        <v>25</v>
      </c>
      <c r="BI4" s="2" t="s">
        <v>25</v>
      </c>
      <c r="BJ4" s="2" t="s">
        <v>25</v>
      </c>
      <c r="BK4" s="2"/>
      <c r="BL4" s="2"/>
      <c r="BM4" s="2" t="s">
        <v>26</v>
      </c>
      <c r="BN4" s="2"/>
      <c r="BO4" s="2"/>
      <c r="BP4" s="2"/>
      <c r="BQ4" s="2"/>
      <c r="BR4" s="2"/>
      <c r="BS4" s="2"/>
      <c r="BT4" s="2"/>
      <c r="BU4" s="2"/>
      <c r="BV4" s="2"/>
      <c r="BW4" s="2" t="s">
        <v>27</v>
      </c>
      <c r="BX4" s="2"/>
      <c r="BY4" s="2" t="s">
        <v>27</v>
      </c>
      <c r="BZ4" s="2"/>
      <c r="CA4" s="2"/>
      <c r="CB4" s="2"/>
      <c r="CC4" s="2"/>
      <c r="CD4" s="2"/>
      <c r="CE4" s="2" t="s">
        <v>28</v>
      </c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</row>
    <row r="5" spans="1:97" x14ac:dyDescent="0.25">
      <c r="B5" t="s">
        <v>341</v>
      </c>
      <c r="C5" s="2"/>
      <c r="D5" s="2">
        <v>20.84</v>
      </c>
      <c r="E5" s="2"/>
      <c r="F5" s="2">
        <v>27.54</v>
      </c>
      <c r="G5" s="2">
        <v>7.73</v>
      </c>
      <c r="H5" s="2">
        <v>36.28</v>
      </c>
      <c r="I5" s="2"/>
      <c r="J5" s="2">
        <v>9.6678583595954895E-2</v>
      </c>
      <c r="K5" s="2">
        <v>6.9434540225189398E-2</v>
      </c>
      <c r="L5" s="2">
        <v>0.82852356679032202</v>
      </c>
      <c r="M5" s="2"/>
      <c r="N5" s="2"/>
      <c r="O5" s="2"/>
      <c r="P5" s="79">
        <v>0.14216999999999999</v>
      </c>
      <c r="Q5" s="2"/>
      <c r="R5" s="2">
        <v>9.0546000000000001E-2</v>
      </c>
      <c r="S5" s="2">
        <v>0.1575</v>
      </c>
      <c r="T5" s="2">
        <v>0.16675000000000001</v>
      </c>
      <c r="U5" s="2">
        <v>9.647E-2</v>
      </c>
      <c r="V5" s="2">
        <v>0.24626999999999999</v>
      </c>
      <c r="W5" s="2"/>
      <c r="X5" s="2">
        <v>0.10029</v>
      </c>
      <c r="Y5" s="2"/>
      <c r="Z5" s="2"/>
      <c r="AA5" s="2">
        <v>100</v>
      </c>
      <c r="AB5" s="2"/>
      <c r="AC5" s="2"/>
      <c r="AD5" s="2"/>
      <c r="AE5" s="2">
        <v>0.51376176194694301</v>
      </c>
      <c r="AF5" s="2"/>
      <c r="AG5" s="2">
        <v>0.48623823805305699</v>
      </c>
      <c r="AH5" s="2"/>
      <c r="AI5" s="2"/>
      <c r="AJ5" s="2"/>
      <c r="AK5" s="2">
        <v>4.29</v>
      </c>
      <c r="AL5" s="2"/>
      <c r="AM5" s="2">
        <v>95.71</v>
      </c>
      <c r="AN5" s="2"/>
      <c r="AO5" s="2"/>
      <c r="AP5" s="2"/>
      <c r="AQ5" s="2"/>
      <c r="AR5" s="2"/>
      <c r="AS5" s="79">
        <v>0.56807814173420401</v>
      </c>
      <c r="AT5" s="2"/>
      <c r="AU5" s="79">
        <v>0.43192185826579599</v>
      </c>
      <c r="AV5" s="3">
        <v>0.09</v>
      </c>
      <c r="AW5" s="2"/>
      <c r="AX5" s="3">
        <v>0.09</v>
      </c>
      <c r="AY5" s="2">
        <v>100</v>
      </c>
      <c r="AZ5" s="2"/>
      <c r="BA5" s="2"/>
      <c r="BB5" s="2">
        <v>1.0027219936386801E-3</v>
      </c>
      <c r="BC5" s="2"/>
      <c r="BD5" s="2">
        <v>9.7012399203481696E-4</v>
      </c>
      <c r="BE5" s="2"/>
      <c r="BF5" s="2">
        <v>2.3567648980249701E-2</v>
      </c>
      <c r="BG5" s="2">
        <v>6.4757768142995997E-2</v>
      </c>
      <c r="BH5" s="2">
        <v>7.7726549132108705E-2</v>
      </c>
      <c r="BI5" s="2">
        <v>0.111975610146368</v>
      </c>
      <c r="BJ5" s="2">
        <v>0.71999957761260402</v>
      </c>
      <c r="BK5" s="2"/>
      <c r="BL5" s="2"/>
      <c r="BM5" s="2">
        <v>100</v>
      </c>
      <c r="BN5" s="2"/>
      <c r="BO5" s="2"/>
      <c r="BP5" s="2"/>
      <c r="BQ5" s="2"/>
      <c r="BR5" s="2"/>
      <c r="BS5" s="2"/>
      <c r="BT5" s="2"/>
      <c r="BU5" s="2"/>
      <c r="BV5" s="2"/>
      <c r="BW5" s="2">
        <v>0.47481380119857403</v>
      </c>
      <c r="BX5" s="2"/>
      <c r="BY5" s="2">
        <v>0.52518619880142603</v>
      </c>
      <c r="BZ5" s="2"/>
      <c r="CA5" s="2"/>
      <c r="CB5" s="2"/>
      <c r="CC5" s="2"/>
      <c r="CD5" s="2"/>
      <c r="CE5" s="2">
        <v>100</v>
      </c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</row>
    <row r="6" spans="1:97" x14ac:dyDescent="0.25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79"/>
      <c r="Q6" s="2"/>
      <c r="R6" s="2"/>
      <c r="S6" s="2"/>
      <c r="T6" s="2" t="s">
        <v>29</v>
      </c>
      <c r="U6" s="2"/>
      <c r="V6" s="2" t="s">
        <v>29</v>
      </c>
      <c r="W6" s="2" t="s">
        <v>29</v>
      </c>
      <c r="X6" s="2" t="s">
        <v>29</v>
      </c>
      <c r="Y6" s="2" t="s">
        <v>29</v>
      </c>
      <c r="Z6" s="2" t="s">
        <v>29</v>
      </c>
      <c r="AA6" s="2"/>
      <c r="AB6" s="2" t="s">
        <v>29</v>
      </c>
      <c r="AC6" s="2"/>
      <c r="AD6" s="2" t="s">
        <v>30</v>
      </c>
      <c r="AE6" s="2"/>
      <c r="AF6" s="2" t="s">
        <v>30</v>
      </c>
      <c r="AG6" s="2"/>
      <c r="AH6" s="2" t="s">
        <v>30</v>
      </c>
      <c r="AI6" s="2" t="s">
        <v>30</v>
      </c>
      <c r="AJ6" s="2" t="s">
        <v>30</v>
      </c>
      <c r="AK6" s="2" t="s">
        <v>30</v>
      </c>
      <c r="AL6" s="2" t="s">
        <v>30</v>
      </c>
      <c r="AM6" s="2"/>
      <c r="AN6" s="2" t="s">
        <v>30</v>
      </c>
      <c r="AO6" s="2"/>
      <c r="AP6" s="2"/>
      <c r="AQ6" s="2"/>
      <c r="AR6" s="2" t="s">
        <v>31</v>
      </c>
      <c r="AS6" s="79"/>
      <c r="AT6" s="2" t="s">
        <v>31</v>
      </c>
      <c r="AU6" s="79" t="s">
        <v>31</v>
      </c>
      <c r="AV6" s="2" t="s">
        <v>31</v>
      </c>
      <c r="AW6" s="2" t="s">
        <v>31</v>
      </c>
      <c r="AX6" s="2" t="s">
        <v>31</v>
      </c>
      <c r="AY6" s="2"/>
      <c r="AZ6" s="2" t="s">
        <v>31</v>
      </c>
      <c r="BA6" s="2"/>
      <c r="BB6" s="2" t="s">
        <v>31</v>
      </c>
      <c r="BC6" s="2"/>
      <c r="BD6" s="2"/>
      <c r="BE6" s="2" t="s">
        <v>32</v>
      </c>
      <c r="BF6" s="2"/>
      <c r="BG6" s="2"/>
      <c r="BH6" s="3" t="s">
        <v>12</v>
      </c>
      <c r="BI6" s="2"/>
      <c r="BJ6" s="2" t="s">
        <v>33</v>
      </c>
      <c r="BK6" s="2" t="s">
        <v>33</v>
      </c>
      <c r="BL6" s="2"/>
      <c r="BM6" s="2"/>
      <c r="BN6" s="2" t="s">
        <v>34</v>
      </c>
      <c r="BO6" s="2" t="s">
        <v>34</v>
      </c>
      <c r="BP6" s="2" t="s">
        <v>34</v>
      </c>
      <c r="BQ6" s="2" t="s">
        <v>34</v>
      </c>
      <c r="BR6" s="2" t="s">
        <v>34</v>
      </c>
      <c r="BS6" s="2"/>
      <c r="BT6" s="2" t="s">
        <v>34</v>
      </c>
      <c r="BU6" s="2"/>
      <c r="BV6" s="2" t="s">
        <v>34</v>
      </c>
      <c r="BW6" s="2"/>
      <c r="BX6" s="2" t="s">
        <v>35</v>
      </c>
      <c r="BY6" s="2"/>
      <c r="BZ6" s="2" t="s">
        <v>35</v>
      </c>
      <c r="CA6" s="2" t="s">
        <v>35</v>
      </c>
      <c r="CB6" s="2" t="s">
        <v>35</v>
      </c>
      <c r="CC6" s="2" t="s">
        <v>35</v>
      </c>
      <c r="CD6" s="2" t="s">
        <v>35</v>
      </c>
      <c r="CE6" s="2"/>
      <c r="CF6" s="2" t="s">
        <v>35</v>
      </c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</row>
    <row r="7" spans="1:97" x14ac:dyDescent="0.25"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79"/>
      <c r="Q7" s="42"/>
      <c r="R7" s="13"/>
      <c r="S7" s="13"/>
      <c r="T7" s="13">
        <v>5.2572936375466603E-2</v>
      </c>
      <c r="U7" s="13"/>
      <c r="V7" s="13">
        <v>1.8115369922364299E-2</v>
      </c>
      <c r="W7" s="13">
        <v>0.124874137143464</v>
      </c>
      <c r="X7" s="13">
        <v>0.124552897208452</v>
      </c>
      <c r="Y7" s="13">
        <v>0.17033099132447699</v>
      </c>
      <c r="Z7" s="13">
        <v>0.31812041642280497</v>
      </c>
      <c r="AA7" s="13"/>
      <c r="AB7" s="13">
        <v>0.19143325160297101</v>
      </c>
      <c r="AC7" s="13"/>
      <c r="AD7" s="13">
        <v>1.1776643001332E-2</v>
      </c>
      <c r="AE7" s="13"/>
      <c r="AF7" s="13">
        <v>8.5431364117330398E-3</v>
      </c>
      <c r="AG7" s="13"/>
      <c r="AH7" s="13">
        <v>0.12211276442293099</v>
      </c>
      <c r="AI7" s="13">
        <v>0.12628359771782799</v>
      </c>
      <c r="AJ7" s="13">
        <v>0.240207831162843</v>
      </c>
      <c r="AK7" s="13">
        <v>0.12273576402695401</v>
      </c>
      <c r="AL7" s="13">
        <v>0.29111273687289102</v>
      </c>
      <c r="AM7" s="13"/>
      <c r="AN7" s="13">
        <v>7.7227526383488093E-2</v>
      </c>
      <c r="AO7" s="13"/>
      <c r="AP7" s="13"/>
      <c r="AQ7" s="13"/>
      <c r="AR7" s="13">
        <v>8.4569729522556304E-4</v>
      </c>
      <c r="AS7" s="81"/>
      <c r="AT7" s="13">
        <v>2.4360905652845301E-2</v>
      </c>
      <c r="AU7" s="81">
        <v>8.5722667560372296E-3</v>
      </c>
      <c r="AV7" s="13">
        <v>4.6025468442902201E-2</v>
      </c>
      <c r="AW7" s="13">
        <v>6.9204753573948702E-2</v>
      </c>
      <c r="AX7" s="13">
        <v>0.18589029680053001</v>
      </c>
      <c r="AY7" s="13"/>
      <c r="AZ7" s="13">
        <v>0.31814954217674102</v>
      </c>
      <c r="BA7" s="13"/>
      <c r="BB7" s="13">
        <v>0.346951069301769</v>
      </c>
      <c r="BC7" s="13"/>
      <c r="BD7" s="13"/>
      <c r="BE7" s="13">
        <v>100</v>
      </c>
      <c r="BF7" s="13"/>
      <c r="BG7" s="13"/>
      <c r="BH7" s="46">
        <v>8.8699999999999992</v>
      </c>
      <c r="BI7" s="13"/>
      <c r="BJ7" s="13">
        <v>0.09</v>
      </c>
      <c r="BK7" s="13">
        <v>99.91</v>
      </c>
      <c r="BL7" s="13"/>
      <c r="BM7" s="13"/>
      <c r="BN7" s="13">
        <v>0.26760909611700401</v>
      </c>
      <c r="BO7" s="13">
        <v>0.12087815435212899</v>
      </c>
      <c r="BP7" s="13">
        <v>0.23746200394873401</v>
      </c>
      <c r="BQ7" s="13">
        <v>8.3389255375905705E-2</v>
      </c>
      <c r="BR7" s="13">
        <v>0.17399978625208101</v>
      </c>
      <c r="BS7" s="13"/>
      <c r="BT7" s="13">
        <v>5.8454583117626302E-2</v>
      </c>
      <c r="BU7" s="13"/>
      <c r="BV7" s="13">
        <v>5.8207120836519403E-2</v>
      </c>
      <c r="BW7" s="13"/>
      <c r="BX7" s="13">
        <v>1.93218112065523E-3</v>
      </c>
      <c r="BY7" s="13"/>
      <c r="BZ7" s="13">
        <v>2.1338184868860102E-2</v>
      </c>
      <c r="CA7" s="13">
        <v>0.14580755872286699</v>
      </c>
      <c r="CB7" s="13">
        <v>0.20296869839340301</v>
      </c>
      <c r="CC7" s="13">
        <v>0.15617340731214499</v>
      </c>
      <c r="CD7" s="13">
        <v>0.24946148182435801</v>
      </c>
      <c r="CE7" s="13"/>
      <c r="CF7" s="13">
        <v>0.22231848775771201</v>
      </c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</row>
    <row r="9" spans="1:97" x14ac:dyDescent="0.25">
      <c r="A9" s="1" t="s">
        <v>36</v>
      </c>
    </row>
    <row r="10" spans="1:97" x14ac:dyDescent="0.25">
      <c r="A10" t="s">
        <v>37</v>
      </c>
    </row>
    <row r="11" spans="1:97" x14ac:dyDescent="0.25">
      <c r="A11" t="s">
        <v>38</v>
      </c>
    </row>
    <row r="12" spans="1:97" x14ac:dyDescent="0.25">
      <c r="B12" t="s">
        <v>39</v>
      </c>
      <c r="C12">
        <v>26673.32</v>
      </c>
      <c r="D12">
        <v>527.19999999999993</v>
      </c>
      <c r="E12">
        <v>27.200000000000003</v>
      </c>
      <c r="F12">
        <v>5.5999999999999943</v>
      </c>
      <c r="G12">
        <v>4.7999999999999989</v>
      </c>
      <c r="H12">
        <v>146.4</v>
      </c>
      <c r="I12">
        <v>48</v>
      </c>
      <c r="J12">
        <v>48093.86</v>
      </c>
      <c r="K12">
        <v>32666.720000000001</v>
      </c>
      <c r="L12">
        <v>378923.2</v>
      </c>
      <c r="M12">
        <v>16</v>
      </c>
      <c r="N12">
        <v>69.600000000000009</v>
      </c>
      <c r="O12">
        <v>52.800000000000004</v>
      </c>
      <c r="P12" s="41">
        <v>47798.58</v>
      </c>
      <c r="Q12">
        <v>4.8000000000000007</v>
      </c>
      <c r="R12">
        <v>32702.040000000005</v>
      </c>
      <c r="S12">
        <v>56501.96</v>
      </c>
      <c r="T12">
        <v>62609.279999999999</v>
      </c>
      <c r="U12">
        <v>37987.380000000005</v>
      </c>
      <c r="V12">
        <v>102625.34</v>
      </c>
      <c r="W12">
        <v>5.6</v>
      </c>
      <c r="X12">
        <v>43574.239999999998</v>
      </c>
      <c r="Y12">
        <v>11.200000000000001</v>
      </c>
      <c r="Z12">
        <v>16</v>
      </c>
      <c r="AA12">
        <v>36.800000000000004</v>
      </c>
      <c r="AB12">
        <v>115.2</v>
      </c>
      <c r="AC12">
        <v>37.6</v>
      </c>
      <c r="AD12">
        <v>4604.04</v>
      </c>
      <c r="AE12">
        <v>261396.24000000005</v>
      </c>
      <c r="AF12">
        <v>4000.6400000000003</v>
      </c>
      <c r="AG12">
        <v>287486.71999999997</v>
      </c>
      <c r="AH12">
        <v>63842.8</v>
      </c>
      <c r="AI12">
        <v>70950.48</v>
      </c>
      <c r="AJ12">
        <v>139537</v>
      </c>
      <c r="AK12">
        <v>147273.44</v>
      </c>
      <c r="AL12">
        <v>174943.08</v>
      </c>
      <c r="AM12">
        <v>1748721.36</v>
      </c>
      <c r="AN12">
        <v>54426.44</v>
      </c>
      <c r="AO12">
        <v>4</v>
      </c>
      <c r="AP12">
        <v>4.7999999999999972</v>
      </c>
      <c r="AQ12">
        <v>3777.38</v>
      </c>
      <c r="AR12">
        <v>0</v>
      </c>
      <c r="AS12" s="41">
        <v>211563.3</v>
      </c>
      <c r="AT12">
        <v>0</v>
      </c>
      <c r="AU12" s="41">
        <v>159742.82000000004</v>
      </c>
      <c r="AV12">
        <v>18.399999999999999</v>
      </c>
      <c r="AW12">
        <v>0</v>
      </c>
      <c r="AX12">
        <v>0</v>
      </c>
      <c r="AY12">
        <v>0</v>
      </c>
      <c r="AZ12">
        <v>0</v>
      </c>
      <c r="BA12">
        <v>4</v>
      </c>
      <c r="BB12">
        <v>869.68000000000006</v>
      </c>
      <c r="BC12">
        <v>0</v>
      </c>
      <c r="BD12">
        <v>961.82000000000016</v>
      </c>
      <c r="BE12">
        <v>0.79999999999999893</v>
      </c>
      <c r="BF12">
        <v>23001.24</v>
      </c>
      <c r="BG12">
        <v>62511.279999999992</v>
      </c>
      <c r="BH12">
        <v>76423.62</v>
      </c>
      <c r="BI12">
        <v>109871.68000000001</v>
      </c>
      <c r="BJ12">
        <v>704422.12</v>
      </c>
      <c r="BK12">
        <v>917260.5</v>
      </c>
      <c r="BL12">
        <v>23.2</v>
      </c>
      <c r="BM12">
        <v>4</v>
      </c>
      <c r="BN12">
        <v>12</v>
      </c>
      <c r="BO12">
        <v>5.6</v>
      </c>
      <c r="BP12">
        <v>6.4</v>
      </c>
      <c r="BQ12">
        <v>1.6</v>
      </c>
      <c r="BR12">
        <v>9.6</v>
      </c>
      <c r="BS12">
        <v>22.4</v>
      </c>
      <c r="BT12" s="41">
        <v>0</v>
      </c>
      <c r="BU12">
        <v>14.4</v>
      </c>
      <c r="BV12" s="38">
        <v>16.8</v>
      </c>
      <c r="BW12">
        <v>524403.9</v>
      </c>
      <c r="BX12">
        <v>58.4</v>
      </c>
      <c r="BY12">
        <v>587401.1</v>
      </c>
      <c r="BZ12">
        <v>347.2</v>
      </c>
      <c r="CA12">
        <v>15639.4</v>
      </c>
      <c r="CB12">
        <v>488.8</v>
      </c>
      <c r="CC12">
        <v>32.800000000000004</v>
      </c>
      <c r="CD12">
        <v>4.8</v>
      </c>
      <c r="CE12">
        <v>12</v>
      </c>
      <c r="CF12">
        <v>4</v>
      </c>
      <c r="CG12">
        <v>2.4</v>
      </c>
      <c r="CH12">
        <v>853332.8</v>
      </c>
      <c r="CI12">
        <v>12.8</v>
      </c>
      <c r="CJ12">
        <v>50.4</v>
      </c>
      <c r="CK12">
        <v>6474.4599999999991</v>
      </c>
      <c r="CL12">
        <v>0</v>
      </c>
      <c r="CM12">
        <v>2.4</v>
      </c>
      <c r="CN12">
        <v>880688.18</v>
      </c>
      <c r="CO12">
        <v>10.4</v>
      </c>
      <c r="CP12">
        <v>0</v>
      </c>
      <c r="CQ12">
        <v>0</v>
      </c>
      <c r="CR12">
        <v>0</v>
      </c>
      <c r="CS12">
        <v>0.8</v>
      </c>
    </row>
    <row r="13" spans="1:97" s="1" customFormat="1" x14ac:dyDescent="0.25">
      <c r="A13" s="1">
        <v>11.48</v>
      </c>
      <c r="B13" s="1" t="s">
        <v>122</v>
      </c>
      <c r="C13" s="1">
        <f>(A13*C3)/(100*C12)</f>
        <v>1.2007954015473138E-4</v>
      </c>
      <c r="J13" s="1">
        <f>(A13*J5)/(100*J12)</f>
        <v>2.3077169095630132E-7</v>
      </c>
      <c r="K13" s="54">
        <f>(A13*K5)/(100*K12)</f>
        <v>2.4401241440376456E-7</v>
      </c>
      <c r="L13" s="45">
        <f>(A13*L5)/(100*L12)</f>
        <v>2.5101262067756468E-7</v>
      </c>
      <c r="P13" s="43">
        <f>(A13*P5)/(100*P12)</f>
        <v>3.4145608509708864E-7</v>
      </c>
      <c r="R13" s="1">
        <f>(11.48*0.0925)/R12</f>
        <v>3.2471980341287574E-5</v>
      </c>
      <c r="S13" s="1">
        <f>(11.48*0.1592)/S12</f>
        <v>3.2346063747169129E-5</v>
      </c>
      <c r="T13" s="1">
        <f>(11.48*0.1668)/T12</f>
        <v>3.0584347879419794E-5</v>
      </c>
      <c r="U13" s="1">
        <f>(11.48*0.0955)/U12</f>
        <v>2.8860637401157962E-5</v>
      </c>
      <c r="V13" s="1">
        <f>(11.48*0.2413)/V12</f>
        <v>2.6992592667658885E-5</v>
      </c>
      <c r="X13" s="1">
        <f>(11.48*0.0963)/X12</f>
        <v>2.5371044910938207E-5</v>
      </c>
      <c r="AD13" s="1">
        <f>(A13*0.0125)/AD12</f>
        <v>3.1168278294715083E-5</v>
      </c>
      <c r="AE13" s="1">
        <f>(11.48*0.51839)/AE12</f>
        <v>2.2766651884510655E-5</v>
      </c>
      <c r="AF13" s="1">
        <f>(A13*0.0089)/AF12</f>
        <v>2.5538913773796191E-5</v>
      </c>
      <c r="AG13" s="1">
        <f>(11.48*0.48161)/AG12</f>
        <v>1.9231785036887966E-5</v>
      </c>
      <c r="AH13" s="1">
        <f>(11.48*0.1249)/AH12</f>
        <v>2.2459102670935487E-5</v>
      </c>
      <c r="AI13" s="1">
        <f>(11.48*0.128)/AI12</f>
        <v>2.0710783070107492E-5</v>
      </c>
      <c r="AJ13" s="1">
        <f>(11.48*0.2413)/AJ12</f>
        <v>1.9852254240810681E-5</v>
      </c>
      <c r="AK13" s="54">
        <f>(20.61*0.0429)/(AK12-0.1222*11.48*(1/Response_Functions!B131))</f>
        <v>1.2039477105364975E-5</v>
      </c>
      <c r="AL13" s="1">
        <f>(11.48*0.2873)/AL12</f>
        <v>1.8853012076842368E-5</v>
      </c>
      <c r="AM13" s="1">
        <f>(20.61*0.9571)/AM12</f>
        <v>1.1280145282836826E-5</v>
      </c>
      <c r="AN13" s="1">
        <f>(11.48*0.0749)/AN12</f>
        <v>1.5798424442237999E-5</v>
      </c>
      <c r="AS13" s="43">
        <f>(11.48*0.5721)/AS12</f>
        <v>3.1043701814066999E-5</v>
      </c>
      <c r="AU13" s="43">
        <f>(11.48*0.4279)/AU12</f>
        <v>3.0751253796571254E-5</v>
      </c>
      <c r="BB13" s="1">
        <f>(11.48*0.00106)/BB12</f>
        <v>1.3992273019961364E-5</v>
      </c>
      <c r="BD13" s="1">
        <f>(11.48*0.00101)/BD12</f>
        <v>1.2055062277765068E-5</v>
      </c>
      <c r="BF13" s="1">
        <f>(0.02417*11.48)/BF12</f>
        <v>1.2063332237740226E-5</v>
      </c>
      <c r="BG13" s="1">
        <f>(11.48*0.06592)/BG12</f>
        <v>1.2106000708992044E-5</v>
      </c>
      <c r="BH13" s="1">
        <f>(11.48*0.07854)/BH12</f>
        <v>1.1797912739543089E-5</v>
      </c>
      <c r="BI13" s="1">
        <f>(11.48*0.11232)/BI12</f>
        <v>1.1735813996837039E-5</v>
      </c>
      <c r="BJ13" s="54">
        <f>(11.48*(0.71698+0.0009))/BJ12</f>
        <v>1.1699323695286571E-5</v>
      </c>
      <c r="BK13" s="1">
        <f>(11.48*0.9991)/BK12</f>
        <v>1.250426460095033E-5</v>
      </c>
      <c r="BT13" s="43"/>
      <c r="BV13" s="44"/>
      <c r="BW13" s="1">
        <f>(11.48*0.4781)/BW12</f>
        <v>1.0466337111527967E-5</v>
      </c>
      <c r="BY13" s="1">
        <f>(0.5219*11.48)/BY12</f>
        <v>1.0199865134743534E-5</v>
      </c>
      <c r="CJ13" s="1">
        <f>(11.48*(CJ3/100))/CJ12</f>
        <v>0</v>
      </c>
      <c r="CK13" s="1">
        <f>(11.48*0.0072)/CK12</f>
        <v>1.2766470099436867E-5</v>
      </c>
      <c r="CN13" s="1">
        <f>(0.992745*11.48)/CN12</f>
        <v>1.2940689859150829E-5</v>
      </c>
    </row>
    <row r="14" spans="1:97" x14ac:dyDescent="0.25">
      <c r="B14" t="s">
        <v>40</v>
      </c>
      <c r="C14">
        <v>11.200000000000003</v>
      </c>
      <c r="D14">
        <v>4591.26</v>
      </c>
      <c r="E14">
        <v>1157.6799999999998</v>
      </c>
      <c r="F14">
        <v>607.20000000000005</v>
      </c>
      <c r="G14">
        <v>404.8</v>
      </c>
      <c r="H14">
        <v>319.2</v>
      </c>
      <c r="I14">
        <v>228</v>
      </c>
      <c r="J14">
        <v>218.40000000000003</v>
      </c>
      <c r="K14">
        <v>328.8</v>
      </c>
      <c r="L14">
        <v>132.79999999999998</v>
      </c>
      <c r="M14">
        <v>352539.08000000007</v>
      </c>
      <c r="N14">
        <v>24.800000000000004</v>
      </c>
      <c r="O14">
        <v>0</v>
      </c>
      <c r="P14" s="41">
        <v>0</v>
      </c>
      <c r="Q14">
        <v>0</v>
      </c>
      <c r="R14">
        <v>11.200000000000001</v>
      </c>
      <c r="S14">
        <v>1.5999999999999996</v>
      </c>
      <c r="T14">
        <v>7.1999999999999993</v>
      </c>
      <c r="U14">
        <v>3.2</v>
      </c>
      <c r="V14">
        <v>0</v>
      </c>
      <c r="W14">
        <v>0</v>
      </c>
      <c r="X14">
        <v>10.400000000000002</v>
      </c>
      <c r="Y14">
        <v>0</v>
      </c>
      <c r="Z14">
        <v>0.80000000000000027</v>
      </c>
      <c r="AA14">
        <v>0.79999999999999982</v>
      </c>
      <c r="AB14">
        <v>0</v>
      </c>
      <c r="AC14">
        <v>2861.12</v>
      </c>
      <c r="AD14">
        <v>254.39999999999998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</v>
      </c>
      <c r="AM14">
        <v>0</v>
      </c>
      <c r="AN14">
        <v>6596.1600000000008</v>
      </c>
      <c r="AO14">
        <v>0</v>
      </c>
      <c r="AP14">
        <v>0</v>
      </c>
      <c r="AQ14">
        <v>3.1999999999999993</v>
      </c>
      <c r="AR14">
        <v>0</v>
      </c>
      <c r="AS14" s="41">
        <v>0</v>
      </c>
      <c r="AT14">
        <v>16</v>
      </c>
      <c r="AU14" s="41">
        <v>0</v>
      </c>
      <c r="AV14">
        <v>16.799999999999997</v>
      </c>
      <c r="AW14">
        <v>10.4</v>
      </c>
      <c r="AX14">
        <v>21.599999999999998</v>
      </c>
      <c r="AY14">
        <v>0</v>
      </c>
      <c r="AZ14">
        <v>49.599999999999994</v>
      </c>
      <c r="BA14">
        <v>0</v>
      </c>
      <c r="BB14">
        <v>28</v>
      </c>
      <c r="BC14">
        <v>0</v>
      </c>
      <c r="BD14">
        <v>70.399999999999636</v>
      </c>
      <c r="BE14">
        <v>1.6000000000000014</v>
      </c>
      <c r="BF14">
        <v>0</v>
      </c>
      <c r="BG14">
        <v>0</v>
      </c>
      <c r="BH14">
        <v>1681.8400000000001</v>
      </c>
      <c r="BI14">
        <v>3.2000000000000011</v>
      </c>
      <c r="BJ14">
        <v>2817.1</v>
      </c>
      <c r="BK14">
        <v>806217.68</v>
      </c>
      <c r="BL14">
        <v>760603.04</v>
      </c>
      <c r="BM14">
        <v>948414.91999999993</v>
      </c>
      <c r="BN14" s="38">
        <v>347353.12</v>
      </c>
      <c r="BO14" s="38">
        <v>114426.68000000001</v>
      </c>
      <c r="BP14" s="38">
        <v>252207.22000000003</v>
      </c>
      <c r="BQ14" s="38">
        <v>78394.700000000012</v>
      </c>
      <c r="BR14" s="38">
        <v>163425.32</v>
      </c>
      <c r="BS14" s="38">
        <v>140336.30000000005</v>
      </c>
      <c r="BT14" s="41">
        <v>159080.56</v>
      </c>
      <c r="BU14" s="38">
        <v>126859.44000000002</v>
      </c>
      <c r="BV14" s="38">
        <v>123524.21999999999</v>
      </c>
      <c r="BW14" s="38">
        <v>447763.36</v>
      </c>
      <c r="BX14" s="38">
        <v>254124.3</v>
      </c>
      <c r="BY14" s="38">
        <v>504912.9</v>
      </c>
      <c r="BZ14" s="38">
        <v>236974.63999999998</v>
      </c>
      <c r="CA14">
        <v>140008.74</v>
      </c>
      <c r="CB14">
        <v>189949.32</v>
      </c>
      <c r="CC14">
        <v>151473.62</v>
      </c>
      <c r="CD14">
        <v>226117.55999999997</v>
      </c>
      <c r="CE14">
        <v>982501.22</v>
      </c>
      <c r="CF14">
        <v>224639.72000000003</v>
      </c>
      <c r="CG14">
        <v>3.2</v>
      </c>
      <c r="CH14">
        <v>738229.70000000007</v>
      </c>
      <c r="CI14">
        <v>10.4</v>
      </c>
      <c r="CJ14">
        <v>0</v>
      </c>
      <c r="CK14">
        <v>2.4</v>
      </c>
      <c r="CL14">
        <v>0</v>
      </c>
      <c r="CM14">
        <v>0</v>
      </c>
      <c r="CN14">
        <v>935.22</v>
      </c>
      <c r="CO14">
        <v>596.79999999999995</v>
      </c>
      <c r="CP14">
        <v>55.199999999999996</v>
      </c>
      <c r="CQ14">
        <v>29.6</v>
      </c>
      <c r="CR14">
        <v>0.8</v>
      </c>
      <c r="CS14">
        <v>0.8</v>
      </c>
    </row>
    <row r="15" spans="1:97" s="1" customFormat="1" x14ac:dyDescent="0.25">
      <c r="A15" s="1">
        <v>10.19</v>
      </c>
      <c r="B15" s="1" t="s">
        <v>122</v>
      </c>
      <c r="M15" s="1">
        <f>(A15)/(M14)</f>
        <v>2.8904596903129144E-5</v>
      </c>
      <c r="P15" s="43"/>
      <c r="AS15" s="43"/>
      <c r="AU15" s="43"/>
      <c r="BH15" s="1">
        <f>(10.19*0.00185)/BH14</f>
        <v>1.1208854587832373E-5</v>
      </c>
      <c r="BJ15" s="1">
        <f>(10.19*0.00251)/(BJ14-A15*0.0009*(1/Response_Functions!F227))</f>
        <v>1.2232773432395395E-5</v>
      </c>
      <c r="BK15" s="1">
        <f>(0.9991*10.19)/BK14</f>
        <v>1.2627891018217312E-5</v>
      </c>
      <c r="BL15" s="1">
        <f>(10.19*0.8845)/BL14</f>
        <v>1.184988032653669E-5</v>
      </c>
      <c r="BM15" s="1">
        <f>(10.19)/BM14</f>
        <v>1.0744242614825166E-5</v>
      </c>
      <c r="BN15" s="44">
        <f>(10.19*0.11114)/(BN14-10.19*0.272*(1/Response_Functions!B270))</f>
        <v>1.2612255172433165E-5</v>
      </c>
      <c r="BO15" s="44">
        <f>(10.19*0.122)/BO14</f>
        <v>1.0864424275876918E-5</v>
      </c>
      <c r="BP15" s="44">
        <f>(10.19*0.0307)/(BP14-0.238*10.19*(1/Response_Functions!B272))</f>
        <v>1.1401329458561686E-5</v>
      </c>
      <c r="BQ15" s="44">
        <f>(10.19*0.083)/BQ14</f>
        <v>1.0788611985249001E-5</v>
      </c>
      <c r="BR15" s="44">
        <f>(10.19*0.172)/BR14</f>
        <v>1.072465392755541E-5</v>
      </c>
      <c r="BS15" s="44">
        <f>(10.19*0.1499)/BS14</f>
        <v>1.0884432609381889E-5</v>
      </c>
      <c r="BT15" s="43">
        <f>(10.19*0.1124)/(BT14-0.057*10.19*(1/Response_Functions!B275))</f>
        <v>1.0852947097136152E-5</v>
      </c>
      <c r="BU15" s="44">
        <f>(10.19*0.1382)/BU14</f>
        <v>1.1100931866008549E-5</v>
      </c>
      <c r="BV15" s="44">
        <f>(10.19*0.0738)/(BV14-10.19*0.056*(1/Response_Functions!B276))</f>
        <v>1.058335518201789E-5</v>
      </c>
      <c r="BW15" s="44">
        <f>(10.19*0.4781)/BW14</f>
        <v>1.0880387801270742E-5</v>
      </c>
      <c r="BX15" s="44">
        <f>(10.19*0.002)/(BX14-0.2675*10.19*(1/Response_Functions!B297))</f>
        <v>4.5104621795062644E-6</v>
      </c>
      <c r="BY15" s="44">
        <f>(10.19*0.5219)/BY14</f>
        <v>1.0532828533396552E-5</v>
      </c>
      <c r="BZ15" s="44">
        <f>(10.19*0.0218)/(BZ14-10.19*0.22758*(1/Response_Functions!B298))</f>
        <v>8.6625788750732654E-6</v>
      </c>
      <c r="CA15" s="1">
        <f>(10.19*0.148)/CA14</f>
        <v>1.0771613257858045E-5</v>
      </c>
      <c r="CB15" s="1">
        <f>(10.19*0.2047+10.19*0.0006)/CB14</f>
        <v>1.1013500864335813E-5</v>
      </c>
      <c r="CC15" s="1">
        <f>(10.19*0.1565)/CC14</f>
        <v>1.0528136846534731E-5</v>
      </c>
      <c r="CD15" s="1">
        <f>(10.19*(0.2484+0.001))/CD14</f>
        <v>1.1239224410523449E-5</v>
      </c>
      <c r="CF15" s="1">
        <f>(10.19*0.0234)/(CF14-0.2186*10.198*(1/Response_Functions!B330))</f>
        <v>7.0736300617396258E-6</v>
      </c>
    </row>
    <row r="16" spans="1:97" x14ac:dyDescent="0.25">
      <c r="B16" t="s">
        <v>41</v>
      </c>
      <c r="C16">
        <v>186.4</v>
      </c>
      <c r="D16">
        <v>56.8</v>
      </c>
      <c r="E16">
        <v>21024.9</v>
      </c>
      <c r="F16">
        <v>151.20000000000002</v>
      </c>
      <c r="G16">
        <v>10.399999999999999</v>
      </c>
      <c r="H16">
        <v>4.8000000000000007</v>
      </c>
      <c r="I16">
        <v>70270.680000000008</v>
      </c>
      <c r="J16">
        <v>37968.42</v>
      </c>
      <c r="K16">
        <v>52704.639999999999</v>
      </c>
      <c r="L16">
        <v>320513.22000000003</v>
      </c>
      <c r="M16">
        <v>45140.819999999992</v>
      </c>
      <c r="N16">
        <v>33.599999999999994</v>
      </c>
      <c r="O16">
        <v>2.4000000000000004</v>
      </c>
      <c r="P16" s="41">
        <v>6.4000000000000021</v>
      </c>
      <c r="Q16">
        <v>0</v>
      </c>
      <c r="R16">
        <v>10.399999999999999</v>
      </c>
      <c r="S16">
        <v>28</v>
      </c>
      <c r="T16">
        <v>31.2</v>
      </c>
      <c r="U16">
        <v>5.6</v>
      </c>
      <c r="V16">
        <v>8</v>
      </c>
      <c r="W16">
        <v>0</v>
      </c>
      <c r="X16">
        <v>3.2</v>
      </c>
      <c r="Y16">
        <v>0</v>
      </c>
      <c r="Z16">
        <v>4.8000000000000007</v>
      </c>
      <c r="AA16">
        <v>14.399999999999999</v>
      </c>
      <c r="AB16">
        <v>69.599999999999994</v>
      </c>
      <c r="AC16">
        <v>497.59999999999997</v>
      </c>
      <c r="AD16">
        <v>54.4</v>
      </c>
      <c r="AE16">
        <v>0</v>
      </c>
      <c r="AF16">
        <v>2.4000000000000004</v>
      </c>
      <c r="AG16">
        <v>0</v>
      </c>
      <c r="AH16">
        <v>15.200000000000001</v>
      </c>
      <c r="AI16">
        <v>19.2</v>
      </c>
      <c r="AJ16">
        <v>28</v>
      </c>
      <c r="AK16">
        <v>17.599999999999998</v>
      </c>
      <c r="AL16">
        <v>38.4</v>
      </c>
      <c r="AM16">
        <v>0.79999999999999893</v>
      </c>
      <c r="AN16">
        <v>2.3999999999999986</v>
      </c>
      <c r="AO16">
        <v>3.1999999999999993</v>
      </c>
      <c r="AP16">
        <v>0</v>
      </c>
      <c r="AQ16">
        <v>11.200000000000003</v>
      </c>
      <c r="AR16">
        <v>2.4000000000000057</v>
      </c>
      <c r="AS16" s="41">
        <v>28.000000000000004</v>
      </c>
      <c r="AT16">
        <v>0</v>
      </c>
      <c r="AU16" s="41">
        <v>19.2</v>
      </c>
      <c r="AV16">
        <v>3.2000000000000028</v>
      </c>
      <c r="AW16">
        <v>2.4000000000000004</v>
      </c>
      <c r="AX16">
        <v>9.6000000000000014</v>
      </c>
      <c r="AY16">
        <v>5644.1399999999994</v>
      </c>
      <c r="AZ16">
        <v>0</v>
      </c>
      <c r="BA16">
        <v>98.400000000000091</v>
      </c>
      <c r="BB16">
        <v>732.81999999999994</v>
      </c>
      <c r="BC16">
        <v>0</v>
      </c>
      <c r="BD16">
        <v>672.15999999999985</v>
      </c>
      <c r="BE16" s="38">
        <v>84528.180000000008</v>
      </c>
      <c r="BF16">
        <v>17644.940000000002</v>
      </c>
      <c r="BG16">
        <v>47804.899999999994</v>
      </c>
      <c r="BH16">
        <v>57310.820000000007</v>
      </c>
      <c r="BI16" s="38">
        <v>82478.560000000012</v>
      </c>
      <c r="BJ16">
        <v>528474.30000000005</v>
      </c>
      <c r="BK16">
        <v>40</v>
      </c>
      <c r="BL16">
        <v>68.800000000000011</v>
      </c>
      <c r="BM16">
        <v>14.4</v>
      </c>
      <c r="BN16">
        <v>23.2</v>
      </c>
      <c r="BO16">
        <v>8.7999999999999989</v>
      </c>
      <c r="BP16">
        <v>6.4</v>
      </c>
      <c r="BQ16">
        <v>2.4000000000000004</v>
      </c>
      <c r="BR16">
        <v>5.6</v>
      </c>
      <c r="BS16">
        <v>0</v>
      </c>
      <c r="BT16" s="41">
        <v>6.4</v>
      </c>
      <c r="BU16">
        <v>0</v>
      </c>
      <c r="BV16" s="38">
        <v>9.6</v>
      </c>
      <c r="BW16">
        <v>27.2</v>
      </c>
      <c r="BX16">
        <v>52.8</v>
      </c>
      <c r="BY16">
        <v>64.8</v>
      </c>
      <c r="BZ16">
        <v>280</v>
      </c>
      <c r="CA16">
        <v>262.39999999999998</v>
      </c>
      <c r="CB16">
        <v>3.2</v>
      </c>
      <c r="CC16">
        <v>2.4</v>
      </c>
      <c r="CD16">
        <v>4</v>
      </c>
      <c r="CE16">
        <v>2.4000000000000004</v>
      </c>
      <c r="CF16">
        <v>1.5999999999999999</v>
      </c>
      <c r="CG16">
        <v>0</v>
      </c>
      <c r="CH16">
        <v>0</v>
      </c>
      <c r="CI16">
        <v>0</v>
      </c>
      <c r="CJ16">
        <v>0.8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 s="1" customFormat="1" x14ac:dyDescent="0.25">
      <c r="B17" s="1" t="s">
        <v>122</v>
      </c>
      <c r="I17" s="1">
        <f>(2.130603*0.7217)/(I16)</f>
        <v>2.1881902738097876E-5</v>
      </c>
      <c r="J17" s="1">
        <f>(8.521312*0.0986)/(J16)</f>
        <v>2.2128952513694274E-5</v>
      </c>
      <c r="K17" s="1" t="e">
        <f>(8.521312*0.07)/(K16-2.130603*0.2783*(1/Response_Functions!B21))</f>
        <v>#DIV/0!</v>
      </c>
      <c r="L17" s="1">
        <f>(8.521312*L5)/(L16*100)</f>
        <v>2.2027508918269181E-7</v>
      </c>
      <c r="M17" s="1">
        <f>(1.059493)/M16</f>
        <v>2.3470840804398328E-5</v>
      </c>
      <c r="P17" s="43"/>
      <c r="AS17" s="43"/>
      <c r="AU17" s="43"/>
      <c r="BB17" s="1">
        <f>(8.515972*0.00106)/BB16</f>
        <v>1.2318073087524905E-5</v>
      </c>
      <c r="BD17" s="1">
        <f>(0.00101*8.515972)/BD16</f>
        <v>1.2796256427041184E-5</v>
      </c>
      <c r="BE17" s="44">
        <f>(1.058417)/BE16</f>
        <v>1.2521469171582777E-5</v>
      </c>
      <c r="BF17" s="1">
        <f>(8.515972*0.02417)/BF16</f>
        <v>1.1665159713776299E-5</v>
      </c>
      <c r="BG17" s="1">
        <f>(0.06592*8.515972)/BG16</f>
        <v>1.1742998609765946E-5</v>
      </c>
      <c r="BH17" s="1">
        <f>(8.515972*0.07854)/BH16</f>
        <v>1.167047410733261E-5</v>
      </c>
      <c r="BI17" s="44">
        <f>(8.515972*0.11232)/BI16</f>
        <v>1.159712263453678E-5</v>
      </c>
      <c r="BJ17" s="1">
        <f>(8.515972*0.71698)/BJ16</f>
        <v>1.1553601763718688E-5</v>
      </c>
      <c r="BT17" s="43"/>
      <c r="BV17" s="44"/>
    </row>
    <row r="18" spans="1:97" x14ac:dyDescent="0.25">
      <c r="B18" t="s">
        <v>42</v>
      </c>
      <c r="C18">
        <v>2631.5</v>
      </c>
      <c r="D18">
        <v>0</v>
      </c>
      <c r="E18">
        <v>0</v>
      </c>
      <c r="F18">
        <v>0</v>
      </c>
      <c r="G18">
        <v>4.8000000000000007</v>
      </c>
      <c r="H18">
        <v>0</v>
      </c>
      <c r="I18">
        <v>10.400000000000002</v>
      </c>
      <c r="J18">
        <v>0</v>
      </c>
      <c r="K18">
        <v>9.6</v>
      </c>
      <c r="L18" t="s">
        <v>123</v>
      </c>
      <c r="M18">
        <v>29.6</v>
      </c>
      <c r="N18">
        <v>194.4</v>
      </c>
      <c r="O18">
        <v>41.6</v>
      </c>
      <c r="P18" s="41">
        <v>79.2</v>
      </c>
      <c r="Q18">
        <v>2.3999999999999995</v>
      </c>
      <c r="R18">
        <v>77.600000000000009</v>
      </c>
      <c r="S18">
        <v>16.8</v>
      </c>
      <c r="T18">
        <v>11.199999999999996</v>
      </c>
      <c r="U18">
        <v>4.8000000000000007</v>
      </c>
      <c r="V18">
        <v>14.400000000000002</v>
      </c>
      <c r="W18">
        <v>0</v>
      </c>
      <c r="X18">
        <v>5.6</v>
      </c>
      <c r="Y18">
        <v>2.4000000000000004</v>
      </c>
      <c r="Z18">
        <v>0</v>
      </c>
      <c r="AA18">
        <v>3.1999999999999997</v>
      </c>
      <c r="AB18">
        <v>3.2</v>
      </c>
      <c r="AC18">
        <v>2.3999999999999995</v>
      </c>
      <c r="AD18">
        <v>0</v>
      </c>
      <c r="AE18">
        <v>1.5999999999999996</v>
      </c>
      <c r="AF18">
        <v>0</v>
      </c>
      <c r="AG18">
        <v>13.6</v>
      </c>
      <c r="AH18">
        <v>0.79999999999999982</v>
      </c>
      <c r="AI18">
        <v>3.2</v>
      </c>
      <c r="AJ18">
        <v>10.4</v>
      </c>
      <c r="AK18">
        <v>0</v>
      </c>
      <c r="AL18">
        <v>6.4</v>
      </c>
      <c r="AM18">
        <v>0</v>
      </c>
      <c r="AN18">
        <v>37.599999999999994</v>
      </c>
      <c r="AO18">
        <v>21.6</v>
      </c>
      <c r="AP18">
        <v>54.399999999999991</v>
      </c>
      <c r="AQ18">
        <v>15.199999999999996</v>
      </c>
      <c r="AR18">
        <v>96.799999999999983</v>
      </c>
      <c r="AS18" s="41">
        <v>7.1999999999999993</v>
      </c>
      <c r="AT18">
        <v>3.1999999999999993</v>
      </c>
      <c r="AU18" s="41">
        <v>3.1999999999999993</v>
      </c>
      <c r="AV18">
        <v>8</v>
      </c>
      <c r="AW18">
        <v>0</v>
      </c>
      <c r="AX18">
        <v>2.3999999999999986</v>
      </c>
      <c r="AY18">
        <v>0</v>
      </c>
      <c r="AZ18">
        <v>0</v>
      </c>
      <c r="BA18">
        <v>134.39999999999964</v>
      </c>
      <c r="BB18">
        <v>8.7999999999999545</v>
      </c>
      <c r="BC18">
        <v>180.8599999999999</v>
      </c>
      <c r="BD18">
        <v>190.39999999999964</v>
      </c>
      <c r="BE18">
        <v>3.2000000000000028</v>
      </c>
      <c r="BF18">
        <v>108.82000000000005</v>
      </c>
      <c r="BG18">
        <v>29.6</v>
      </c>
      <c r="BH18">
        <v>107.20000000000005</v>
      </c>
      <c r="BI18">
        <v>48</v>
      </c>
      <c r="BJ18">
        <v>295.2</v>
      </c>
      <c r="BK18">
        <v>32.799999999999997</v>
      </c>
      <c r="BL18">
        <v>44</v>
      </c>
      <c r="BM18">
        <v>15.2</v>
      </c>
      <c r="BN18">
        <v>10.4</v>
      </c>
      <c r="BO18">
        <v>4</v>
      </c>
      <c r="BP18">
        <v>7.2</v>
      </c>
      <c r="BQ18">
        <v>4</v>
      </c>
      <c r="BR18">
        <v>8</v>
      </c>
      <c r="BS18">
        <v>0</v>
      </c>
      <c r="BT18" s="41">
        <v>2.4</v>
      </c>
      <c r="BU18">
        <v>2.4000000000000004</v>
      </c>
      <c r="BV18" s="38">
        <v>0</v>
      </c>
      <c r="BW18">
        <v>0</v>
      </c>
      <c r="BX18">
        <v>0</v>
      </c>
      <c r="BY18">
        <v>0</v>
      </c>
      <c r="BZ18">
        <v>0.8</v>
      </c>
      <c r="CA18">
        <v>2.4</v>
      </c>
      <c r="CB18">
        <v>0</v>
      </c>
      <c r="CC18">
        <v>1.6</v>
      </c>
      <c r="CD18">
        <v>0</v>
      </c>
      <c r="CE18">
        <v>1.6</v>
      </c>
      <c r="CF18">
        <v>1.6</v>
      </c>
      <c r="CG18">
        <v>0</v>
      </c>
      <c r="CH18">
        <v>4.8000000000000007</v>
      </c>
      <c r="CI18">
        <v>0</v>
      </c>
      <c r="CJ18">
        <v>4</v>
      </c>
      <c r="CK18">
        <v>534.4</v>
      </c>
      <c r="CL18">
        <v>49.6</v>
      </c>
      <c r="CM18">
        <v>3.2</v>
      </c>
      <c r="CN18">
        <v>54.4</v>
      </c>
      <c r="CO18">
        <v>478123.77999999997</v>
      </c>
      <c r="CP18">
        <v>10036</v>
      </c>
      <c r="CQ18">
        <v>29.6</v>
      </c>
      <c r="CR18">
        <v>5.6</v>
      </c>
      <c r="CS18">
        <v>0</v>
      </c>
    </row>
    <row r="19" spans="1:97" s="1" customFormat="1" x14ac:dyDescent="0.25">
      <c r="B19" s="1" t="s">
        <v>122</v>
      </c>
      <c r="P19" s="43"/>
      <c r="AS19" s="43"/>
      <c r="AU19" s="43"/>
      <c r="BT19" s="43"/>
      <c r="BV19" s="44"/>
      <c r="CO19" s="1">
        <f>(6.054985)/CO18</f>
        <v>1.2664053229061313E-5</v>
      </c>
      <c r="CP19" s="1">
        <f>0.127462/CP18</f>
        <v>1.2700478278198484E-5</v>
      </c>
      <c r="CQ19" s="1">
        <f>0.000235111/CQ18</f>
        <v>7.9429391891891894E-6</v>
      </c>
      <c r="CR19" s="1">
        <f>0.0000629/CR18</f>
        <v>1.1232142857142857E-5</v>
      </c>
    </row>
    <row r="20" spans="1:97" x14ac:dyDescent="0.25">
      <c r="B20" t="s">
        <v>43</v>
      </c>
      <c r="C20">
        <v>60.799999999999983</v>
      </c>
      <c r="D20">
        <v>27440.800000000003</v>
      </c>
      <c r="E20">
        <v>2.4000000000000004</v>
      </c>
      <c r="F20">
        <v>37276.46</v>
      </c>
      <c r="G20">
        <v>10402.760000000002</v>
      </c>
      <c r="H20">
        <v>50337.34</v>
      </c>
      <c r="I20">
        <v>0</v>
      </c>
      <c r="J20">
        <v>8</v>
      </c>
      <c r="K20">
        <v>12</v>
      </c>
      <c r="L20">
        <v>3.1999999999999993</v>
      </c>
      <c r="M20">
        <v>7.1999999999999993</v>
      </c>
      <c r="N20">
        <v>182991.22</v>
      </c>
      <c r="O20">
        <v>40953.440000000002</v>
      </c>
      <c r="P20" s="41">
        <v>110912.70000000001</v>
      </c>
      <c r="Q20">
        <v>315751.40000000002</v>
      </c>
      <c r="R20">
        <v>100270.34000000001</v>
      </c>
      <c r="S20">
        <v>54638.559999999998</v>
      </c>
      <c r="T20">
        <v>72130.939999999988</v>
      </c>
      <c r="U20">
        <v>35990.18</v>
      </c>
      <c r="V20">
        <v>93908.34</v>
      </c>
      <c r="W20">
        <v>0</v>
      </c>
      <c r="X20">
        <v>41423.019999999997</v>
      </c>
      <c r="Y20">
        <v>0</v>
      </c>
      <c r="Z20">
        <v>0</v>
      </c>
      <c r="AA20">
        <v>0</v>
      </c>
      <c r="AB20">
        <v>0</v>
      </c>
      <c r="AC20">
        <v>2.4</v>
      </c>
      <c r="AD20">
        <v>3914.2</v>
      </c>
      <c r="AE20">
        <v>1044.8</v>
      </c>
      <c r="AF20">
        <v>1597.7</v>
      </c>
      <c r="AG20">
        <v>4628.88</v>
      </c>
      <c r="AH20">
        <v>1835.32</v>
      </c>
      <c r="AI20">
        <v>179.2</v>
      </c>
      <c r="AJ20">
        <v>424</v>
      </c>
      <c r="AK20">
        <v>100</v>
      </c>
      <c r="AL20">
        <v>206.4</v>
      </c>
      <c r="AM20">
        <v>4.8</v>
      </c>
      <c r="AN20">
        <v>115.2</v>
      </c>
      <c r="AO20">
        <v>3.1999999999999993</v>
      </c>
      <c r="AP20">
        <v>0</v>
      </c>
      <c r="AQ20">
        <v>0</v>
      </c>
      <c r="AR20">
        <v>0</v>
      </c>
      <c r="AS20" s="41">
        <v>9.5999999999999979</v>
      </c>
      <c r="AT20">
        <v>0.80000000000000071</v>
      </c>
      <c r="AU20" s="41">
        <v>7.1999999999999993</v>
      </c>
      <c r="AV20">
        <v>5.6000000000000014</v>
      </c>
      <c r="AW20">
        <v>12.799999999999999</v>
      </c>
      <c r="AX20">
        <v>0</v>
      </c>
      <c r="AY20">
        <v>0</v>
      </c>
      <c r="AZ20">
        <v>0</v>
      </c>
      <c r="BA20">
        <v>0.8000000000001819</v>
      </c>
      <c r="BB20">
        <v>0</v>
      </c>
      <c r="BC20">
        <v>249.63999999999965</v>
      </c>
      <c r="BD20">
        <v>80.840000000000146</v>
      </c>
      <c r="BE20">
        <v>15.200000000000003</v>
      </c>
      <c r="BF20">
        <v>76</v>
      </c>
      <c r="BG20">
        <v>1.6</v>
      </c>
      <c r="BH20">
        <v>36</v>
      </c>
      <c r="BI20">
        <v>0.79999999999999982</v>
      </c>
      <c r="BJ20">
        <v>0</v>
      </c>
      <c r="BK20">
        <v>3.2</v>
      </c>
      <c r="BL20">
        <v>16.8</v>
      </c>
      <c r="BM20">
        <v>0</v>
      </c>
      <c r="BN20">
        <v>5.6000000000000005</v>
      </c>
      <c r="BO20">
        <v>2.4</v>
      </c>
      <c r="BP20">
        <v>0</v>
      </c>
      <c r="BQ20">
        <v>0</v>
      </c>
      <c r="BR20">
        <v>0</v>
      </c>
      <c r="BS20">
        <v>1.6</v>
      </c>
      <c r="BT20" s="41">
        <v>3.9999999999999996</v>
      </c>
      <c r="BU20">
        <v>5.6</v>
      </c>
      <c r="BV20" s="38">
        <v>3.2</v>
      </c>
      <c r="BW20">
        <v>0</v>
      </c>
      <c r="BX20">
        <v>1.5999999999999999</v>
      </c>
      <c r="BY20">
        <v>0.8</v>
      </c>
      <c r="BZ20">
        <v>1.5999999999999999</v>
      </c>
      <c r="CA20">
        <v>0</v>
      </c>
      <c r="CB20">
        <v>0</v>
      </c>
      <c r="CC20">
        <v>0.8</v>
      </c>
      <c r="CD20">
        <v>0.8</v>
      </c>
      <c r="CE20">
        <v>0</v>
      </c>
      <c r="CF20">
        <v>0</v>
      </c>
      <c r="CG20">
        <v>0</v>
      </c>
      <c r="CH20">
        <v>39.200000000000003</v>
      </c>
      <c r="CI20">
        <v>0</v>
      </c>
      <c r="CJ20">
        <v>0</v>
      </c>
      <c r="CK20">
        <v>1.6</v>
      </c>
      <c r="CL20">
        <v>0</v>
      </c>
      <c r="CM20">
        <v>0</v>
      </c>
      <c r="CN20">
        <v>0</v>
      </c>
      <c r="CO20">
        <v>15.2</v>
      </c>
      <c r="CP20">
        <v>0</v>
      </c>
      <c r="CQ20">
        <v>0.8</v>
      </c>
      <c r="CR20">
        <v>0</v>
      </c>
      <c r="CS20">
        <v>0</v>
      </c>
    </row>
    <row r="21" spans="1:97" s="1" customFormat="1" x14ac:dyDescent="0.25">
      <c r="A21" s="1">
        <v>9.6</v>
      </c>
      <c r="B21" s="1" t="s">
        <v>122</v>
      </c>
      <c r="F21" s="1">
        <f>(9.6*F5)/(F20*100)</f>
        <v>7.0925189784652284E-5</v>
      </c>
      <c r="G21" s="1">
        <f>(A21*G5)/(100*G20)</f>
        <v>7.133491496487469E-5</v>
      </c>
      <c r="N21" s="45">
        <f>(A21*N3)/(100*N20)</f>
        <v>2.6601145125979264E-7</v>
      </c>
      <c r="O21" s="1">
        <f>(A21*O3)/(100*O20)</f>
        <v>2.6209666391883076E-7</v>
      </c>
      <c r="P21" s="43">
        <f>(A21*(P5/100))/(P20-(P3/100)*(1/Response_Functions!B40)*A21)</f>
        <v>1.2378212906272703E-7</v>
      </c>
      <c r="Q21" s="1">
        <f>(A21*Q3)/(100*Q20)</f>
        <v>3.0403665668624111E-5</v>
      </c>
      <c r="R21" s="1">
        <f>(A21*(R5/100))/(R20-(R3/100)*(1/Response_Functions!B41)*A21)</f>
        <v>8.7296680199508137E-8</v>
      </c>
      <c r="S21" s="1">
        <f>(A21*S5)/(100*S20)</f>
        <v>2.7672764435958782E-7</v>
      </c>
      <c r="T21" s="1">
        <f>(A21*(T5/100))/(T20-A21*(T3/100)*((1/Response_Functions!B42)))</f>
        <v>2.2230619129761052E-7</v>
      </c>
      <c r="U21" s="1">
        <f>(A21*U5)/(U20*100)</f>
        <v>2.5732352547278172E-7</v>
      </c>
      <c r="V21" s="1">
        <f>(A21*V5)/(100*V20)</f>
        <v>2.5175527541004339E-7</v>
      </c>
      <c r="X21" s="1">
        <f>(A21*X5)/(100*X20)</f>
        <v>2.3242728318698156E-7</v>
      </c>
      <c r="AS21" s="43"/>
      <c r="AU21" s="43"/>
      <c r="BT21" s="43"/>
      <c r="BV21" s="44"/>
    </row>
    <row r="22" spans="1:97" s="41" customFormat="1" x14ac:dyDescent="0.25">
      <c r="B22" s="41" t="s">
        <v>44</v>
      </c>
      <c r="C22" s="41">
        <v>0</v>
      </c>
      <c r="D22" s="41">
        <v>6.4000000000000057</v>
      </c>
      <c r="E22" s="41">
        <v>2.4000000000000004</v>
      </c>
      <c r="F22" s="41">
        <v>0</v>
      </c>
      <c r="G22" s="41">
        <v>2.3999999999999986</v>
      </c>
      <c r="H22" s="41">
        <v>1.6000000000000014</v>
      </c>
      <c r="I22" s="41">
        <v>0</v>
      </c>
      <c r="J22" s="41">
        <v>0</v>
      </c>
      <c r="K22" s="41">
        <v>7.1999999999999993</v>
      </c>
      <c r="L22" s="41">
        <v>4</v>
      </c>
      <c r="M22" s="41">
        <v>20</v>
      </c>
      <c r="N22" s="41">
        <v>2266.6</v>
      </c>
      <c r="O22" s="41">
        <v>464</v>
      </c>
      <c r="P22" s="41">
        <v>821.6</v>
      </c>
      <c r="Q22" s="41">
        <v>291.2</v>
      </c>
      <c r="R22" s="41">
        <v>840</v>
      </c>
      <c r="S22" s="41">
        <v>35.200000000000003</v>
      </c>
      <c r="T22" s="41">
        <v>18800.599999999999</v>
      </c>
      <c r="U22" s="41">
        <v>31.200000000000003</v>
      </c>
      <c r="V22" s="41">
        <v>6981.16</v>
      </c>
      <c r="W22" s="41">
        <v>48745.340000000004</v>
      </c>
      <c r="X22" s="41">
        <v>51835.44</v>
      </c>
      <c r="Y22" s="41">
        <v>74548.180000000008</v>
      </c>
      <c r="Z22" s="41">
        <v>150719.68000000002</v>
      </c>
      <c r="AA22" s="41">
        <v>459051.68</v>
      </c>
      <c r="AB22" s="41">
        <v>138731.80000000002</v>
      </c>
      <c r="AC22" s="41">
        <v>95459.3</v>
      </c>
      <c r="AD22" s="41">
        <v>121285.26</v>
      </c>
      <c r="AE22" s="41">
        <v>80.8</v>
      </c>
      <c r="AF22" s="41">
        <v>144182.1</v>
      </c>
      <c r="AG22" s="41">
        <v>74.400000000000006</v>
      </c>
      <c r="AH22" s="41">
        <v>73145.600000000006</v>
      </c>
      <c r="AI22" s="41">
        <v>1.5999999999999999</v>
      </c>
      <c r="AJ22" s="41">
        <v>7867.2800000000007</v>
      </c>
      <c r="AK22" s="41">
        <v>0</v>
      </c>
      <c r="AL22" s="41">
        <v>5598.86</v>
      </c>
      <c r="AM22" s="41">
        <v>2941.16</v>
      </c>
      <c r="AN22" s="41">
        <v>124874.23999999999</v>
      </c>
      <c r="AO22" s="41">
        <v>66334.259999999995</v>
      </c>
      <c r="AP22" s="41">
        <v>209065.69999999998</v>
      </c>
      <c r="AQ22" s="41">
        <v>73482.100000000006</v>
      </c>
      <c r="AR22" s="41">
        <v>277266.76</v>
      </c>
      <c r="AS22" s="41">
        <v>188843.66000000003</v>
      </c>
      <c r="AT22" s="41">
        <v>42785.18</v>
      </c>
      <c r="AU22" s="41">
        <v>143425.58000000002</v>
      </c>
      <c r="AV22" s="41">
        <v>55180.119999999995</v>
      </c>
      <c r="AW22" s="41">
        <v>9666.14</v>
      </c>
      <c r="AX22" s="41">
        <v>26229.140000000003</v>
      </c>
      <c r="AY22" s="41">
        <v>0</v>
      </c>
      <c r="AZ22" s="41">
        <v>45804.479999999996</v>
      </c>
      <c r="BA22" s="41">
        <v>104.80000000000018</v>
      </c>
      <c r="BB22" s="41">
        <v>50983.060000000005</v>
      </c>
      <c r="BC22" s="41">
        <v>145.59999999999991</v>
      </c>
      <c r="BD22" s="41">
        <v>120.84000000000015</v>
      </c>
      <c r="BE22" s="41">
        <v>14.399999999999999</v>
      </c>
      <c r="BF22" s="41">
        <v>116.79999999999995</v>
      </c>
      <c r="BG22" s="41">
        <v>6.4</v>
      </c>
      <c r="BH22" s="41">
        <v>75.200000000000045</v>
      </c>
      <c r="BI22" s="41">
        <v>33.599999999999994</v>
      </c>
      <c r="BJ22" s="41">
        <v>1.6000000000000014</v>
      </c>
      <c r="BK22" s="41">
        <v>34.4</v>
      </c>
      <c r="BL22" s="41">
        <v>6.4</v>
      </c>
      <c r="BM22" s="41">
        <v>2.4000000000000004</v>
      </c>
      <c r="BN22" s="41">
        <v>4</v>
      </c>
      <c r="BO22" s="41">
        <v>20.8</v>
      </c>
      <c r="BP22" s="41">
        <v>8.8000000000000007</v>
      </c>
      <c r="BQ22" s="41">
        <v>9.6</v>
      </c>
      <c r="BR22" s="41">
        <v>9.6</v>
      </c>
      <c r="BS22" s="41">
        <v>4</v>
      </c>
      <c r="BT22" s="41">
        <v>9.6</v>
      </c>
      <c r="BU22" s="41">
        <v>5.6</v>
      </c>
      <c r="BV22" s="41">
        <v>9.6</v>
      </c>
      <c r="BW22" s="41">
        <v>0.8</v>
      </c>
      <c r="BX22" s="41">
        <v>4.8</v>
      </c>
      <c r="BY22" s="41">
        <v>0</v>
      </c>
      <c r="BZ22" s="41">
        <v>0</v>
      </c>
      <c r="CA22" s="41">
        <v>0</v>
      </c>
      <c r="CB22" s="41">
        <v>0</v>
      </c>
      <c r="CC22" s="41">
        <v>0</v>
      </c>
      <c r="CD22" s="41">
        <v>0</v>
      </c>
      <c r="CE22" s="41">
        <v>0.8</v>
      </c>
      <c r="CF22" s="41">
        <v>0.8</v>
      </c>
      <c r="CG22" s="41">
        <v>1.6</v>
      </c>
      <c r="CH22" s="41">
        <v>55.2</v>
      </c>
      <c r="CI22" s="41">
        <v>0</v>
      </c>
      <c r="CJ22" s="41">
        <v>0.8</v>
      </c>
      <c r="CK22" s="41">
        <v>0.8</v>
      </c>
      <c r="CL22" s="41">
        <v>0.8</v>
      </c>
      <c r="CM22" s="41">
        <v>0.8</v>
      </c>
      <c r="CN22" s="41">
        <v>0</v>
      </c>
      <c r="CO22" s="41">
        <v>5.6000000000000005</v>
      </c>
      <c r="CP22" s="41">
        <v>0</v>
      </c>
      <c r="CQ22" s="41">
        <v>0</v>
      </c>
      <c r="CR22" s="41">
        <v>0</v>
      </c>
      <c r="CS22" s="41">
        <v>0</v>
      </c>
    </row>
    <row r="23" spans="1:97" s="1" customFormat="1" x14ac:dyDescent="0.25">
      <c r="A23" s="1">
        <v>10</v>
      </c>
      <c r="B23" s="1" t="s">
        <v>122</v>
      </c>
      <c r="P23" s="43"/>
      <c r="T23" s="1">
        <f>(A23*T7)/(100*T22)</f>
        <v>2.79634354092245E-7</v>
      </c>
      <c r="V23" s="1">
        <f>(A23*V7)/(100*V22)</f>
        <v>2.5948939606547192E-7</v>
      </c>
      <c r="W23" s="1">
        <f>(A23*W7)/(100*W22)</f>
        <v>2.5617656404379169E-7</v>
      </c>
      <c r="X23" s="1">
        <f>(A23*X7)/(100*X22)</f>
        <v>2.4028521260444979E-7</v>
      </c>
      <c r="Y23" s="1">
        <f>(A23*Y7)/(100*Y22)</f>
        <v>2.2848443962612766E-7</v>
      </c>
      <c r="Z23" s="1">
        <f>(A23*(Z3/100))/(Z22-(1/Response_Functions!B98)*A23*(Z7/100))</f>
        <v>6.5452085542471327E-9</v>
      </c>
      <c r="AA23" s="1">
        <f>(A23*AA5)/(100*AA22)</f>
        <v>2.1784039653225971E-5</v>
      </c>
      <c r="AB23" s="1">
        <f>(A23*(AB3/100))/(AB22-(1/Response_Functions!B96)*A23*(AB7/100))</f>
        <v>7.8949229659953225E-8</v>
      </c>
      <c r="AC23" s="1">
        <f>(A23*AC3)/(100*AC22)</f>
        <v>2.306018703685403E-7</v>
      </c>
      <c r="AD23" s="1">
        <f>(A23*AD3)/(100*AD22)</f>
        <v>2.2425269122965316E-7</v>
      </c>
      <c r="AF23" s="1">
        <f>(A23*AF3)/(100*AF22)</f>
        <v>1.8608502395528711E-7</v>
      </c>
      <c r="AH23" s="1">
        <f>(A23*AH3)/(AH22*100)</f>
        <v>1.654829552672382E-7</v>
      </c>
      <c r="AJ23" s="1">
        <f>(10*0.0097)/AJ22</f>
        <v>1.2329547187846371E-5</v>
      </c>
      <c r="AL23" s="1">
        <f>(10*0.0066)/AL22</f>
        <v>1.1788114008923246E-5</v>
      </c>
      <c r="AM23" s="1">
        <f>(10*0.0034)/AM22</f>
        <v>1.1560064736362522E-5</v>
      </c>
      <c r="AN23" s="1">
        <f>(10*0.1454)/AN22</f>
        <v>1.1643714508292503E-5</v>
      </c>
      <c r="AO23" s="1">
        <f>(10*0.0768)/AO22</f>
        <v>1.1577727708125483E-5</v>
      </c>
      <c r="AP23" s="1">
        <f>(0.2422*10)/AP22</f>
        <v>1.158487499384165E-5</v>
      </c>
      <c r="AQ23" s="1">
        <f>(10*0.0859)/AQ22</f>
        <v>1.1689921763259351E-5</v>
      </c>
      <c r="AR23" s="54">
        <f>(0.3258*10)/(AR22-10*0.0009*(1/Response_Functions!B177))</f>
        <v>1.1755210180595706E-5</v>
      </c>
      <c r="AS23" s="43">
        <f>(10*0.5721)/AS22</f>
        <v>3.0294901083785388E-5</v>
      </c>
      <c r="AT23" s="54">
        <f>(0.0463*10)/(AT22-10*0.0255*(1/Response_Functions!B178))</f>
        <v>1.1626794178253336E-5</v>
      </c>
      <c r="AU23" s="84">
        <f>(10*0.0089)/(AU22-0.4279*10*(1/Response_Functions!J194))</f>
        <v>3.5635967861334216E-5</v>
      </c>
      <c r="AV23" s="54">
        <f>(10*0.0579)/(AV22-0.0474*10*(1/Response_Functions!B180))</f>
        <v>1.1728381113814937E-5</v>
      </c>
      <c r="AW23" s="1">
        <f>(10*0.0707)/AW22</f>
        <v>7.3141916007837666E-5</v>
      </c>
      <c r="AX23" s="1">
        <f>(10*0.1884)/AX22</f>
        <v>7.1828508292685154E-5</v>
      </c>
      <c r="AZ23" s="1">
        <f>(10*0.3174)/AZ22</f>
        <v>6.929453188858384E-5</v>
      </c>
      <c r="BB23" s="1">
        <f>(10*0.3408)/BB22</f>
        <v>6.6845732680619789E-5</v>
      </c>
      <c r="BT23" s="43"/>
      <c r="BV23" s="44"/>
    </row>
    <row r="24" spans="1:97" x14ac:dyDescent="0.25">
      <c r="B24" t="s">
        <v>40</v>
      </c>
      <c r="C24">
        <v>0</v>
      </c>
      <c r="D24">
        <v>5743.7599999999984</v>
      </c>
      <c r="E24">
        <v>1459.3000000000002</v>
      </c>
      <c r="F24">
        <v>688</v>
      </c>
      <c r="G24">
        <v>511.99999999999994</v>
      </c>
      <c r="H24">
        <v>344</v>
      </c>
      <c r="I24">
        <v>273.59999999999997</v>
      </c>
      <c r="J24">
        <v>259.2</v>
      </c>
      <c r="K24">
        <v>345.59999999999997</v>
      </c>
      <c r="L24">
        <v>167.2</v>
      </c>
      <c r="M24">
        <v>393741.6399999999</v>
      </c>
      <c r="N24">
        <v>64</v>
      </c>
      <c r="O24">
        <v>13.6</v>
      </c>
      <c r="P24" s="41">
        <v>20.799999999999997</v>
      </c>
      <c r="Q24">
        <v>69.599999999999994</v>
      </c>
      <c r="R24">
        <v>15.200000000000001</v>
      </c>
      <c r="S24">
        <v>8.8000000000000007</v>
      </c>
      <c r="T24">
        <v>20.799999999999997</v>
      </c>
      <c r="U24">
        <v>2.4</v>
      </c>
      <c r="V24">
        <v>21.6</v>
      </c>
      <c r="W24">
        <v>1.6</v>
      </c>
      <c r="X24">
        <v>13.600000000000001</v>
      </c>
      <c r="Y24">
        <v>2.4000000000000004</v>
      </c>
      <c r="Z24">
        <v>16</v>
      </c>
      <c r="AA24">
        <v>0</v>
      </c>
      <c r="AB24">
        <v>17.599999999999998</v>
      </c>
      <c r="AC24">
        <v>4444</v>
      </c>
      <c r="AD24">
        <v>558.4</v>
      </c>
      <c r="AE24">
        <v>8.8000000000000007</v>
      </c>
      <c r="AF24">
        <v>16.8</v>
      </c>
      <c r="AG24">
        <v>14.399999999999999</v>
      </c>
      <c r="AH24">
        <v>4</v>
      </c>
      <c r="AI24">
        <v>0</v>
      </c>
      <c r="AJ24">
        <v>0</v>
      </c>
      <c r="AK24">
        <v>0</v>
      </c>
      <c r="AL24">
        <v>0</v>
      </c>
      <c r="AM24">
        <v>4.8</v>
      </c>
      <c r="AN24">
        <v>7091.6399999999994</v>
      </c>
      <c r="AO24">
        <v>1.5999999999999979</v>
      </c>
      <c r="AP24">
        <v>1.6000000000000014</v>
      </c>
      <c r="AQ24">
        <v>7.1999999999999993</v>
      </c>
      <c r="AR24">
        <v>9.5999999999999943</v>
      </c>
      <c r="AS24" s="41">
        <v>5.6</v>
      </c>
      <c r="AT24">
        <v>4</v>
      </c>
      <c r="AU24" s="41">
        <v>9.6</v>
      </c>
      <c r="AV24">
        <v>85.6</v>
      </c>
      <c r="AW24">
        <v>16.8</v>
      </c>
      <c r="AX24">
        <v>41.599999999999994</v>
      </c>
      <c r="AY24">
        <v>4923.7399999999943</v>
      </c>
      <c r="AZ24">
        <v>43.199999999999989</v>
      </c>
      <c r="BA24">
        <v>58.400000000000091</v>
      </c>
      <c r="BB24">
        <v>43.199999999999989</v>
      </c>
      <c r="BC24">
        <v>147.22000000000003</v>
      </c>
      <c r="BD24">
        <v>100.85999999999967</v>
      </c>
      <c r="BE24">
        <v>0</v>
      </c>
      <c r="BF24">
        <v>62.399999999999977</v>
      </c>
      <c r="BG24">
        <v>0</v>
      </c>
      <c r="BH24">
        <v>1649.8199999999997</v>
      </c>
      <c r="BI24">
        <v>0</v>
      </c>
      <c r="BJ24">
        <v>3058.8</v>
      </c>
      <c r="BK24">
        <v>852103.93999999983</v>
      </c>
      <c r="BL24">
        <v>796041.32</v>
      </c>
      <c r="BM24">
        <v>988721.5199999999</v>
      </c>
      <c r="BN24">
        <v>364951.92000000004</v>
      </c>
      <c r="BO24">
        <v>119800.18000000001</v>
      </c>
      <c r="BP24">
        <v>261595.62000000002</v>
      </c>
      <c r="BQ24">
        <v>82153.159999999989</v>
      </c>
      <c r="BR24">
        <v>168392.7</v>
      </c>
      <c r="BS24">
        <v>145471.56</v>
      </c>
      <c r="BT24" s="41">
        <v>166099.14000000001</v>
      </c>
      <c r="BU24">
        <v>134108.53999999998</v>
      </c>
      <c r="BV24" s="38">
        <v>130299.74000000002</v>
      </c>
      <c r="BW24">
        <v>478279.5199999999</v>
      </c>
      <c r="BX24">
        <v>264231.8</v>
      </c>
      <c r="BY24">
        <v>525920.42000000004</v>
      </c>
      <c r="BZ24">
        <v>246588.62000000002</v>
      </c>
      <c r="CA24">
        <v>149807.76</v>
      </c>
      <c r="CB24">
        <v>204256.16</v>
      </c>
      <c r="CC24">
        <v>162030.26</v>
      </c>
      <c r="CD24">
        <v>239825.32000000004</v>
      </c>
      <c r="CE24">
        <v>1026733.86</v>
      </c>
      <c r="CF24">
        <v>233891.7</v>
      </c>
      <c r="CG24">
        <v>0</v>
      </c>
      <c r="CH24">
        <v>787992.5</v>
      </c>
      <c r="CI24">
        <v>20.8</v>
      </c>
      <c r="CJ24">
        <v>0</v>
      </c>
      <c r="CK24">
        <v>3.2</v>
      </c>
      <c r="CL24">
        <v>0</v>
      </c>
      <c r="CM24">
        <v>0</v>
      </c>
      <c r="CN24">
        <v>848.94</v>
      </c>
      <c r="CO24">
        <v>35.199999999999996</v>
      </c>
      <c r="CP24">
        <v>2.4</v>
      </c>
      <c r="CQ24">
        <v>0.8</v>
      </c>
      <c r="CR24">
        <v>0</v>
      </c>
      <c r="CS24">
        <v>0</v>
      </c>
    </row>
    <row r="25" spans="1:97" s="1" customFormat="1" x14ac:dyDescent="0.25">
      <c r="A25" s="1">
        <v>10.19</v>
      </c>
      <c r="B25" s="1" t="s">
        <v>122</v>
      </c>
      <c r="M25" s="1">
        <f>A25/M24</f>
        <v>2.5879914555138242E-5</v>
      </c>
      <c r="P25" s="43"/>
      <c r="AS25" s="43"/>
      <c r="AU25" s="43"/>
      <c r="BH25" s="1">
        <f>(10.19*0.00185)/BH24</f>
        <v>1.1426398031300387E-5</v>
      </c>
      <c r="BJ25" s="1">
        <f>(10.19*0.00251)/(BJ24-10.19*0.0009*(1/Response_Functions!H227))</f>
        <v>1.116302616249068E-5</v>
      </c>
      <c r="BK25" s="1">
        <f>(10.19*0.9991)/BK24</f>
        <v>1.1947872227888068E-5</v>
      </c>
      <c r="BL25" s="1">
        <f>(10.19*0.8845)/BL24</f>
        <v>1.1322345679241876E-5</v>
      </c>
      <c r="BM25" s="1">
        <f>10.19/BM24</f>
        <v>1.0306238707133633E-5</v>
      </c>
      <c r="BN25" s="1">
        <f>(10.19*0.11114)/(BN24-10.19*0.272*(1/Response_Functions!D270))</f>
        <v>1.1450880604144545E-5</v>
      </c>
      <c r="BO25" s="1">
        <f>(10.19*0.122)/BO24</f>
        <v>1.0377112955923771E-5</v>
      </c>
      <c r="BP25" s="54">
        <f>(10.19*0.0307)/(BP24-10.19*0.238*(1/Response_Functions!D286))</f>
        <v>1.1606645181510834E-5</v>
      </c>
      <c r="BQ25" s="1">
        <f>(10.19*0.083)/BQ24</f>
        <v>1.0295039168304666E-5</v>
      </c>
      <c r="BR25" s="1">
        <f>(0.172*10.19)/BR24</f>
        <v>1.0408289670514218E-5</v>
      </c>
      <c r="BS25" s="1">
        <f>(10.19*0.1499)/BS24</f>
        <v>1.050020361368229E-5</v>
      </c>
      <c r="BT25" s="43"/>
      <c r="BU25" s="1">
        <f>(10.19*0.1382)/BU24</f>
        <v>1.0500882345002041E-5</v>
      </c>
      <c r="BV25" s="44">
        <f>(10.19*0.0738)/(BV24-10.19*0.056*(1/Response_Functions!D276))</f>
        <v>1.0197637806931829E-5</v>
      </c>
      <c r="BW25" s="1">
        <f>(10.19*0.4781)/BW24</f>
        <v>1.0186175230752094E-5</v>
      </c>
      <c r="BX25" s="1">
        <f>(10.19*0.002)/(BX24-0.2675*10.19*(1/Response_Functions!D297))</f>
        <v>4.3949467443929761E-6</v>
      </c>
      <c r="BY25" s="1">
        <f>(10.19*0.5219)/BY24</f>
        <v>1.011210213134527E-5</v>
      </c>
      <c r="BZ25" s="1">
        <f>(10.19*0.0218)/(BZ24-10.19*0.22758*(1/Response_Functions!D298))</f>
        <v>8.5189521971918617E-6</v>
      </c>
      <c r="CA25" s="1">
        <f>(10.19*0.148)/CA24</f>
        <v>1.0067035245704227E-5</v>
      </c>
      <c r="CB25" s="1">
        <f>(10.19*0.2047+10.19*0.0006)/CB24</f>
        <v>1.0242075440956102E-5</v>
      </c>
      <c r="CC25" s="1">
        <f>(0.1565*10.19)/CC24</f>
        <v>9.8422047832299953E-6</v>
      </c>
      <c r="CD25" s="1">
        <f>(10.19*(0.2484+0.001))/CD24</f>
        <v>1.0596821052923017E-5</v>
      </c>
      <c r="CF25" s="1">
        <f>(10.19*0.0234)/(CF14-0.2186*10.198*(1/Response_Functions!D330))</f>
        <v>7.9388920172871642E-6</v>
      </c>
    </row>
    <row r="26" spans="1:97" x14ac:dyDescent="0.25">
      <c r="B26" t="s">
        <v>45</v>
      </c>
      <c r="C26">
        <v>101.60000000000001</v>
      </c>
      <c r="D26">
        <v>0</v>
      </c>
      <c r="E26">
        <v>0</v>
      </c>
      <c r="F26">
        <v>16</v>
      </c>
      <c r="G26">
        <v>0</v>
      </c>
      <c r="H26">
        <v>10.4</v>
      </c>
      <c r="I26">
        <v>12</v>
      </c>
      <c r="J26">
        <v>16.800000000000011</v>
      </c>
      <c r="K26">
        <v>5.6000000000000014</v>
      </c>
      <c r="L26">
        <v>74.399999999999991</v>
      </c>
      <c r="M26">
        <v>0</v>
      </c>
      <c r="N26">
        <v>20.800000000000004</v>
      </c>
      <c r="O26">
        <v>1.5999999999999996</v>
      </c>
      <c r="P26" s="41">
        <v>6.4</v>
      </c>
      <c r="Q26">
        <v>0</v>
      </c>
      <c r="R26">
        <v>12</v>
      </c>
      <c r="S26">
        <v>4</v>
      </c>
      <c r="T26">
        <v>0</v>
      </c>
      <c r="U26">
        <v>4.0000000000000009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0.80000000000000071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2.4</v>
      </c>
      <c r="AM26">
        <v>4.8000000000000007</v>
      </c>
      <c r="AN26">
        <v>1758.5</v>
      </c>
      <c r="AO26">
        <v>0</v>
      </c>
      <c r="AP26">
        <v>10.400000000000006</v>
      </c>
      <c r="AQ26">
        <v>2418.62</v>
      </c>
      <c r="AR26">
        <v>25.600000000000009</v>
      </c>
      <c r="AS26" s="41">
        <v>7.2000000000000011</v>
      </c>
      <c r="AT26">
        <v>0</v>
      </c>
      <c r="AU26" s="41">
        <v>1.5999999999999996</v>
      </c>
      <c r="AV26">
        <v>26.4</v>
      </c>
      <c r="AW26">
        <v>4</v>
      </c>
      <c r="AX26">
        <v>0</v>
      </c>
      <c r="AY26">
        <v>0</v>
      </c>
      <c r="AZ26">
        <v>11.199999999999989</v>
      </c>
      <c r="BA26">
        <v>76</v>
      </c>
      <c r="BB26">
        <v>0</v>
      </c>
      <c r="BC26">
        <v>68.820000000000164</v>
      </c>
      <c r="BD26">
        <v>0</v>
      </c>
      <c r="BE26">
        <v>2.3999999999999986</v>
      </c>
      <c r="BF26">
        <v>44.799999999999955</v>
      </c>
      <c r="BG26">
        <v>0</v>
      </c>
      <c r="BH26">
        <v>37.600000000000023</v>
      </c>
      <c r="BI26">
        <v>19.200000000000003</v>
      </c>
      <c r="BJ26">
        <v>99.2</v>
      </c>
      <c r="BK26">
        <v>16.799999999999997</v>
      </c>
      <c r="BL26">
        <v>0</v>
      </c>
      <c r="BM26">
        <v>12</v>
      </c>
      <c r="BN26">
        <v>4</v>
      </c>
      <c r="BO26">
        <v>1.6000000000000005</v>
      </c>
      <c r="BP26">
        <v>0</v>
      </c>
      <c r="BQ26">
        <v>3.2</v>
      </c>
      <c r="BR26">
        <v>0</v>
      </c>
      <c r="BS26">
        <v>0</v>
      </c>
      <c r="BT26" s="41">
        <v>0</v>
      </c>
      <c r="BU26">
        <v>0</v>
      </c>
      <c r="BV26" s="38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0.79999999999999982</v>
      </c>
      <c r="CG26">
        <v>1.6</v>
      </c>
      <c r="CH26">
        <v>186993.15999999997</v>
      </c>
      <c r="CI26">
        <v>4.8</v>
      </c>
      <c r="CJ26">
        <v>27.2</v>
      </c>
      <c r="CK26">
        <v>3530.8999999999996</v>
      </c>
      <c r="CL26">
        <v>0</v>
      </c>
      <c r="CM26">
        <v>0.8</v>
      </c>
      <c r="CN26">
        <v>481945.2</v>
      </c>
      <c r="CO26">
        <v>13.8</v>
      </c>
      <c r="CP26">
        <v>0.8</v>
      </c>
      <c r="CQ26">
        <v>0</v>
      </c>
      <c r="CR26">
        <v>0</v>
      </c>
      <c r="CS26">
        <v>0</v>
      </c>
    </row>
    <row r="27" spans="1:97" s="1" customFormat="1" x14ac:dyDescent="0.25">
      <c r="B27" s="1" t="s">
        <v>122</v>
      </c>
      <c r="P27" s="43"/>
      <c r="AS27" s="43"/>
      <c r="AU27" s="43"/>
      <c r="BT27" s="43"/>
      <c r="BV27" s="44"/>
      <c r="CJ27" s="53">
        <f>(0.000289)/CJ26</f>
        <v>1.0624999999999999E-5</v>
      </c>
      <c r="CK27" s="1">
        <f>(0.038008)/CK26</f>
        <v>1.0764394347050329E-5</v>
      </c>
      <c r="CN27" s="1">
        <f>(5.307622023)/CN26</f>
        <v>1.1012916039001945E-5</v>
      </c>
    </row>
    <row r="28" spans="1:97" x14ac:dyDescent="0.25">
      <c r="B28" t="s">
        <v>42</v>
      </c>
      <c r="C28">
        <v>3098</v>
      </c>
      <c r="D28">
        <v>24</v>
      </c>
      <c r="E28">
        <v>5.6</v>
      </c>
      <c r="F28">
        <v>5.6000000000000227</v>
      </c>
      <c r="G28">
        <v>0</v>
      </c>
      <c r="H28">
        <v>2.4000000000000004</v>
      </c>
      <c r="I28">
        <v>22.4</v>
      </c>
      <c r="J28">
        <v>29.600000000000023</v>
      </c>
      <c r="K28">
        <v>26.4</v>
      </c>
      <c r="L28">
        <v>264</v>
      </c>
      <c r="M28">
        <v>38.400000000000006</v>
      </c>
      <c r="N28">
        <v>267.2</v>
      </c>
      <c r="O28">
        <v>60.000000000000007</v>
      </c>
      <c r="P28" s="41">
        <v>91.199999999999989</v>
      </c>
      <c r="Q28">
        <v>0</v>
      </c>
      <c r="R28">
        <v>108.8</v>
      </c>
      <c r="S28">
        <v>3.2000000000000011</v>
      </c>
      <c r="T28">
        <v>24.799999999999997</v>
      </c>
      <c r="U28">
        <v>4.0000000000000009</v>
      </c>
      <c r="V28">
        <v>19.2</v>
      </c>
      <c r="W28">
        <v>0</v>
      </c>
      <c r="X28">
        <v>0</v>
      </c>
      <c r="Y28">
        <v>0</v>
      </c>
      <c r="Z28">
        <v>0</v>
      </c>
      <c r="AA28">
        <v>6.4</v>
      </c>
      <c r="AB28">
        <v>0</v>
      </c>
      <c r="AC28">
        <v>0</v>
      </c>
      <c r="AD28">
        <v>4.8000000000000007</v>
      </c>
      <c r="AE28">
        <v>0</v>
      </c>
      <c r="AF28">
        <v>0</v>
      </c>
      <c r="AG28">
        <v>0</v>
      </c>
      <c r="AH28">
        <v>0</v>
      </c>
      <c r="AI28">
        <v>7.2000000000000011</v>
      </c>
      <c r="AJ28">
        <v>0</v>
      </c>
      <c r="AK28">
        <v>0.79999999999999982</v>
      </c>
      <c r="AL28">
        <v>4.8000000000000007</v>
      </c>
      <c r="AM28">
        <v>24</v>
      </c>
      <c r="AN28">
        <v>8.7999999999999972</v>
      </c>
      <c r="AO28">
        <v>12.8</v>
      </c>
      <c r="AP28">
        <v>23.200000000000003</v>
      </c>
      <c r="AQ28">
        <v>35.200000000000003</v>
      </c>
      <c r="AR28">
        <v>37.599999999999994</v>
      </c>
      <c r="AS28" s="41">
        <v>14.4</v>
      </c>
      <c r="AT28">
        <v>0</v>
      </c>
      <c r="AU28" s="41">
        <v>2.4000000000000004</v>
      </c>
      <c r="AV28">
        <v>4.7999999999999972</v>
      </c>
      <c r="AW28">
        <v>1.6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16.800000000000004</v>
      </c>
      <c r="BF28">
        <v>60.799999999999955</v>
      </c>
      <c r="BG28">
        <v>20.799999999999997</v>
      </c>
      <c r="BH28">
        <v>41.600000000000023</v>
      </c>
      <c r="BI28">
        <v>32.800000000000004</v>
      </c>
      <c r="BJ28">
        <v>263.2</v>
      </c>
      <c r="BK28">
        <v>7.1999999999999957</v>
      </c>
      <c r="BL28">
        <v>10.399999999999999</v>
      </c>
      <c r="BM28">
        <v>0</v>
      </c>
      <c r="BN28">
        <v>0</v>
      </c>
      <c r="BO28">
        <v>0</v>
      </c>
      <c r="BP28">
        <v>1.5999999999999996</v>
      </c>
      <c r="BQ28">
        <v>3.2</v>
      </c>
      <c r="BR28">
        <v>0</v>
      </c>
      <c r="BS28">
        <v>0</v>
      </c>
      <c r="BT28" s="41">
        <v>0</v>
      </c>
      <c r="BU28">
        <v>0</v>
      </c>
      <c r="BV28" s="38">
        <v>0</v>
      </c>
      <c r="BW28">
        <v>0</v>
      </c>
      <c r="BX28">
        <v>0.79999999999999982</v>
      </c>
      <c r="BY28">
        <v>0</v>
      </c>
      <c r="BZ28">
        <v>0</v>
      </c>
      <c r="CA28">
        <v>0</v>
      </c>
      <c r="CB28">
        <v>0</v>
      </c>
      <c r="CC28">
        <v>2.4000000000000004</v>
      </c>
      <c r="CD28">
        <v>0</v>
      </c>
      <c r="CE28">
        <v>0</v>
      </c>
      <c r="CF28">
        <v>0</v>
      </c>
      <c r="CG28">
        <v>0</v>
      </c>
      <c r="CH28">
        <v>116.80000000000001</v>
      </c>
      <c r="CI28">
        <v>0</v>
      </c>
      <c r="CJ28">
        <v>3.2</v>
      </c>
      <c r="CK28">
        <v>604</v>
      </c>
      <c r="CL28">
        <v>44</v>
      </c>
      <c r="CM28">
        <v>4</v>
      </c>
      <c r="CN28">
        <v>57.666666666666671</v>
      </c>
      <c r="CO28">
        <v>531466.48</v>
      </c>
      <c r="CP28">
        <v>11015.24</v>
      </c>
      <c r="CQ28">
        <v>27.2</v>
      </c>
      <c r="CR28">
        <v>4.8</v>
      </c>
      <c r="CS28">
        <v>0</v>
      </c>
    </row>
    <row r="29" spans="1:97" s="1" customFormat="1" x14ac:dyDescent="0.25">
      <c r="B29" s="1" t="s">
        <v>122</v>
      </c>
      <c r="P29" s="43"/>
      <c r="AS29" s="43"/>
      <c r="AU29" s="43"/>
      <c r="BT29" s="43"/>
      <c r="BV29" s="44"/>
      <c r="CO29" s="1">
        <f>(6.054985)/CO28</f>
        <v>1.1392976279520019E-5</v>
      </c>
      <c r="CP29" s="1">
        <f>0.127462/CP28</f>
        <v>1.1571422865048787E-5</v>
      </c>
      <c r="CQ29" s="1">
        <f>0.000235111/CQ28</f>
        <v>8.6437867647058834E-6</v>
      </c>
      <c r="CR29" s="1">
        <f>0.0000629/CR28</f>
        <v>1.3104166666666667E-5</v>
      </c>
    </row>
    <row r="30" spans="1:97" x14ac:dyDescent="0.25">
      <c r="B30" t="s">
        <v>41</v>
      </c>
      <c r="C30">
        <v>73.600000000000009</v>
      </c>
      <c r="D30">
        <v>0</v>
      </c>
      <c r="E30">
        <v>24896.040000000005</v>
      </c>
      <c r="F30">
        <v>103.20000000000005</v>
      </c>
      <c r="G30">
        <v>10.399999999999999</v>
      </c>
      <c r="H30">
        <v>18.399999999999999</v>
      </c>
      <c r="I30">
        <v>79074.600000000006</v>
      </c>
      <c r="J30">
        <v>43339.62000000001</v>
      </c>
      <c r="K30">
        <v>60579.48</v>
      </c>
      <c r="L30">
        <v>357526.38</v>
      </c>
      <c r="M30">
        <v>49832.92</v>
      </c>
      <c r="N30">
        <v>23.200000000000003</v>
      </c>
      <c r="O30">
        <v>5.6</v>
      </c>
      <c r="P30" s="41">
        <v>24</v>
      </c>
      <c r="Q30">
        <v>0</v>
      </c>
      <c r="R30">
        <v>16</v>
      </c>
      <c r="S30">
        <v>29.6</v>
      </c>
      <c r="T30">
        <v>28.799999999999997</v>
      </c>
      <c r="U30">
        <v>0</v>
      </c>
      <c r="V30">
        <v>0</v>
      </c>
      <c r="W30">
        <v>1.5999999999999996</v>
      </c>
      <c r="X30">
        <v>0</v>
      </c>
      <c r="Y30">
        <v>0</v>
      </c>
      <c r="Z30">
        <v>1.6000000000000014</v>
      </c>
      <c r="AA30">
        <v>15.2</v>
      </c>
      <c r="AB30">
        <v>87.2</v>
      </c>
      <c r="AC30">
        <v>676</v>
      </c>
      <c r="AD30">
        <v>56</v>
      </c>
      <c r="AE30">
        <v>3.1999999999999993</v>
      </c>
      <c r="AF30">
        <v>0</v>
      </c>
      <c r="AG30">
        <v>0</v>
      </c>
      <c r="AH30">
        <v>16.8</v>
      </c>
      <c r="AI30">
        <v>18.399999999999999</v>
      </c>
      <c r="AJ30">
        <v>26.4</v>
      </c>
      <c r="AK30">
        <v>16.799999999999997</v>
      </c>
      <c r="AL30">
        <v>48.8</v>
      </c>
      <c r="AM30">
        <v>8</v>
      </c>
      <c r="AN30">
        <v>4</v>
      </c>
      <c r="AO30">
        <v>3.2000000000000028</v>
      </c>
      <c r="AP30">
        <v>0</v>
      </c>
      <c r="AQ30">
        <v>0</v>
      </c>
      <c r="AR30">
        <v>0</v>
      </c>
      <c r="AS30" s="41">
        <v>21.6</v>
      </c>
      <c r="AT30">
        <v>0</v>
      </c>
      <c r="AU30" s="41">
        <v>18.399999999999999</v>
      </c>
      <c r="AV30">
        <v>4</v>
      </c>
      <c r="AW30">
        <v>0</v>
      </c>
      <c r="AX30">
        <v>0</v>
      </c>
      <c r="AY30">
        <v>3466.580000000009</v>
      </c>
      <c r="AZ30">
        <v>3.1999999999999886</v>
      </c>
      <c r="BA30">
        <v>32</v>
      </c>
      <c r="BB30">
        <v>868.9</v>
      </c>
      <c r="BC30">
        <v>12.799999999999955</v>
      </c>
      <c r="BD30">
        <v>801.79999999999973</v>
      </c>
      <c r="BE30">
        <v>95319.98000000001</v>
      </c>
      <c r="BF30">
        <v>19907.7</v>
      </c>
      <c r="BG30">
        <v>53777.219999999994</v>
      </c>
      <c r="BH30">
        <v>64840.759999999995</v>
      </c>
      <c r="BI30" s="38">
        <v>93996.359999999986</v>
      </c>
      <c r="BJ30">
        <v>603056.75999999989</v>
      </c>
      <c r="BK30">
        <v>9.6000000000000014</v>
      </c>
      <c r="BL30">
        <v>57.6</v>
      </c>
      <c r="BM30">
        <v>0</v>
      </c>
      <c r="BN30">
        <v>14.399999999999999</v>
      </c>
      <c r="BO30">
        <v>0</v>
      </c>
      <c r="BP30">
        <v>5.6</v>
      </c>
      <c r="BQ30">
        <v>4.8</v>
      </c>
      <c r="BR30">
        <v>1.5999999999999996</v>
      </c>
      <c r="BS30">
        <v>0</v>
      </c>
      <c r="BT30" s="41">
        <v>0</v>
      </c>
      <c r="BU30">
        <v>0.79999999999999982</v>
      </c>
      <c r="BV30" s="38">
        <v>12</v>
      </c>
      <c r="BW30">
        <v>33.6</v>
      </c>
      <c r="BX30">
        <v>60</v>
      </c>
      <c r="BY30">
        <v>89.6</v>
      </c>
      <c r="BZ30">
        <v>372.8</v>
      </c>
      <c r="CA30">
        <v>307.20000000000005</v>
      </c>
      <c r="CB30">
        <v>0</v>
      </c>
      <c r="CC30">
        <v>0.8</v>
      </c>
      <c r="CD30">
        <v>0</v>
      </c>
      <c r="CE30">
        <v>0</v>
      </c>
      <c r="CF30">
        <v>0.79999999999999982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1.6</v>
      </c>
      <c r="CN30">
        <v>0</v>
      </c>
      <c r="CO30">
        <v>487.4</v>
      </c>
      <c r="CP30">
        <v>10.399999999999999</v>
      </c>
      <c r="CQ30">
        <v>0</v>
      </c>
      <c r="CR30">
        <v>0</v>
      </c>
      <c r="CS30">
        <v>0</v>
      </c>
    </row>
    <row r="31" spans="1:97" s="1" customFormat="1" x14ac:dyDescent="0.25">
      <c r="B31" s="1" t="s">
        <v>122</v>
      </c>
      <c r="I31" s="1">
        <f>(2.130603*0.7217)/(I30)</f>
        <v>1.9445639751576358E-5</v>
      </c>
      <c r="J31" s="1">
        <f>(8.521312*0.0986)/(J30)</f>
        <v>1.9386449701220263E-5</v>
      </c>
      <c r="K31" s="51">
        <f>(0.07*8.521312)/(K30-2.130603*0.2783*(1/Response_Functions!D21))</f>
        <v>1.943509151427589E-5</v>
      </c>
      <c r="L31" s="1">
        <f>(8.521312*L5)/(100*L30)</f>
        <v>1.9747096177834969E-7</v>
      </c>
      <c r="M31" s="1">
        <f>(1.059493)/M30</f>
        <v>2.1260905441623729E-5</v>
      </c>
      <c r="P31" s="43"/>
      <c r="AS31" s="43"/>
      <c r="AU31" s="43"/>
      <c r="BB31" s="1">
        <f>(8.515972*0.00106)/BB30</f>
        <v>1.03889173898032E-5</v>
      </c>
      <c r="BD31" s="1">
        <f>(0.00101*8.515972)/BD30</f>
        <v>1.0727278273883766E-5</v>
      </c>
      <c r="BE31" s="1">
        <f>(1.058417/BE30)</f>
        <v>1.1103831536683074E-5</v>
      </c>
      <c r="BF31" s="1">
        <f>(8.515972*0.02417)/BF30</f>
        <v>1.0339267883281342E-5</v>
      </c>
      <c r="BG31" s="1">
        <f>(8.515972*0.06592)/BG30</f>
        <v>1.0438860064540341E-5</v>
      </c>
      <c r="BH31" s="1">
        <f>(8.515972*0.07854)/BH30</f>
        <v>1.0315185091599789E-5</v>
      </c>
      <c r="BI31" s="44">
        <f>(8.515972*0.11232)/BI30</f>
        <v>1.0176074637783849E-5</v>
      </c>
      <c r="BJ31" s="1">
        <f>(8.515972*0.71698)/BJ30</f>
        <v>1.0124721269288153E-5</v>
      </c>
      <c r="BT31" s="43"/>
      <c r="BV31" s="44"/>
    </row>
    <row r="32" spans="1:97" x14ac:dyDescent="0.25">
      <c r="B32" t="s">
        <v>39</v>
      </c>
      <c r="C32">
        <v>32117.460000000003</v>
      </c>
      <c r="D32">
        <v>622.4</v>
      </c>
      <c r="E32">
        <v>6.4</v>
      </c>
      <c r="F32">
        <v>6.4000000000000341</v>
      </c>
      <c r="G32">
        <v>0</v>
      </c>
      <c r="H32">
        <v>184.79999999999998</v>
      </c>
      <c r="I32">
        <v>53.6</v>
      </c>
      <c r="J32">
        <v>58260.42</v>
      </c>
      <c r="K32">
        <v>40696.659999999996</v>
      </c>
      <c r="L32">
        <v>478227.98</v>
      </c>
      <c r="M32">
        <v>12.8</v>
      </c>
      <c r="N32">
        <v>78.400000000000006</v>
      </c>
      <c r="O32">
        <v>110.39999999999999</v>
      </c>
      <c r="P32" s="41">
        <v>59224.859999999993</v>
      </c>
      <c r="Q32">
        <v>0</v>
      </c>
      <c r="R32">
        <v>38993.680000000008</v>
      </c>
      <c r="S32">
        <v>71881.08</v>
      </c>
      <c r="T32">
        <v>77624.14</v>
      </c>
      <c r="U32">
        <v>46244.68</v>
      </c>
      <c r="V32">
        <v>125614.23999999999</v>
      </c>
      <c r="W32">
        <v>11.2</v>
      </c>
      <c r="X32">
        <v>55105.700000000004</v>
      </c>
      <c r="Y32">
        <v>0</v>
      </c>
      <c r="Z32">
        <v>4.8000000000000007</v>
      </c>
      <c r="AA32">
        <v>42.4</v>
      </c>
      <c r="AB32">
        <v>144</v>
      </c>
      <c r="AC32">
        <v>58.400000000000006</v>
      </c>
      <c r="AD32">
        <v>5437.18</v>
      </c>
      <c r="AE32">
        <v>314475.2</v>
      </c>
      <c r="AF32">
        <v>4804.92</v>
      </c>
      <c r="AG32">
        <v>356799.36000000004</v>
      </c>
      <c r="AH32">
        <v>75254.01999999999</v>
      </c>
      <c r="AI32">
        <v>81325.440000000002</v>
      </c>
      <c r="AJ32">
        <v>160061.69999999998</v>
      </c>
      <c r="AK32">
        <v>173465.16</v>
      </c>
      <c r="AL32">
        <v>198411.31999999998</v>
      </c>
      <c r="AM32">
        <v>2054639.2999999998</v>
      </c>
      <c r="AN32">
        <v>61897.96</v>
      </c>
      <c r="AO32">
        <v>3.2000000000000028</v>
      </c>
      <c r="AP32">
        <v>0.80000000000001137</v>
      </c>
      <c r="AQ32">
        <v>5113.0600000000004</v>
      </c>
      <c r="AR32">
        <v>0</v>
      </c>
      <c r="AS32" s="41">
        <v>236105.02000000002</v>
      </c>
      <c r="AT32">
        <v>1.5999999999999979</v>
      </c>
      <c r="AU32" s="41">
        <v>176771.02000000002</v>
      </c>
      <c r="AV32">
        <v>88</v>
      </c>
      <c r="AW32">
        <v>0.80000000000000027</v>
      </c>
      <c r="AX32">
        <v>0</v>
      </c>
      <c r="AY32">
        <v>0</v>
      </c>
      <c r="AZ32">
        <v>0</v>
      </c>
      <c r="BA32">
        <v>64.799999999999727</v>
      </c>
      <c r="BB32">
        <v>1090.5</v>
      </c>
      <c r="BC32">
        <v>53.620000000000118</v>
      </c>
      <c r="BD32">
        <v>1072.2799999999997</v>
      </c>
      <c r="BE32">
        <v>0.80000000000000071</v>
      </c>
      <c r="BF32">
        <v>26879.600000000002</v>
      </c>
      <c r="BG32">
        <v>72922.760000000009</v>
      </c>
      <c r="BH32">
        <v>86101.1</v>
      </c>
      <c r="BI32">
        <v>127701.5</v>
      </c>
      <c r="BJ32">
        <v>804716.1399999999</v>
      </c>
      <c r="BK32">
        <v>1048452.0199999999</v>
      </c>
      <c r="BL32">
        <v>0.79999999999999716</v>
      </c>
      <c r="BM32">
        <v>0</v>
      </c>
      <c r="BN32">
        <v>0</v>
      </c>
      <c r="BO32">
        <v>2.4000000000000004</v>
      </c>
      <c r="BP32">
        <v>1.5999999999999996</v>
      </c>
      <c r="BQ32">
        <v>2.4000000000000004</v>
      </c>
      <c r="BR32">
        <v>0</v>
      </c>
      <c r="BS32">
        <v>19.2</v>
      </c>
      <c r="BT32" s="41">
        <v>3.1999999999999997</v>
      </c>
      <c r="BU32">
        <v>16.799999999999997</v>
      </c>
      <c r="BV32" s="38">
        <v>19.200000000000003</v>
      </c>
      <c r="BW32">
        <v>602337.72</v>
      </c>
      <c r="BX32">
        <v>94.4</v>
      </c>
      <c r="BY32">
        <v>673336.1</v>
      </c>
      <c r="BZ32">
        <v>563.20000000000005</v>
      </c>
      <c r="CA32">
        <v>30607.880000000005</v>
      </c>
      <c r="CB32">
        <v>1059.1999999999998</v>
      </c>
      <c r="CC32">
        <v>59.2</v>
      </c>
      <c r="CD32">
        <v>2.3999999999999995</v>
      </c>
      <c r="CE32">
        <v>8</v>
      </c>
      <c r="CF32">
        <v>5.6</v>
      </c>
      <c r="CG32">
        <v>1.6</v>
      </c>
      <c r="CH32">
        <v>958892.14</v>
      </c>
      <c r="CI32">
        <v>21.6</v>
      </c>
      <c r="CJ32">
        <v>48</v>
      </c>
      <c r="CK32">
        <v>7395.8</v>
      </c>
      <c r="CL32">
        <v>0</v>
      </c>
      <c r="CM32">
        <v>0.8</v>
      </c>
      <c r="CN32">
        <v>1026397.32</v>
      </c>
      <c r="CO32">
        <v>274.60000000000002</v>
      </c>
      <c r="CP32">
        <v>6.4</v>
      </c>
      <c r="CQ32">
        <v>0</v>
      </c>
      <c r="CR32">
        <v>0</v>
      </c>
      <c r="CS32">
        <v>0</v>
      </c>
    </row>
    <row r="33" spans="1:97" s="1" customFormat="1" x14ac:dyDescent="0.25">
      <c r="A33" s="1">
        <v>11.48</v>
      </c>
      <c r="B33" s="1" t="s">
        <v>122</v>
      </c>
      <c r="C33" s="1">
        <f>(A33*C3)/(100*C32)</f>
        <v>9.9725196201692139E-5</v>
      </c>
      <c r="J33" s="1">
        <f>(A33*J5)/(100*J32)</f>
        <v>1.9050156859177503E-7</v>
      </c>
      <c r="K33" s="51">
        <f>(A33*K5)/(100*K32)</f>
        <v>1.9586583316301005E-7</v>
      </c>
      <c r="L33" s="1">
        <f>(A33*L5)/(100*L32)</f>
        <v>1.9888946160684485E-7</v>
      </c>
      <c r="P33" s="43">
        <f>(A33*(P5/100))/(P32)</f>
        <v>2.7557880255014534E-7</v>
      </c>
      <c r="R33" s="1">
        <f>(11.48*0.0925)/R32</f>
        <v>2.723261820889949E-5</v>
      </c>
      <c r="S33" s="1">
        <f>(11.48*0.1592)/S32</f>
        <v>2.5425550089119419E-5</v>
      </c>
      <c r="T33" s="1">
        <f>(11.48*0.1668)/T32</f>
        <v>2.4668408564655274E-5</v>
      </c>
      <c r="U33" s="1">
        <f>(0.0955*11.48)/U32</f>
        <v>2.3707375637586854E-5</v>
      </c>
      <c r="V33" s="1">
        <f>(11.48*0.2413)/V32</f>
        <v>2.2052627154373581E-5</v>
      </c>
      <c r="X33" s="1">
        <f>(11.48*0.0963)/X32</f>
        <v>2.006188107582337E-5</v>
      </c>
      <c r="AD33" s="1">
        <f>(A33*0.0125)/AD32</f>
        <v>2.6392357803125887E-5</v>
      </c>
      <c r="AE33" s="1">
        <f>(11.48*0.51839)/AE32</f>
        <v>1.8923963479473106E-5</v>
      </c>
      <c r="AF33" s="1">
        <f>(11.48*0.0089)/AF32</f>
        <v>2.126403769469627E-5</v>
      </c>
      <c r="AG33" s="1">
        <f>(11.48*0.48161)/AG32</f>
        <v>1.5495775552960631E-5</v>
      </c>
      <c r="AH33" s="1">
        <f>(11.48*0.1249)/AH32</f>
        <v>1.9053493753556293E-5</v>
      </c>
      <c r="AI33" s="1">
        <f>(11.48*0.128)/AI32</f>
        <v>1.8068638792486091E-5</v>
      </c>
      <c r="AJ33" s="1">
        <f>(11.48*0.2413)/AJ32</f>
        <v>1.7306601141934645E-5</v>
      </c>
      <c r="AK33" s="54">
        <f>(20.61*0.0429)/(AK32-11.48*0.1222*(1/Response_Functions!D131))</f>
        <v>9.9969877898377815E-6</v>
      </c>
      <c r="AL33" s="1">
        <f>(11.48*0.2873)/AL32</f>
        <v>1.6623063643747749E-5</v>
      </c>
      <c r="AM33" s="1">
        <f>(20.61*0.9571)/AM32</f>
        <v>9.6006296579647836E-6</v>
      </c>
      <c r="AN33" s="1">
        <f>(11.48*0.0749)/AN32</f>
        <v>1.3891443272120761E-5</v>
      </c>
      <c r="AS33" s="43">
        <f>(11.48*0.5721)/AS32</f>
        <v>2.7816892669202882E-5</v>
      </c>
      <c r="AU33" s="43">
        <f>(11.48*0.4279)/AU32</f>
        <v>2.7789012022445757E-5</v>
      </c>
      <c r="BB33" s="1">
        <f>(0.00106*11.48)/BB32</f>
        <v>1.1158917927556167E-5</v>
      </c>
      <c r="BD33" s="1">
        <f>(0.00101*11.48)/BD32</f>
        <v>1.0813220427500283E-5</v>
      </c>
      <c r="BF33" s="1">
        <f>(11.48*0.02417)/BF32</f>
        <v>1.0322757779133619E-5</v>
      </c>
      <c r="BG33" s="1">
        <f>(0.06592*11.48)/BG32</f>
        <v>1.037757759031611E-5</v>
      </c>
      <c r="BH33" s="1">
        <f>(11.48*0.07854)/BH32</f>
        <v>1.0471866213091354E-5</v>
      </c>
      <c r="BI33" s="1">
        <f>(11.48*0.11232)/BI32</f>
        <v>1.00972470957663E-5</v>
      </c>
      <c r="BJ33" s="1">
        <f>(11.48*(0.71698+0.0009))/BJ32</f>
        <v>1.0241204308391281E-5</v>
      </c>
      <c r="BK33" s="1">
        <f>(11.48*0.9991)/BK32</f>
        <v>1.0939621252291547E-5</v>
      </c>
      <c r="BT33" s="43"/>
      <c r="BV33" s="44"/>
      <c r="BW33" s="1">
        <f>(11.48*0.4781)/BW32</f>
        <v>9.1121439314808324E-6</v>
      </c>
      <c r="BY33" s="1">
        <f>(11.48*0.5219)/BY32</f>
        <v>8.8981000721630706E-6</v>
      </c>
      <c r="CJ33" s="1">
        <f>(11.48*(CJ3/100))/CJ32</f>
        <v>0</v>
      </c>
      <c r="CK33" s="1">
        <f>(0.0072*11.48)/CK32</f>
        <v>1.1176072906244085E-5</v>
      </c>
      <c r="CN33" s="1">
        <f>(11.48*0.992745)/CN32</f>
        <v>1.1103607129449637E-5</v>
      </c>
    </row>
    <row r="34" spans="1:97" x14ac:dyDescent="0.25">
      <c r="A34" t="s">
        <v>120</v>
      </c>
    </row>
    <row r="35" spans="1:97" x14ac:dyDescent="0.25">
      <c r="B35" t="s">
        <v>121</v>
      </c>
      <c r="C35" s="37">
        <v>19.2</v>
      </c>
      <c r="D35" s="37">
        <v>63.2</v>
      </c>
      <c r="E35" s="37">
        <v>6.4</v>
      </c>
      <c r="F35" s="37">
        <v>156</v>
      </c>
      <c r="G35" s="37">
        <v>14.4</v>
      </c>
      <c r="H35" s="37">
        <v>24</v>
      </c>
      <c r="I35" s="37">
        <v>11.2</v>
      </c>
      <c r="J35" s="37">
        <v>169.6</v>
      </c>
      <c r="K35" s="37">
        <v>3.2</v>
      </c>
      <c r="L35" s="37">
        <v>12.8</v>
      </c>
      <c r="M35" s="37">
        <v>7.2</v>
      </c>
      <c r="N35" s="37">
        <v>4.8</v>
      </c>
      <c r="O35" s="37">
        <v>6.4</v>
      </c>
      <c r="P35" s="80">
        <v>4.8</v>
      </c>
      <c r="Q35" s="37">
        <v>4</v>
      </c>
      <c r="R35" s="37">
        <v>1.6</v>
      </c>
      <c r="S35" s="37">
        <v>2.4</v>
      </c>
      <c r="T35" s="37">
        <v>12.8</v>
      </c>
      <c r="U35" s="37">
        <v>1.6</v>
      </c>
      <c r="V35" s="37">
        <v>4</v>
      </c>
      <c r="W35" s="37">
        <v>1.6</v>
      </c>
      <c r="X35" s="37">
        <v>2.4</v>
      </c>
      <c r="Y35" s="37">
        <v>1.6</v>
      </c>
      <c r="Z35" s="37">
        <v>0.8</v>
      </c>
      <c r="AA35" s="37">
        <v>2.4</v>
      </c>
      <c r="AB35" s="37">
        <v>4.8</v>
      </c>
      <c r="AC35" s="37">
        <v>0</v>
      </c>
      <c r="AD35" s="37">
        <v>0</v>
      </c>
      <c r="AE35" s="37">
        <v>12.8</v>
      </c>
      <c r="AF35" s="37">
        <v>0</v>
      </c>
      <c r="AG35" s="37">
        <v>12</v>
      </c>
      <c r="AH35" s="37">
        <v>3.2</v>
      </c>
      <c r="AI35" s="37">
        <v>0.8</v>
      </c>
      <c r="AJ35" s="37">
        <v>2.4</v>
      </c>
      <c r="AK35" s="37">
        <v>0</v>
      </c>
      <c r="AL35" s="37">
        <v>1.6</v>
      </c>
      <c r="AM35" s="37">
        <v>7.2</v>
      </c>
      <c r="AN35" s="37">
        <v>43.2</v>
      </c>
      <c r="AO35" s="37">
        <v>21.6</v>
      </c>
      <c r="AP35" s="37">
        <v>79.2</v>
      </c>
      <c r="AQ35" s="37">
        <v>32.799999999999997</v>
      </c>
      <c r="AR35" s="37">
        <v>101.6</v>
      </c>
      <c r="AS35" s="80">
        <v>1.6</v>
      </c>
      <c r="AT35" s="37">
        <v>23.2</v>
      </c>
      <c r="AU35" s="80">
        <v>6.4</v>
      </c>
      <c r="AV35" s="37">
        <v>40</v>
      </c>
      <c r="AW35" s="37">
        <v>16.8</v>
      </c>
      <c r="AX35" s="37">
        <v>69.599999999999994</v>
      </c>
      <c r="AY35" s="37">
        <v>38101.199999999997</v>
      </c>
      <c r="AZ35" s="37">
        <v>244.8</v>
      </c>
      <c r="BA35" s="37">
        <v>2137</v>
      </c>
      <c r="BB35" s="37">
        <v>420.8</v>
      </c>
      <c r="BC35" s="37">
        <v>1756.1</v>
      </c>
      <c r="BD35" s="37">
        <v>2281</v>
      </c>
      <c r="BE35" s="37">
        <v>8.8000000000000007</v>
      </c>
      <c r="BF35" s="37">
        <v>904</v>
      </c>
      <c r="BG35" s="37">
        <v>6.4</v>
      </c>
      <c r="BH35" s="37">
        <v>816</v>
      </c>
      <c r="BI35" s="37">
        <v>3.2</v>
      </c>
      <c r="BJ35" s="37">
        <v>32.799999999999997</v>
      </c>
      <c r="BK35" s="37">
        <v>3.2</v>
      </c>
      <c r="BL35" s="37">
        <v>1.6</v>
      </c>
      <c r="BM35" s="37">
        <v>0.8</v>
      </c>
      <c r="BN35" s="37">
        <v>0</v>
      </c>
      <c r="BO35" s="37">
        <v>0</v>
      </c>
      <c r="BP35" s="37">
        <v>0.8</v>
      </c>
      <c r="BQ35" s="37">
        <v>0</v>
      </c>
      <c r="BR35" s="37">
        <v>0.8</v>
      </c>
      <c r="BS35" s="37">
        <v>0</v>
      </c>
      <c r="BT35" s="37">
        <v>1.6</v>
      </c>
      <c r="BU35" s="37">
        <v>0</v>
      </c>
      <c r="BV35" s="37">
        <v>0</v>
      </c>
      <c r="BW35" s="37">
        <v>0</v>
      </c>
      <c r="BX35" s="37">
        <v>1.6</v>
      </c>
      <c r="BY35" s="37">
        <v>0</v>
      </c>
      <c r="BZ35" s="37">
        <v>0.8</v>
      </c>
      <c r="CA35" s="37">
        <v>0</v>
      </c>
      <c r="CB35" s="37">
        <v>0</v>
      </c>
      <c r="CC35" s="37">
        <v>0.8</v>
      </c>
      <c r="CD35" s="37">
        <v>0</v>
      </c>
      <c r="CE35" s="37">
        <v>0.8</v>
      </c>
      <c r="CF35" s="37">
        <v>0</v>
      </c>
      <c r="CG35" s="37">
        <v>0</v>
      </c>
      <c r="CH35" s="37">
        <v>32</v>
      </c>
      <c r="CI35" s="37">
        <v>0</v>
      </c>
      <c r="CJ35" s="37">
        <v>0</v>
      </c>
      <c r="CK35" s="37">
        <v>0</v>
      </c>
      <c r="CL35" s="37">
        <v>0</v>
      </c>
      <c r="CM35" s="37">
        <v>0</v>
      </c>
      <c r="CN35" s="37">
        <v>1.6</v>
      </c>
      <c r="CO35" s="37">
        <v>0</v>
      </c>
      <c r="CP35" s="37">
        <v>0</v>
      </c>
      <c r="CQ35" s="37">
        <v>0</v>
      </c>
      <c r="CR35" s="37">
        <v>0.8</v>
      </c>
      <c r="CS35" s="37">
        <v>0</v>
      </c>
    </row>
    <row r="36" spans="1:97" x14ac:dyDescent="0.25"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80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80"/>
      <c r="AT36" s="37"/>
      <c r="AU36" s="80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  <c r="CB36" s="37"/>
      <c r="CC36" s="37"/>
      <c r="CD36" s="37"/>
      <c r="CE36" s="37"/>
      <c r="CF36" s="37"/>
      <c r="CG36" s="37"/>
      <c r="CH36" s="37"/>
      <c r="CI36" s="37"/>
      <c r="CJ36" s="37"/>
      <c r="CK36" s="37"/>
      <c r="CL36" s="37"/>
      <c r="CM36" s="37"/>
      <c r="CN36" s="37"/>
      <c r="CO36" s="37"/>
      <c r="CP36" s="37"/>
      <c r="CQ36" s="37"/>
      <c r="CR36" s="37"/>
      <c r="CS36" s="37"/>
    </row>
    <row r="38" spans="1:97" s="8" customFormat="1" x14ac:dyDescent="0.25">
      <c r="P38" s="17"/>
      <c r="AS38" s="17"/>
      <c r="AU38" s="17"/>
    </row>
    <row r="39" spans="1:97" s="8" customFormat="1" x14ac:dyDescent="0.25">
      <c r="P39" s="17"/>
      <c r="AS39" s="17"/>
      <c r="AU39" s="17"/>
    </row>
    <row r="40" spans="1:97" s="8" customFormat="1" x14ac:dyDescent="0.25">
      <c r="P40" s="17"/>
      <c r="AS40" s="17"/>
      <c r="AU40" s="17"/>
    </row>
    <row r="41" spans="1:97" s="8" customFormat="1" x14ac:dyDescent="0.25">
      <c r="P41" s="17"/>
      <c r="AS41" s="17"/>
      <c r="AU41" s="17"/>
    </row>
    <row r="42" spans="1:97" s="17" customFormat="1" x14ac:dyDescent="0.25"/>
    <row r="43" spans="1:97" s="17" customFormat="1" x14ac:dyDescent="0.25"/>
    <row r="44" spans="1:97" s="17" customFormat="1" x14ac:dyDescent="0.25"/>
    <row r="45" spans="1:97" s="17" customFormat="1" x14ac:dyDescent="0.25">
      <c r="T45" s="30"/>
      <c r="U45" s="30"/>
    </row>
    <row r="46" spans="1:97" s="17" customFormat="1" x14ac:dyDescent="0.25">
      <c r="T46" s="30"/>
      <c r="U46" s="30"/>
    </row>
    <row r="47" spans="1:97" s="8" customFormat="1" x14ac:dyDescent="0.25">
      <c r="P47" s="17"/>
      <c r="AS47" s="17"/>
      <c r="AU47" s="17"/>
    </row>
    <row r="48" spans="1:97" s="8" customFormat="1" x14ac:dyDescent="0.25">
      <c r="P48" s="17"/>
      <c r="AS48" s="17"/>
      <c r="AU48" s="17"/>
    </row>
    <row r="49" spans="2:47" s="8" customFormat="1" x14ac:dyDescent="0.25">
      <c r="P49" s="17"/>
      <c r="AS49" s="17"/>
      <c r="AU49" s="17"/>
    </row>
    <row r="50" spans="2:47" s="8" customFormat="1" x14ac:dyDescent="0.25">
      <c r="P50" s="17"/>
      <c r="AS50" s="17"/>
      <c r="AU50" s="17"/>
    </row>
    <row r="51" spans="2:47" s="8" customFormat="1" x14ac:dyDescent="0.25">
      <c r="P51" s="17"/>
      <c r="AS51" s="17"/>
      <c r="AU51" s="17"/>
    </row>
    <row r="52" spans="2:47" s="8" customFormat="1" x14ac:dyDescent="0.25">
      <c r="P52" s="17"/>
      <c r="AS52" s="17"/>
      <c r="AU52" s="17"/>
    </row>
    <row r="53" spans="2:47" s="8" customFormat="1" x14ac:dyDescent="0.25">
      <c r="P53" s="17"/>
      <c r="AS53" s="17"/>
      <c r="AU53" s="17"/>
    </row>
    <row r="54" spans="2:47" s="8" customFormat="1" x14ac:dyDescent="0.25">
      <c r="P54" s="17"/>
      <c r="AS54" s="17"/>
      <c r="AU54" s="17"/>
    </row>
    <row r="63" spans="2:47" x14ac:dyDescent="0.25">
      <c r="B63" s="40"/>
    </row>
  </sheetData>
  <pageMargins left="0.7" right="0.7" top="0.75" bottom="0.75" header="0.3" footer="0.3"/>
  <pageSetup scale="10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401"/>
  <sheetViews>
    <sheetView tabSelected="1" topLeftCell="A197" zoomScale="70" zoomScaleNormal="70" workbookViewId="0">
      <pane xSplit="1" topLeftCell="B1" activePane="topRight" state="frozen"/>
      <selection activeCell="A85" sqref="A85"/>
      <selection pane="topRight" activeCell="H221" sqref="H221"/>
    </sheetView>
  </sheetViews>
  <sheetFormatPr defaultRowHeight="15" x14ac:dyDescent="0.25"/>
  <cols>
    <col min="1" max="1" width="5.7109375" customWidth="1"/>
    <col min="2" max="2" width="24.85546875" customWidth="1"/>
    <col min="3" max="3" width="10.85546875" customWidth="1"/>
    <col min="4" max="4" width="22.85546875" customWidth="1"/>
    <col min="5" max="5" width="12" customWidth="1"/>
    <col min="6" max="6" width="15" customWidth="1"/>
    <col min="7" max="7" width="11.140625" customWidth="1"/>
    <col min="8" max="8" width="15.28515625" customWidth="1"/>
    <col min="9" max="9" width="14" bestFit="1" customWidth="1"/>
    <col min="10" max="10" width="16.28515625" customWidth="1"/>
    <col min="11" max="11" width="13" customWidth="1"/>
    <col min="12" max="12" width="13.28515625" customWidth="1"/>
    <col min="14" max="14" width="18.42578125" customWidth="1"/>
    <col min="16" max="16" width="9.140625" customWidth="1"/>
    <col min="17" max="17" width="10" customWidth="1"/>
    <col min="18" max="18" width="15.28515625" bestFit="1" customWidth="1"/>
    <col min="19" max="19" width="12.140625" customWidth="1"/>
    <col min="20" max="20" width="17.42578125" customWidth="1"/>
    <col min="22" max="22" width="14.85546875" bestFit="1" customWidth="1"/>
    <col min="23" max="23" width="12.28515625" customWidth="1"/>
    <col min="24" max="24" width="10.28515625" bestFit="1" customWidth="1"/>
    <col min="25" max="25" width="12.28515625" customWidth="1"/>
    <col min="26" max="26" width="15.28515625" bestFit="1" customWidth="1"/>
    <col min="27" max="27" width="12.140625" customWidth="1"/>
    <col min="28" max="28" width="10.42578125" customWidth="1"/>
    <col min="29" max="29" width="14.42578125" bestFit="1" customWidth="1"/>
    <col min="32" max="32" width="14.140625" customWidth="1"/>
    <col min="33" max="33" width="10.140625" customWidth="1"/>
    <col min="35" max="35" width="14.85546875" bestFit="1" customWidth="1"/>
    <col min="36" max="36" width="13.5703125" bestFit="1" customWidth="1"/>
  </cols>
  <sheetData>
    <row r="1" spans="1:33" ht="45.75" thickBot="1" x14ac:dyDescent="0.3">
      <c r="A1" t="s">
        <v>0</v>
      </c>
      <c r="B1" s="39" t="s">
        <v>136</v>
      </c>
      <c r="C1" s="77" t="s">
        <v>332</v>
      </c>
      <c r="D1" s="39" t="s">
        <v>137</v>
      </c>
      <c r="E1" s="77" t="s">
        <v>332</v>
      </c>
      <c r="F1" s="39" t="s">
        <v>138</v>
      </c>
      <c r="G1" s="77" t="s">
        <v>332</v>
      </c>
      <c r="H1" s="39" t="s">
        <v>139</v>
      </c>
      <c r="I1" s="77" t="s">
        <v>332</v>
      </c>
      <c r="P1" t="s">
        <v>315</v>
      </c>
      <c r="Q1" t="s">
        <v>317</v>
      </c>
      <c r="R1" t="s">
        <v>316</v>
      </c>
      <c r="S1" t="s">
        <v>318</v>
      </c>
      <c r="T1" t="s">
        <v>337</v>
      </c>
      <c r="U1" t="s">
        <v>338</v>
      </c>
      <c r="V1" t="s">
        <v>319</v>
      </c>
      <c r="W1" t="s">
        <v>320</v>
      </c>
      <c r="X1" t="s">
        <v>343</v>
      </c>
      <c r="Y1" t="s">
        <v>344</v>
      </c>
      <c r="Z1" t="s">
        <v>346</v>
      </c>
      <c r="AA1" s="39" t="s">
        <v>345</v>
      </c>
      <c r="AB1" t="s">
        <v>321</v>
      </c>
      <c r="AC1" t="s">
        <v>322</v>
      </c>
      <c r="AD1" t="s">
        <v>343</v>
      </c>
      <c r="AE1" t="s">
        <v>344</v>
      </c>
      <c r="AF1" s="39" t="s">
        <v>346</v>
      </c>
      <c r="AG1" s="39" t="s">
        <v>345</v>
      </c>
    </row>
    <row r="2" spans="1:33" x14ac:dyDescent="0.25">
      <c r="A2">
        <v>86</v>
      </c>
      <c r="B2" s="55">
        <v>2.30771691920757E-5</v>
      </c>
      <c r="C2" s="55">
        <v>1.85713424399254E-7</v>
      </c>
      <c r="D2" s="55">
        <v>1.9050156938793099E-5</v>
      </c>
      <c r="E2" s="55">
        <v>1.4894960260708501E-7</v>
      </c>
      <c r="F2" s="55">
        <v>2.16977210172306E-5</v>
      </c>
      <c r="G2" s="55">
        <v>2.00943512757675E-7</v>
      </c>
      <c r="H2" s="55">
        <v>1.90086619270091E-5</v>
      </c>
      <c r="I2" s="55">
        <v>1.7265767922442499E-7</v>
      </c>
      <c r="N2" s="57" t="s">
        <v>144</v>
      </c>
      <c r="P2" t="s">
        <v>18</v>
      </c>
      <c r="Q2" t="s">
        <v>6</v>
      </c>
      <c r="R2" s="1">
        <v>9.8599999999999993E-2</v>
      </c>
      <c r="S2">
        <v>0</v>
      </c>
      <c r="T2" s="42">
        <v>9.6678583595954895E-2</v>
      </c>
      <c r="U2" s="1">
        <v>0</v>
      </c>
      <c r="V2">
        <v>48093.86</v>
      </c>
      <c r="W2">
        <v>58260.42</v>
      </c>
      <c r="X2">
        <v>11.48</v>
      </c>
      <c r="Y2">
        <v>0</v>
      </c>
      <c r="Z2">
        <v>0</v>
      </c>
      <c r="AA2">
        <v>0</v>
      </c>
      <c r="AB2">
        <v>37968.42</v>
      </c>
      <c r="AC2">
        <v>43339.62</v>
      </c>
      <c r="AD2">
        <v>8.5213099999999997</v>
      </c>
      <c r="AE2">
        <v>2.1306029999999998</v>
      </c>
      <c r="AF2">
        <v>0</v>
      </c>
      <c r="AG2">
        <v>0</v>
      </c>
    </row>
    <row r="3" spans="1:33" ht="15.75" thickBot="1" x14ac:dyDescent="0.3">
      <c r="A3">
        <v>87</v>
      </c>
      <c r="B3" s="52">
        <v>2.4401241361238601E-5</v>
      </c>
      <c r="C3" s="55">
        <v>2.1073083569353199E-7</v>
      </c>
      <c r="D3" s="55">
        <v>1.9586583252777999E-5</v>
      </c>
      <c r="E3" s="55">
        <v>1.62156985948823E-7</v>
      </c>
      <c r="F3" s="55">
        <v>2.1900296547855699E-5</v>
      </c>
      <c r="G3" s="55">
        <v>5.5926220231227001E-7</v>
      </c>
      <c r="H3" s="55">
        <v>1.9599986671767401E-5</v>
      </c>
      <c r="I3" s="55">
        <v>5.2206027500177596E-7</v>
      </c>
      <c r="N3" s="58" t="s">
        <v>18</v>
      </c>
      <c r="P3" t="s">
        <v>18</v>
      </c>
      <c r="Q3" t="s">
        <v>5</v>
      </c>
      <c r="R3" s="1">
        <v>7.0000000000000007E-2</v>
      </c>
      <c r="S3" s="1">
        <v>0.27829999999999999</v>
      </c>
      <c r="T3" s="42">
        <v>6.9434540225189398E-2</v>
      </c>
      <c r="U3" s="1">
        <v>0.28299400000000002</v>
      </c>
      <c r="V3">
        <v>32666.720000000001</v>
      </c>
      <c r="W3">
        <v>40696.660000000003</v>
      </c>
      <c r="X3">
        <v>11.48</v>
      </c>
      <c r="Y3">
        <v>0</v>
      </c>
      <c r="Z3">
        <v>0</v>
      </c>
      <c r="AA3">
        <v>0</v>
      </c>
      <c r="AB3">
        <v>52704.639999999999</v>
      </c>
      <c r="AC3">
        <v>60579.48</v>
      </c>
      <c r="AD3">
        <v>8.5213099999999997</v>
      </c>
      <c r="AE3">
        <v>2.1306029999999998</v>
      </c>
      <c r="AF3" s="103">
        <v>2.3472307023032E-5</v>
      </c>
      <c r="AG3" s="102">
        <v>1.9838963290717601E-5</v>
      </c>
    </row>
    <row r="4" spans="1:33" x14ac:dyDescent="0.25">
      <c r="A4">
        <v>88</v>
      </c>
      <c r="B4" s="55">
        <v>2.51012620741089E-5</v>
      </c>
      <c r="C4" s="55">
        <v>1.71367499050015E-7</v>
      </c>
      <c r="D4" s="55">
        <v>1.9888945333941101E-5</v>
      </c>
      <c r="E4" s="55">
        <v>1.3498216787682501E-7</v>
      </c>
      <c r="F4" s="55">
        <v>2.20275051283778E-5</v>
      </c>
      <c r="G4" s="55">
        <v>1.7421128072245601E-7</v>
      </c>
      <c r="H4" s="55">
        <v>1.97470904434267E-5</v>
      </c>
      <c r="I4" s="55">
        <v>1.55772158730659E-7</v>
      </c>
      <c r="P4" t="s">
        <v>18</v>
      </c>
      <c r="R4" s="1">
        <v>0.82579999999999998</v>
      </c>
      <c r="S4" s="1">
        <v>0</v>
      </c>
      <c r="T4" s="42">
        <v>0.82852356679032202</v>
      </c>
      <c r="U4">
        <v>0</v>
      </c>
      <c r="V4">
        <v>378923.2</v>
      </c>
      <c r="W4">
        <v>478228</v>
      </c>
      <c r="X4">
        <v>11.48</v>
      </c>
      <c r="Y4">
        <v>0</v>
      </c>
      <c r="Z4">
        <v>0</v>
      </c>
      <c r="AA4">
        <v>0</v>
      </c>
      <c r="AB4">
        <v>320513.2</v>
      </c>
      <c r="AC4">
        <v>357526.4</v>
      </c>
      <c r="AD4">
        <v>8.5213099999999997</v>
      </c>
      <c r="AE4">
        <v>2.1306029999999998</v>
      </c>
      <c r="AF4">
        <v>0</v>
      </c>
      <c r="AG4">
        <v>0</v>
      </c>
    </row>
    <row r="5" spans="1:33" ht="15.75" thickBot="1" x14ac:dyDescent="0.3">
      <c r="C5" t="s">
        <v>333</v>
      </c>
      <c r="E5" t="s">
        <v>333</v>
      </c>
      <c r="G5" t="s">
        <v>333</v>
      </c>
      <c r="Q5" s="64"/>
      <c r="R5" s="64"/>
      <c r="S5" s="64"/>
      <c r="T5" s="64"/>
      <c r="U5" s="64"/>
      <c r="V5" s="64"/>
      <c r="W5" s="64"/>
      <c r="X5" s="64"/>
      <c r="Y5" s="64"/>
    </row>
    <row r="6" spans="1:33" x14ac:dyDescent="0.25">
      <c r="A6" t="s">
        <v>140</v>
      </c>
      <c r="B6" s="55">
        <v>7.4145000000000001E-7</v>
      </c>
      <c r="C6" s="92">
        <f>C2/B2</f>
        <v>8.0474958975048274E-3</v>
      </c>
      <c r="D6" s="56">
        <v>1.9740000000000001E-7</v>
      </c>
      <c r="E6" s="96">
        <f>E2/D2</f>
        <v>7.818812363890244E-3</v>
      </c>
      <c r="F6" s="55">
        <v>-8.6949999999999994E-8</v>
      </c>
      <c r="G6" s="92">
        <f>G2/F2</f>
        <v>9.2610423278141375E-3</v>
      </c>
      <c r="H6" s="55">
        <v>1.4789999999999999E-7</v>
      </c>
      <c r="Q6" t="s">
        <v>325</v>
      </c>
      <c r="R6" t="s">
        <v>326</v>
      </c>
      <c r="V6" t="s">
        <v>18</v>
      </c>
      <c r="W6" t="s">
        <v>18</v>
      </c>
      <c r="X6" t="s">
        <v>18</v>
      </c>
      <c r="Y6" t="s">
        <v>18</v>
      </c>
    </row>
    <row r="7" spans="1:33" x14ac:dyDescent="0.25">
      <c r="A7" t="s">
        <v>141</v>
      </c>
      <c r="B7" s="55">
        <v>-4.0120999999999998E-5</v>
      </c>
      <c r="C7" s="92">
        <f t="shared" ref="C7:C8" si="0">C3/B3</f>
        <v>8.6360702955169382E-3</v>
      </c>
      <c r="D7" s="55">
        <v>2.4924000000000001E-6</v>
      </c>
      <c r="E7" s="96">
        <f t="shared" ref="E7:E8" si="1">E3/D3</f>
        <v>8.2789828045084883E-3</v>
      </c>
      <c r="F7" s="55">
        <v>2.9658999999999998E-5</v>
      </c>
      <c r="G7" s="92">
        <f t="shared" ref="G7:G8" si="2">G3/F3</f>
        <v>2.5536741070614793E-2</v>
      </c>
      <c r="H7" s="55">
        <v>6.7375999999999997E-6</v>
      </c>
      <c r="Q7" t="s">
        <v>6</v>
      </c>
      <c r="V7">
        <v>11.48</v>
      </c>
      <c r="W7">
        <v>11.48</v>
      </c>
      <c r="X7">
        <v>8.521312</v>
      </c>
      <c r="Y7">
        <v>8.521312</v>
      </c>
    </row>
    <row r="8" spans="1:33" x14ac:dyDescent="0.25">
      <c r="B8" t="s">
        <v>149</v>
      </c>
      <c r="C8" s="92">
        <f t="shared" si="0"/>
        <v>6.8270471239282732E-3</v>
      </c>
      <c r="E8" s="96">
        <f t="shared" si="1"/>
        <v>6.7867936489560236E-3</v>
      </c>
      <c r="G8" s="92">
        <f t="shared" si="2"/>
        <v>7.9088067262788418E-3</v>
      </c>
      <c r="Q8" t="s">
        <v>18</v>
      </c>
      <c r="X8" t="s">
        <v>5</v>
      </c>
      <c r="Y8" t="s">
        <v>5</v>
      </c>
    </row>
    <row r="9" spans="1:33" x14ac:dyDescent="0.25">
      <c r="A9">
        <v>90</v>
      </c>
      <c r="B9" s="55">
        <f>B6*A9+B7</f>
        <v>2.6609500000000003E-5</v>
      </c>
      <c r="C9" s="55"/>
      <c r="D9" s="55">
        <f>$A9*D6+D7</f>
        <v>2.0258399999999999E-5</v>
      </c>
      <c r="E9" s="55"/>
      <c r="F9" s="55">
        <f>$A9*F6+F7</f>
        <v>2.18335E-5</v>
      </c>
      <c r="G9" s="55"/>
      <c r="H9" s="55">
        <f>$A9*H6+H7</f>
        <v>2.00486E-5</v>
      </c>
      <c r="Q9" t="s">
        <v>5</v>
      </c>
      <c r="X9">
        <v>2.1306029999999998</v>
      </c>
      <c r="Y9">
        <v>2.1306029999999998</v>
      </c>
    </row>
    <row r="11" spans="1:33" x14ac:dyDescent="0.25">
      <c r="B11" s="55"/>
    </row>
    <row r="12" spans="1:33" x14ac:dyDescent="0.25">
      <c r="B12" s="55"/>
      <c r="C12" s="55"/>
      <c r="D12" s="55"/>
      <c r="E12" s="55"/>
      <c r="H12" s="55"/>
    </row>
    <row r="13" spans="1:33" x14ac:dyDescent="0.25">
      <c r="B13" s="55"/>
      <c r="C13" s="92"/>
      <c r="D13" s="37"/>
      <c r="E13" s="92"/>
      <c r="F13" s="92"/>
      <c r="G13" s="92"/>
      <c r="H13" s="92"/>
      <c r="I13" s="92"/>
    </row>
    <row r="14" spans="1:33" x14ac:dyDescent="0.25">
      <c r="B14" s="55"/>
    </row>
    <row r="15" spans="1:33" x14ac:dyDescent="0.25">
      <c r="B15" s="55"/>
      <c r="D15" s="75"/>
    </row>
    <row r="16" spans="1:33" x14ac:dyDescent="0.25">
      <c r="B16" s="92"/>
    </row>
    <row r="17" spans="1:30" ht="15.75" thickBot="1" x14ac:dyDescent="0.3"/>
    <row r="18" spans="1:30" ht="15.75" thickBot="1" x14ac:dyDescent="0.3">
      <c r="A18" s="48"/>
      <c r="B18" s="93" t="s">
        <v>329</v>
      </c>
      <c r="C18" s="94">
        <f>((MAX(B2:B4,D2:D4,F2:F4,H2:H4)-MIN(B2:B4,D2:D4,F2:F4,H2:H4))/AVERAGE(MAX(B2:B4,D2:D4,F2:F4,H2:H4),MIN(B2:B4,D2:D4,F2:F4,H2:H4)))</f>
        <v>0.27624623188855996</v>
      </c>
      <c r="D18" s="72" t="s">
        <v>331</v>
      </c>
      <c r="E18" s="95">
        <f>C18/G18</f>
        <v>0.13812311594427998</v>
      </c>
      <c r="F18" s="72" t="s">
        <v>330</v>
      </c>
      <c r="G18" s="73">
        <f>(MAX(A2:A4)-MIN(A2:A4))</f>
        <v>2</v>
      </c>
      <c r="H18" s="48"/>
      <c r="I18" s="48"/>
      <c r="J18" s="48"/>
      <c r="K18" s="48"/>
      <c r="L18" s="48"/>
      <c r="M18" s="48"/>
      <c r="N18" s="48"/>
      <c r="O18" s="48"/>
      <c r="P18" s="48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</row>
    <row r="19" spans="1:30" ht="30.75" thickBot="1" x14ac:dyDescent="0.3">
      <c r="A19" t="s">
        <v>0</v>
      </c>
      <c r="B19" s="39" t="s">
        <v>142</v>
      </c>
      <c r="C19" s="77" t="s">
        <v>332</v>
      </c>
      <c r="D19" s="39" t="s">
        <v>143</v>
      </c>
      <c r="E19" s="77" t="s">
        <v>332</v>
      </c>
      <c r="P19" t="s">
        <v>315</v>
      </c>
      <c r="Q19" t="s">
        <v>317</v>
      </c>
      <c r="R19" t="s">
        <v>316</v>
      </c>
      <c r="S19" t="s">
        <v>318</v>
      </c>
      <c r="T19" t="s">
        <v>337</v>
      </c>
      <c r="U19" t="s">
        <v>338</v>
      </c>
      <c r="V19" t="s">
        <v>319</v>
      </c>
      <c r="W19" t="s">
        <v>320</v>
      </c>
      <c r="X19" t="s">
        <v>343</v>
      </c>
      <c r="Y19" t="s">
        <v>344</v>
      </c>
      <c r="Z19" t="s">
        <v>346</v>
      </c>
      <c r="AA19" s="39" t="s">
        <v>345</v>
      </c>
    </row>
    <row r="20" spans="1:30" x14ac:dyDescent="0.25">
      <c r="A20">
        <v>85</v>
      </c>
      <c r="B20" s="75">
        <v>2.1739550316006601E-5</v>
      </c>
      <c r="C20" s="55">
        <v>5.28032790013543E-7</v>
      </c>
      <c r="D20" s="75">
        <v>1.9319136405369099E-5</v>
      </c>
      <c r="E20" s="55">
        <v>4.6861273391290498E-7</v>
      </c>
      <c r="N20" s="57" t="s">
        <v>145</v>
      </c>
      <c r="P20" t="s">
        <v>5</v>
      </c>
      <c r="R20">
        <v>0.72170000000000001</v>
      </c>
      <c r="S20">
        <v>0</v>
      </c>
      <c r="T20">
        <v>0.71700600000000003</v>
      </c>
      <c r="U20">
        <v>0</v>
      </c>
      <c r="V20">
        <v>70270.679999999993</v>
      </c>
      <c r="W20">
        <v>79074.600000000006</v>
      </c>
      <c r="X20">
        <v>2.1305999999999998</v>
      </c>
      <c r="Y20">
        <v>0</v>
      </c>
      <c r="Z20">
        <v>0</v>
      </c>
      <c r="AA20">
        <v>0</v>
      </c>
    </row>
    <row r="21" spans="1:30" ht="15.75" thickBot="1" x14ac:dyDescent="0.3">
      <c r="A21">
        <v>87</v>
      </c>
      <c r="B21" s="75"/>
      <c r="C21" s="55"/>
      <c r="D21" s="102">
        <v>1.9838963290717601E-5</v>
      </c>
      <c r="E21" s="55">
        <v>5.2486841445150205E-7</v>
      </c>
      <c r="F21" t="s">
        <v>146</v>
      </c>
      <c r="N21" s="58" t="s">
        <v>5</v>
      </c>
      <c r="P21" t="s">
        <v>5</v>
      </c>
      <c r="Q21" t="s">
        <v>18</v>
      </c>
      <c r="R21">
        <v>0.27829999999999999</v>
      </c>
      <c r="S21">
        <v>7.0000000000000007E-2</v>
      </c>
      <c r="T21" s="1">
        <v>0.28299400000000002</v>
      </c>
      <c r="U21" s="42">
        <v>6.9434540225189398E-2</v>
      </c>
      <c r="V21">
        <v>52704.639999999999</v>
      </c>
      <c r="W21">
        <v>60579.48</v>
      </c>
      <c r="X21">
        <v>2.1305999999999998</v>
      </c>
      <c r="Y21">
        <v>8.521312</v>
      </c>
      <c r="Z21" s="55">
        <v>2.1913451217795067E-5</v>
      </c>
      <c r="AA21" s="55">
        <f>D3</f>
        <v>1.9586583252777999E-5</v>
      </c>
    </row>
    <row r="22" spans="1:30" ht="15.75" thickBot="1" x14ac:dyDescent="0.3">
      <c r="A22" s="49">
        <v>87</v>
      </c>
      <c r="B22" s="103">
        <v>2.3472307023032E-5</v>
      </c>
      <c r="C22" s="78">
        <v>6.3041391930445701E-7</v>
      </c>
      <c r="D22" s="76"/>
      <c r="E22" s="78"/>
      <c r="F22" s="49" t="s">
        <v>147</v>
      </c>
      <c r="G22" s="49"/>
      <c r="H22" s="49"/>
      <c r="K22" s="55">
        <v>2.1913451217795067E-5</v>
      </c>
      <c r="Q22" s="64"/>
      <c r="R22" s="64"/>
      <c r="S22" s="64"/>
      <c r="T22" s="64"/>
      <c r="U22" s="64"/>
      <c r="V22" s="64"/>
      <c r="W22" s="64"/>
    </row>
    <row r="23" spans="1:30" x14ac:dyDescent="0.25">
      <c r="C23" s="55"/>
      <c r="E23" s="55"/>
      <c r="Q23" t="s">
        <v>325</v>
      </c>
      <c r="R23" t="s">
        <v>326</v>
      </c>
      <c r="V23" t="s">
        <v>18</v>
      </c>
      <c r="W23" t="s">
        <v>18</v>
      </c>
      <c r="Z23" s="55"/>
    </row>
    <row r="24" spans="1:30" x14ac:dyDescent="0.25">
      <c r="A24" s="49"/>
      <c r="B24" s="76"/>
      <c r="C24" s="76"/>
      <c r="D24" s="76"/>
      <c r="E24" s="76"/>
      <c r="F24" s="49"/>
      <c r="G24" s="49"/>
      <c r="H24" s="49"/>
      <c r="I24" s="49"/>
      <c r="J24" s="49"/>
      <c r="K24" s="78"/>
      <c r="L24" s="49"/>
      <c r="M24" s="49"/>
      <c r="N24" s="49"/>
      <c r="O24" s="49"/>
      <c r="P24" s="49"/>
      <c r="Q24" s="49" t="s">
        <v>5</v>
      </c>
      <c r="V24">
        <v>8.521312</v>
      </c>
      <c r="W24">
        <v>8.521312</v>
      </c>
    </row>
    <row r="25" spans="1:30" ht="15.75" thickBot="1" x14ac:dyDescent="0.3">
      <c r="A25" s="49"/>
      <c r="B25" s="76"/>
      <c r="C25" s="76"/>
      <c r="D25" s="76"/>
      <c r="E25" s="76"/>
      <c r="F25" s="49"/>
      <c r="G25" s="49"/>
      <c r="H25" s="49"/>
      <c r="I25" s="49"/>
      <c r="J25" s="49"/>
      <c r="K25" s="78"/>
      <c r="L25" s="49"/>
      <c r="M25" s="49"/>
      <c r="N25" s="49"/>
      <c r="O25" s="49"/>
      <c r="P25" s="49"/>
      <c r="Q25" s="49" t="s">
        <v>18</v>
      </c>
      <c r="V25" t="s">
        <v>5</v>
      </c>
      <c r="W25" t="s">
        <v>5</v>
      </c>
    </row>
    <row r="26" spans="1:30" ht="15.75" thickBot="1" x14ac:dyDescent="0.3">
      <c r="A26" s="64"/>
      <c r="B26" s="93" t="s">
        <v>329</v>
      </c>
      <c r="C26" s="94">
        <f>((MAX(B20:B23,D20:D23)-MIN(B20:B23,D20:D23))/AVERAGE(MAX(B20:B23,D20:D23),MIN(B20:B23,D20:D23)))</f>
        <v>0.19411220023984518</v>
      </c>
      <c r="D26" s="72" t="s">
        <v>331</v>
      </c>
      <c r="E26" s="95">
        <f>C26/G26</f>
        <v>9.7056100119922592E-2</v>
      </c>
      <c r="F26" s="72" t="s">
        <v>330</v>
      </c>
      <c r="G26" s="73">
        <f>87-85</f>
        <v>2</v>
      </c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>
        <v>2.1306029999999998</v>
      </c>
      <c r="W26" s="64">
        <v>2.1306029999999998</v>
      </c>
      <c r="X26" s="64"/>
      <c r="Y26" s="64"/>
      <c r="Z26" s="64"/>
      <c r="AA26" s="64"/>
      <c r="AB26" s="64"/>
      <c r="AC26" s="64"/>
      <c r="AD26" s="64"/>
    </row>
    <row r="27" spans="1:30" ht="45.75" thickBot="1" x14ac:dyDescent="0.3">
      <c r="A27" t="s">
        <v>0</v>
      </c>
      <c r="B27" s="39" t="s">
        <v>131</v>
      </c>
      <c r="C27" s="77" t="s">
        <v>332</v>
      </c>
      <c r="D27" s="39" t="s">
        <v>132</v>
      </c>
      <c r="E27" s="77" t="s">
        <v>332</v>
      </c>
      <c r="F27" s="39" t="s">
        <v>133</v>
      </c>
      <c r="G27" s="77" t="s">
        <v>332</v>
      </c>
      <c r="H27" s="39" t="s">
        <v>134</v>
      </c>
      <c r="I27" s="77" t="s">
        <v>332</v>
      </c>
      <c r="R27" t="s">
        <v>315</v>
      </c>
      <c r="S27" t="s">
        <v>316</v>
      </c>
      <c r="T27" t="s">
        <v>317</v>
      </c>
      <c r="U27" t="s">
        <v>318</v>
      </c>
      <c r="V27" t="s">
        <v>319</v>
      </c>
      <c r="W27" t="s">
        <v>320</v>
      </c>
    </row>
    <row r="28" spans="1:30" x14ac:dyDescent="0.25">
      <c r="A28">
        <v>89</v>
      </c>
      <c r="B28">
        <v>2.8904596903129144E-5</v>
      </c>
      <c r="C28" s="55">
        <v>2.0825999999999999E-7</v>
      </c>
      <c r="D28">
        <v>2.5879914555138242E-5</v>
      </c>
      <c r="E28" s="55">
        <v>1.824E-8</v>
      </c>
      <c r="F28">
        <v>2.3470840804398328E-5</v>
      </c>
      <c r="G28" s="55">
        <v>1.1193E-6</v>
      </c>
      <c r="H28">
        <v>2.1260905441623729E-5</v>
      </c>
      <c r="I28" s="55">
        <v>1.0134999999999999E-6</v>
      </c>
      <c r="N28" s="59" t="s">
        <v>148</v>
      </c>
      <c r="R28" t="s">
        <v>7</v>
      </c>
      <c r="S28">
        <v>100</v>
      </c>
      <c r="V28">
        <v>352539.1</v>
      </c>
      <c r="W28">
        <v>393741.6</v>
      </c>
      <c r="X28">
        <v>45140.82</v>
      </c>
      <c r="Y28">
        <v>49832.92</v>
      </c>
    </row>
    <row r="29" spans="1:30" ht="15.75" thickBot="1" x14ac:dyDescent="0.3">
      <c r="N29" s="58" t="s">
        <v>7</v>
      </c>
      <c r="Q29" s="64"/>
      <c r="R29" s="64"/>
      <c r="S29" s="64"/>
      <c r="T29" s="64"/>
      <c r="U29" s="64"/>
      <c r="V29" s="64"/>
      <c r="W29" s="64"/>
      <c r="X29" s="64"/>
      <c r="Y29" s="64"/>
    </row>
    <row r="30" spans="1:30" x14ac:dyDescent="0.25">
      <c r="Q30" t="s">
        <v>325</v>
      </c>
      <c r="R30" t="s">
        <v>326</v>
      </c>
      <c r="V30" t="s">
        <v>7</v>
      </c>
      <c r="W30" t="s">
        <v>7</v>
      </c>
      <c r="X30" t="s">
        <v>7</v>
      </c>
      <c r="Y30" t="s">
        <v>7</v>
      </c>
    </row>
    <row r="31" spans="1:30" x14ac:dyDescent="0.25">
      <c r="V31">
        <v>10.19</v>
      </c>
      <c r="W31">
        <v>10.19</v>
      </c>
      <c r="X31">
        <v>1.059493</v>
      </c>
      <c r="Y31">
        <v>1.059493</v>
      </c>
    </row>
    <row r="35" spans="1:30" ht="15.75" thickBot="1" x14ac:dyDescent="0.3"/>
    <row r="36" spans="1:30" ht="15.75" thickBot="1" x14ac:dyDescent="0.3">
      <c r="A36" s="48"/>
      <c r="B36" s="93" t="s">
        <v>329</v>
      </c>
      <c r="C36" s="94">
        <f>((MAX(B28,D28,F28,H28)-MIN(B28,D28,F28,H28))/AVERAGE(MAX(B28,D28,F28,H28),MIN(B28,D28,F28,H28)))</f>
        <v>0.30473895821776481</v>
      </c>
      <c r="D36" s="72" t="s">
        <v>331</v>
      </c>
      <c r="E36" s="95">
        <f>C36/G36</f>
        <v>0.30473895821776481</v>
      </c>
      <c r="F36" s="72" t="s">
        <v>330</v>
      </c>
      <c r="G36" s="73">
        <v>1</v>
      </c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</row>
    <row r="37" spans="1:30" ht="30.75" thickBot="1" x14ac:dyDescent="0.3">
      <c r="A37" t="s">
        <v>0</v>
      </c>
      <c r="B37" s="39" t="s">
        <v>150</v>
      </c>
      <c r="C37" s="77" t="s">
        <v>332</v>
      </c>
      <c r="P37" t="s">
        <v>315</v>
      </c>
      <c r="Q37" t="s">
        <v>317</v>
      </c>
      <c r="R37" t="s">
        <v>316</v>
      </c>
      <c r="S37" t="s">
        <v>318</v>
      </c>
      <c r="T37" t="s">
        <v>337</v>
      </c>
      <c r="U37" t="s">
        <v>338</v>
      </c>
      <c r="V37" t="s">
        <v>319</v>
      </c>
      <c r="W37" t="s">
        <v>320</v>
      </c>
      <c r="X37" t="s">
        <v>343</v>
      </c>
      <c r="Y37" t="s">
        <v>344</v>
      </c>
      <c r="Z37" t="s">
        <v>346</v>
      </c>
      <c r="AA37" s="39" t="s">
        <v>345</v>
      </c>
    </row>
    <row r="38" spans="1:30" x14ac:dyDescent="0.25">
      <c r="A38">
        <v>90</v>
      </c>
      <c r="B38" s="55">
        <v>2.6601148033347999E-5</v>
      </c>
      <c r="C38" s="55">
        <v>2.01873586493593E-7</v>
      </c>
      <c r="N38" s="65" t="s">
        <v>324</v>
      </c>
      <c r="P38" t="s">
        <v>8</v>
      </c>
      <c r="R38">
        <v>0.51449999999999996</v>
      </c>
      <c r="T38" s="42">
        <v>0.50705999999999996</v>
      </c>
      <c r="V38">
        <v>182991.2</v>
      </c>
      <c r="W38">
        <v>0</v>
      </c>
      <c r="X38">
        <v>9.6</v>
      </c>
      <c r="Y38">
        <v>0</v>
      </c>
      <c r="Z38">
        <v>0</v>
      </c>
      <c r="AA38">
        <v>0</v>
      </c>
    </row>
    <row r="39" spans="1:30" ht="15.75" thickBot="1" x14ac:dyDescent="0.3">
      <c r="A39">
        <v>91</v>
      </c>
      <c r="B39" s="55">
        <v>2.6209666391883101E-5</v>
      </c>
      <c r="C39" s="55">
        <v>2.29307934337728E-7</v>
      </c>
      <c r="N39" s="66" t="s">
        <v>8</v>
      </c>
      <c r="P39" t="s">
        <v>8</v>
      </c>
      <c r="R39">
        <v>0.11219999999999999</v>
      </c>
      <c r="T39" s="42">
        <v>0.11181000000000001</v>
      </c>
      <c r="V39">
        <v>40953.440000000002</v>
      </c>
      <c r="W39">
        <v>0</v>
      </c>
      <c r="X39">
        <v>9.6</v>
      </c>
      <c r="Y39">
        <v>0</v>
      </c>
      <c r="Z39">
        <v>0</v>
      </c>
      <c r="AA39">
        <v>0</v>
      </c>
    </row>
    <row r="40" spans="1:30" x14ac:dyDescent="0.25">
      <c r="A40">
        <v>92</v>
      </c>
      <c r="B40" s="55">
        <v>2.54449820734894E-5</v>
      </c>
      <c r="C40" s="55">
        <v>2.5933364361702302E-7</v>
      </c>
      <c r="D40" t="s">
        <v>129</v>
      </c>
      <c r="P40" t="s">
        <v>8</v>
      </c>
      <c r="Q40" t="s">
        <v>19</v>
      </c>
      <c r="R40">
        <v>0.17150000000000001</v>
      </c>
      <c r="S40">
        <v>0.1484</v>
      </c>
      <c r="T40" s="42">
        <v>0.17277999999999999</v>
      </c>
      <c r="U40" s="42">
        <v>0.14216999999999999</v>
      </c>
      <c r="V40">
        <v>110912.7</v>
      </c>
      <c r="W40">
        <v>0</v>
      </c>
      <c r="X40">
        <v>9.6</v>
      </c>
      <c r="Y40">
        <v>9.6</v>
      </c>
      <c r="Z40">
        <f>(B55-D55)*$F$74+D55</f>
        <v>3.0299845359688781E-5</v>
      </c>
      <c r="AA40">
        <v>0</v>
      </c>
    </row>
    <row r="41" spans="1:30" x14ac:dyDescent="0.25">
      <c r="A41">
        <v>94</v>
      </c>
      <c r="B41" s="55">
        <v>2.46393993102373E-5</v>
      </c>
      <c r="C41" s="55">
        <v>2.2418272092667499E-7</v>
      </c>
      <c r="D41" t="s">
        <v>128</v>
      </c>
      <c r="P41" t="s">
        <v>8</v>
      </c>
      <c r="Q41" t="s">
        <v>19</v>
      </c>
      <c r="R41">
        <v>0.17380000000000001</v>
      </c>
      <c r="S41">
        <v>9.2499999999999999E-2</v>
      </c>
      <c r="T41" s="42">
        <v>0.17891000000000001</v>
      </c>
      <c r="U41" s="42">
        <v>9.0546000000000001E-2</v>
      </c>
      <c r="V41">
        <v>100270.3</v>
      </c>
      <c r="W41">
        <v>0</v>
      </c>
      <c r="X41">
        <v>9.6</v>
      </c>
      <c r="Y41">
        <v>9.6</v>
      </c>
      <c r="Z41">
        <f t="shared" ref="Z41" si="3">(B56-D56)*$F$74+D56</f>
        <v>2.8792024698060483E-5</v>
      </c>
      <c r="AA41">
        <v>0</v>
      </c>
    </row>
    <row r="42" spans="1:30" x14ac:dyDescent="0.25">
      <c r="A42">
        <v>96</v>
      </c>
      <c r="B42" s="55">
        <v>2.3136014301610999E-5</v>
      </c>
      <c r="C42" s="55">
        <v>9.78780912162962E-7</v>
      </c>
      <c r="D42" t="s">
        <v>128</v>
      </c>
      <c r="N42" t="s">
        <v>29</v>
      </c>
      <c r="O42">
        <v>5.3999999999999999E-2</v>
      </c>
      <c r="P42" t="s">
        <v>8</v>
      </c>
      <c r="Q42" t="s">
        <v>19</v>
      </c>
      <c r="R42">
        <v>2.8000000000000001E-2</v>
      </c>
      <c r="S42">
        <v>0.1668</v>
      </c>
      <c r="T42" s="42">
        <v>2.9437999999999999E-2</v>
      </c>
      <c r="U42" s="42">
        <v>0.16675000000000001</v>
      </c>
      <c r="V42">
        <v>72130.94</v>
      </c>
      <c r="W42">
        <v>0</v>
      </c>
      <c r="X42">
        <v>9.6</v>
      </c>
      <c r="Y42">
        <v>9.6</v>
      </c>
      <c r="Z42">
        <f>(B58-D58)*$F$74+D58</f>
        <v>2.7122626828816946E-5</v>
      </c>
      <c r="AA42">
        <v>0</v>
      </c>
    </row>
    <row r="43" spans="1:30" ht="15.75" thickBot="1" x14ac:dyDescent="0.3">
      <c r="Q43" s="64"/>
      <c r="R43" s="64"/>
      <c r="S43" s="64"/>
      <c r="T43" s="64"/>
      <c r="U43" s="64"/>
      <c r="V43" s="64"/>
      <c r="W43">
        <v>0</v>
      </c>
    </row>
    <row r="44" spans="1:30" x14ac:dyDescent="0.25">
      <c r="A44" t="s">
        <v>140</v>
      </c>
      <c r="B44" s="55">
        <v>-8.5901999999999997E-7</v>
      </c>
      <c r="C44" s="55"/>
      <c r="Q44" t="s">
        <v>325</v>
      </c>
      <c r="R44" t="s">
        <v>326</v>
      </c>
      <c r="V44" t="s">
        <v>8</v>
      </c>
    </row>
    <row r="45" spans="1:30" x14ac:dyDescent="0.25">
      <c r="A45" t="s">
        <v>141</v>
      </c>
      <c r="B45">
        <v>1.0443E-4</v>
      </c>
      <c r="Q45" t="s">
        <v>8</v>
      </c>
      <c r="V45">
        <v>9.6</v>
      </c>
    </row>
    <row r="46" spans="1:30" x14ac:dyDescent="0.25">
      <c r="Q46" t="s">
        <v>19</v>
      </c>
      <c r="V46" t="s">
        <v>19</v>
      </c>
    </row>
    <row r="47" spans="1:30" x14ac:dyDescent="0.25">
      <c r="C47" t="s">
        <v>335</v>
      </c>
      <c r="V47">
        <v>9.6</v>
      </c>
    </row>
    <row r="48" spans="1:30" x14ac:dyDescent="0.25">
      <c r="C48" s="92">
        <f>C42/B42</f>
        <v>4.2305511200120924E-2</v>
      </c>
      <c r="O48" s="42"/>
    </row>
    <row r="49" spans="1:33" x14ac:dyDescent="0.25">
      <c r="O49" s="42"/>
    </row>
    <row r="50" spans="1:33" x14ac:dyDescent="0.25">
      <c r="O50" s="42"/>
    </row>
    <row r="52" spans="1:33" ht="15.75" thickBot="1" x14ac:dyDescent="0.3"/>
    <row r="53" spans="1:33" ht="15.75" thickBot="1" x14ac:dyDescent="0.3">
      <c r="A53" s="48"/>
      <c r="B53" s="93" t="s">
        <v>329</v>
      </c>
      <c r="C53" s="94">
        <f>((MAX(B38:B42)-MIN(B38:B42))/AVERAGE(MAX(B38:B42),MIN(B38:B42)))</f>
        <v>0.1393378137820076</v>
      </c>
      <c r="D53" s="72" t="s">
        <v>331</v>
      </c>
      <c r="E53" s="95">
        <f>C53/G53</f>
        <v>2.3222968963667934E-2</v>
      </c>
      <c r="F53" s="72" t="s">
        <v>330</v>
      </c>
      <c r="G53" s="73">
        <v>6</v>
      </c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</row>
    <row r="54" spans="1:33" ht="30.75" thickBot="1" x14ac:dyDescent="0.3">
      <c r="A54" t="s">
        <v>0</v>
      </c>
      <c r="B54" s="39" t="s">
        <v>151</v>
      </c>
      <c r="C54" s="77" t="s">
        <v>332</v>
      </c>
      <c r="D54" s="39" t="s">
        <v>152</v>
      </c>
      <c r="E54" s="77" t="s">
        <v>332</v>
      </c>
      <c r="F54" s="39" t="s">
        <v>154</v>
      </c>
      <c r="G54" s="77" t="s">
        <v>332</v>
      </c>
      <c r="P54" t="s">
        <v>315</v>
      </c>
      <c r="Q54" t="s">
        <v>317</v>
      </c>
      <c r="R54" t="s">
        <v>316</v>
      </c>
      <c r="S54" t="s">
        <v>318</v>
      </c>
      <c r="T54" t="s">
        <v>337</v>
      </c>
      <c r="U54" t="s">
        <v>338</v>
      </c>
      <c r="V54" t="s">
        <v>319</v>
      </c>
      <c r="W54" t="s">
        <v>320</v>
      </c>
      <c r="X54" t="s">
        <v>343</v>
      </c>
      <c r="Y54" t="s">
        <v>344</v>
      </c>
      <c r="Z54" t="s">
        <v>346</v>
      </c>
      <c r="AA54" s="39" t="s">
        <v>345</v>
      </c>
      <c r="AB54" t="s">
        <v>319</v>
      </c>
      <c r="AC54" t="s">
        <v>320</v>
      </c>
      <c r="AD54" t="s">
        <v>343</v>
      </c>
      <c r="AE54" t="s">
        <v>344</v>
      </c>
      <c r="AF54" t="s">
        <v>346</v>
      </c>
      <c r="AG54" s="39" t="s">
        <v>345</v>
      </c>
    </row>
    <row r="55" spans="1:33" x14ac:dyDescent="0.25">
      <c r="A55">
        <v>92</v>
      </c>
      <c r="B55" s="55">
        <v>3.4145608509708902E-5</v>
      </c>
      <c r="C55" s="82">
        <v>2.75059013800822E-7</v>
      </c>
      <c r="D55" s="55">
        <v>2.75578802550145E-5</v>
      </c>
      <c r="E55" s="55">
        <v>2.14976755298077E-7</v>
      </c>
      <c r="F55" s="55">
        <v>2.9923949061548501E-5</v>
      </c>
      <c r="G55" s="55">
        <v>4.3600730292378398E-7</v>
      </c>
      <c r="H55" t="s">
        <v>130</v>
      </c>
      <c r="N55" s="57" t="s">
        <v>153</v>
      </c>
      <c r="P55" t="s">
        <v>19</v>
      </c>
      <c r="Q55" t="s">
        <v>8</v>
      </c>
      <c r="R55">
        <v>0.1484</v>
      </c>
      <c r="S55">
        <v>0.17150000000000001</v>
      </c>
      <c r="T55" s="42">
        <v>0.14216999999999999</v>
      </c>
      <c r="U55" s="42">
        <v>0.17277999999999999</v>
      </c>
      <c r="V55">
        <v>47798.58</v>
      </c>
      <c r="W55">
        <v>59224.86</v>
      </c>
      <c r="X55">
        <v>11.48</v>
      </c>
      <c r="Y55">
        <v>0</v>
      </c>
      <c r="Z55">
        <v>0</v>
      </c>
      <c r="AA55">
        <v>0</v>
      </c>
      <c r="AB55">
        <v>110912.7</v>
      </c>
      <c r="AC55">
        <v>0</v>
      </c>
      <c r="AD55">
        <v>9.6</v>
      </c>
      <c r="AE55">
        <v>9.6</v>
      </c>
      <c r="AF55" s="55">
        <f>B40</f>
        <v>2.54449820734894E-5</v>
      </c>
      <c r="AG55">
        <v>0</v>
      </c>
    </row>
    <row r="56" spans="1:33" ht="15.75" thickBot="1" x14ac:dyDescent="0.3">
      <c r="A56">
        <v>94</v>
      </c>
      <c r="B56" s="55">
        <v>3.1786031697105102E-5</v>
      </c>
      <c r="C56" s="55">
        <v>2.74445551626227E-7</v>
      </c>
      <c r="D56" s="55">
        <v>2.6657347549654199E-5</v>
      </c>
      <c r="E56" s="55">
        <v>2.2241670464014699E-7</v>
      </c>
      <c r="F56" s="55">
        <v>2.85448690824345E-5</v>
      </c>
      <c r="G56" s="55">
        <v>5.9485329031723997E-7</v>
      </c>
      <c r="H56" t="s">
        <v>155</v>
      </c>
      <c r="N56" s="58" t="s">
        <v>19</v>
      </c>
      <c r="P56" t="s">
        <v>19</v>
      </c>
      <c r="Q56" t="s">
        <v>8</v>
      </c>
      <c r="R56">
        <v>9.2499999999999999E-2</v>
      </c>
      <c r="S56">
        <v>0.17380000000000001</v>
      </c>
      <c r="T56" s="42">
        <v>9.0546000000000001E-2</v>
      </c>
      <c r="U56" s="42">
        <v>0.17891000000000001</v>
      </c>
      <c r="V56">
        <v>32702.04</v>
      </c>
      <c r="W56">
        <v>38993.68</v>
      </c>
      <c r="X56">
        <v>11.48</v>
      </c>
      <c r="Y56">
        <v>0</v>
      </c>
      <c r="Z56">
        <v>0</v>
      </c>
      <c r="AA56">
        <v>0</v>
      </c>
      <c r="AB56">
        <v>100270.3</v>
      </c>
      <c r="AC56">
        <v>0</v>
      </c>
      <c r="AD56">
        <v>9.6</v>
      </c>
      <c r="AE56">
        <v>9.6</v>
      </c>
      <c r="AF56" s="55">
        <f>B41</f>
        <v>2.46393993102373E-5</v>
      </c>
      <c r="AG56">
        <v>0</v>
      </c>
    </row>
    <row r="57" spans="1:33" x14ac:dyDescent="0.25">
      <c r="A57">
        <v>95</v>
      </c>
      <c r="B57" s="55">
        <v>3.2000659800120198E-5</v>
      </c>
      <c r="C57" s="55">
        <v>2.5129793631301701E-7</v>
      </c>
      <c r="D57" s="55">
        <v>2.5154046099474298E-5</v>
      </c>
      <c r="E57" s="55">
        <v>1.91371516352015E-7</v>
      </c>
      <c r="F57" s="55">
        <v>2.76727644359588E-5</v>
      </c>
      <c r="G57" s="55">
        <v>2.32235057395795E-7</v>
      </c>
      <c r="P57" t="s">
        <v>19</v>
      </c>
      <c r="R57">
        <v>0.15920000000000001</v>
      </c>
      <c r="S57">
        <v>0</v>
      </c>
      <c r="T57" s="42">
        <v>0.1575</v>
      </c>
      <c r="U57">
        <v>0</v>
      </c>
      <c r="V57">
        <v>56501.96</v>
      </c>
      <c r="W57">
        <v>71881.08</v>
      </c>
      <c r="X57">
        <v>11.48</v>
      </c>
      <c r="Y57">
        <v>0</v>
      </c>
      <c r="Z57">
        <v>0</v>
      </c>
      <c r="AA57">
        <v>0</v>
      </c>
      <c r="AB57">
        <v>54638.559999999998</v>
      </c>
      <c r="AC57">
        <v>0</v>
      </c>
      <c r="AD57">
        <v>9.6</v>
      </c>
      <c r="AE57">
        <v>0</v>
      </c>
      <c r="AF57">
        <v>0</v>
      </c>
      <c r="AG57">
        <v>0</v>
      </c>
    </row>
    <row r="58" spans="1:33" x14ac:dyDescent="0.25">
      <c r="A58">
        <v>96</v>
      </c>
      <c r="B58" s="55">
        <v>3.0575179909432002E-5</v>
      </c>
      <c r="C58" s="55">
        <v>2.36719014816298E-7</v>
      </c>
      <c r="D58" s="55">
        <v>2.4661013957771401E-5</v>
      </c>
      <c r="E58" s="55">
        <v>1.8594487210376101E-7</v>
      </c>
      <c r="F58" s="55">
        <v>2.6725894608654801E-5</v>
      </c>
      <c r="G58" s="55">
        <v>2.3053579676878301E-7</v>
      </c>
      <c r="H58" t="s">
        <v>130</v>
      </c>
      <c r="N58" t="s">
        <v>29</v>
      </c>
      <c r="O58">
        <v>5.3999999999999999E-2</v>
      </c>
      <c r="P58" t="s">
        <v>19</v>
      </c>
      <c r="Q58" t="s">
        <v>8</v>
      </c>
      <c r="R58">
        <v>0.1668</v>
      </c>
      <c r="S58">
        <v>2.8000000000000001E-2</v>
      </c>
      <c r="T58" s="42">
        <v>0.16675000000000001</v>
      </c>
      <c r="U58" s="42">
        <v>2.9437999999999999E-2</v>
      </c>
      <c r="V58">
        <v>62609.279999999999</v>
      </c>
      <c r="W58">
        <v>77624.14</v>
      </c>
      <c r="X58">
        <v>11.48</v>
      </c>
      <c r="Y58">
        <v>0</v>
      </c>
      <c r="Z58">
        <v>0</v>
      </c>
      <c r="AA58">
        <v>0</v>
      </c>
      <c r="AB58">
        <v>72130.94</v>
      </c>
      <c r="AC58">
        <v>0</v>
      </c>
      <c r="AD58">
        <v>9.6</v>
      </c>
      <c r="AE58">
        <v>9.6</v>
      </c>
      <c r="AF58" s="55">
        <f>B42</f>
        <v>2.3136014301610999E-5</v>
      </c>
      <c r="AG58">
        <v>0</v>
      </c>
    </row>
    <row r="59" spans="1:33" x14ac:dyDescent="0.25">
      <c r="A59">
        <v>97</v>
      </c>
      <c r="B59" s="55">
        <v>2.9153776859578101E-5</v>
      </c>
      <c r="C59" s="55">
        <v>2.4442977038753201E-7</v>
      </c>
      <c r="D59" s="55">
        <v>2.3948173065528802E-5</v>
      </c>
      <c r="E59" s="55">
        <v>1.9395599227802299E-7</v>
      </c>
      <c r="F59" s="55">
        <v>2.5732352547278199E-5</v>
      </c>
      <c r="G59" s="55">
        <v>2.3003067082004399E-7</v>
      </c>
      <c r="P59" t="s">
        <v>19</v>
      </c>
      <c r="R59">
        <v>9.5500000000000002E-2</v>
      </c>
      <c r="S59">
        <v>0</v>
      </c>
      <c r="T59" s="42">
        <v>9.647E-2</v>
      </c>
      <c r="U59" s="42">
        <v>0</v>
      </c>
      <c r="V59">
        <v>37987.379999999997</v>
      </c>
      <c r="W59">
        <v>46244.68</v>
      </c>
      <c r="X59">
        <v>11.48</v>
      </c>
      <c r="Y59">
        <v>0</v>
      </c>
      <c r="Z59">
        <v>0</v>
      </c>
      <c r="AA59">
        <v>0</v>
      </c>
      <c r="AB59">
        <v>35990.18</v>
      </c>
      <c r="AC59">
        <v>0</v>
      </c>
      <c r="AD59">
        <v>9.6</v>
      </c>
      <c r="AE59">
        <v>0</v>
      </c>
      <c r="AF59">
        <v>0</v>
      </c>
      <c r="AG59">
        <v>0</v>
      </c>
    </row>
    <row r="60" spans="1:33" x14ac:dyDescent="0.25">
      <c r="A60">
        <v>98</v>
      </c>
      <c r="B60" s="55">
        <v>2.75485635608373E-5</v>
      </c>
      <c r="C60" s="55">
        <v>2.0190240766911399E-7</v>
      </c>
      <c r="D60" s="55">
        <v>2.2506847155815198E-5</v>
      </c>
      <c r="E60" s="55">
        <v>1.62190528828943E-7</v>
      </c>
      <c r="F60" s="55">
        <v>2.5175527541004301E-5</v>
      </c>
      <c r="G60" s="55">
        <v>1.9946806969430299E-7</v>
      </c>
      <c r="P60" t="s">
        <v>19</v>
      </c>
      <c r="Q60" t="s">
        <v>29</v>
      </c>
      <c r="R60">
        <v>0.24129999999999999</v>
      </c>
      <c r="S60">
        <v>1.8700000000000001E-2</v>
      </c>
      <c r="T60" s="42">
        <v>0.24626999999999999</v>
      </c>
      <c r="U60">
        <v>5.2572936375466603E-2</v>
      </c>
      <c r="V60">
        <v>102625.3</v>
      </c>
      <c r="W60">
        <v>125614.2</v>
      </c>
      <c r="X60">
        <v>11.48</v>
      </c>
      <c r="Y60">
        <v>0</v>
      </c>
      <c r="Z60">
        <v>0</v>
      </c>
      <c r="AA60">
        <v>0</v>
      </c>
      <c r="AB60">
        <v>93908.34</v>
      </c>
      <c r="AC60">
        <v>0</v>
      </c>
      <c r="AD60">
        <v>9.6</v>
      </c>
      <c r="AE60">
        <v>0</v>
      </c>
      <c r="AF60">
        <v>0</v>
      </c>
      <c r="AG60">
        <v>0</v>
      </c>
    </row>
    <row r="61" spans="1:33" x14ac:dyDescent="0.25">
      <c r="A61">
        <v>100</v>
      </c>
      <c r="B61" s="55">
        <v>2.6422243967995802E-5</v>
      </c>
      <c r="C61" s="55">
        <v>2.1614437912049899E-7</v>
      </c>
      <c r="D61" s="55">
        <v>2.0893105431924501E-5</v>
      </c>
      <c r="E61" s="55">
        <v>1.6466691098078E-7</v>
      </c>
      <c r="F61" s="55">
        <v>2.32427283186982E-5</v>
      </c>
      <c r="G61" s="55">
        <v>2.0298222368682E-7</v>
      </c>
      <c r="P61" t="s">
        <v>19</v>
      </c>
      <c r="Q61" t="s">
        <v>29</v>
      </c>
      <c r="R61">
        <v>9.6299999999999997E-2</v>
      </c>
      <c r="S61">
        <v>0.126</v>
      </c>
      <c r="T61" s="42">
        <v>0.10029</v>
      </c>
      <c r="U61">
        <v>1.8115369922364299E-2</v>
      </c>
      <c r="V61">
        <v>43574.239999999998</v>
      </c>
      <c r="W61">
        <v>55105.7</v>
      </c>
      <c r="X61">
        <v>11.48</v>
      </c>
      <c r="Y61">
        <v>0</v>
      </c>
      <c r="Z61">
        <v>0</v>
      </c>
      <c r="AA61">
        <v>0</v>
      </c>
      <c r="AB61">
        <v>41423.019999999997</v>
      </c>
      <c r="AC61">
        <v>0</v>
      </c>
      <c r="AD61">
        <v>9.6</v>
      </c>
      <c r="AE61">
        <v>0</v>
      </c>
      <c r="AF61">
        <v>0</v>
      </c>
      <c r="AG61">
        <v>0</v>
      </c>
    </row>
    <row r="62" spans="1:33" ht="15.75" thickBot="1" x14ac:dyDescent="0.3">
      <c r="Q62" s="64"/>
      <c r="R62" s="64"/>
      <c r="S62" s="64"/>
      <c r="T62" s="64"/>
      <c r="U62" s="64"/>
      <c r="V62" s="64"/>
      <c r="W62" s="64"/>
      <c r="X62" s="64"/>
      <c r="Y62" s="64"/>
      <c r="Z62" s="64"/>
    </row>
    <row r="63" spans="1:33" x14ac:dyDescent="0.25">
      <c r="A63" t="s">
        <v>140</v>
      </c>
      <c r="B63" s="55">
        <v>-1.3221E-6</v>
      </c>
      <c r="C63" s="55"/>
      <c r="D63" s="55">
        <v>-1.1165E-6</v>
      </c>
      <c r="E63" s="55"/>
      <c r="F63" s="55">
        <v>-1.1181999999999999E-6</v>
      </c>
      <c r="G63" s="55"/>
      <c r="Q63" t="s">
        <v>325</v>
      </c>
      <c r="R63" t="s">
        <v>326</v>
      </c>
      <c r="X63" t="s">
        <v>19</v>
      </c>
      <c r="Y63" t="s">
        <v>19</v>
      </c>
      <c r="Z63" t="s">
        <v>8</v>
      </c>
      <c r="AD63" s="42">
        <v>0.14216999999999999</v>
      </c>
    </row>
    <row r="64" spans="1:33" x14ac:dyDescent="0.25">
      <c r="A64" t="s">
        <v>141</v>
      </c>
      <c r="B64">
        <v>1.5724000000000001E-4</v>
      </c>
      <c r="D64">
        <v>1.3174000000000001E-4</v>
      </c>
      <c r="F64">
        <v>1.3412999999999999E-4</v>
      </c>
      <c r="Q64" t="s">
        <v>8</v>
      </c>
      <c r="X64">
        <v>11.48</v>
      </c>
      <c r="Y64">
        <v>11.48</v>
      </c>
      <c r="Z64">
        <v>9.6</v>
      </c>
      <c r="AD64" s="42">
        <v>9.0546000000000001E-2</v>
      </c>
    </row>
    <row r="65" spans="1:30" x14ac:dyDescent="0.25">
      <c r="Q65" t="s">
        <v>19</v>
      </c>
      <c r="Z65" t="s">
        <v>19</v>
      </c>
      <c r="AD65" s="42">
        <v>0.1575</v>
      </c>
    </row>
    <row r="66" spans="1:30" x14ac:dyDescent="0.25">
      <c r="Q66" t="s">
        <v>29</v>
      </c>
      <c r="Z66">
        <v>9.6</v>
      </c>
      <c r="AD66" s="42">
        <v>0.16675000000000001</v>
      </c>
    </row>
    <row r="67" spans="1:30" x14ac:dyDescent="0.25">
      <c r="D67" t="s">
        <v>335</v>
      </c>
      <c r="AD67" s="42">
        <v>9.647E-2</v>
      </c>
    </row>
    <row r="68" spans="1:30" x14ac:dyDescent="0.25">
      <c r="D68" s="92">
        <f>G56/F56</f>
        <v>2.0839236943051582E-2</v>
      </c>
      <c r="F68" t="s">
        <v>347</v>
      </c>
      <c r="AD68" s="42">
        <v>0.24626999999999999</v>
      </c>
    </row>
    <row r="69" spans="1:30" x14ac:dyDescent="0.25">
      <c r="E69">
        <v>95</v>
      </c>
      <c r="F69">
        <f>(F57-D57)/(B57-D57)</f>
        <v>0.36787796808908457</v>
      </c>
      <c r="AD69" s="42">
        <v>0.10029</v>
      </c>
    </row>
    <row r="71" spans="1:30" x14ac:dyDescent="0.25">
      <c r="E71">
        <v>97</v>
      </c>
      <c r="F71">
        <f t="shared" ref="F71:F73" si="4">(F59-D59)/(B59-D59)</f>
        <v>0.34274208186742006</v>
      </c>
    </row>
    <row r="72" spans="1:30" x14ac:dyDescent="0.25">
      <c r="E72">
        <v>98</v>
      </c>
      <c r="F72">
        <f t="shared" si="4"/>
        <v>0.52931981309595366</v>
      </c>
    </row>
    <row r="73" spans="1:30" x14ac:dyDescent="0.25">
      <c r="E73">
        <v>100</v>
      </c>
      <c r="F73">
        <f t="shared" si="4"/>
        <v>0.42495279715729656</v>
      </c>
    </row>
    <row r="74" spans="1:30" x14ac:dyDescent="0.25">
      <c r="E74" t="s">
        <v>348</v>
      </c>
      <c r="F74">
        <f>AVERAGE(F73,F72,F71,F69)</f>
        <v>0.41622316505243873</v>
      </c>
    </row>
    <row r="75" spans="1:30" ht="15.75" thickBot="1" x14ac:dyDescent="0.3"/>
    <row r="76" spans="1:30" ht="15.75" thickBot="1" x14ac:dyDescent="0.3">
      <c r="A76" s="48"/>
      <c r="B76" s="93" t="s">
        <v>329</v>
      </c>
      <c r="C76" s="94">
        <f>((MAX(B55:B61,D55:D61,F55:F61)-MIN(B55:B61,D55:D61,F55:F61))/AVERAGE(MAX(B55:B61,D55:D61,F55:F61),MIN(B55:B61,D55:D61,F55:F61)))</f>
        <v>0.48157023043228114</v>
      </c>
      <c r="D76" s="72" t="s">
        <v>331</v>
      </c>
      <c r="E76" s="95">
        <f>C76/G76</f>
        <v>6.0196278804035143E-2</v>
      </c>
      <c r="F76" s="72" t="s">
        <v>330</v>
      </c>
      <c r="G76" s="73">
        <v>8</v>
      </c>
      <c r="H76" s="64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</row>
    <row r="77" spans="1:30" ht="30.75" thickBot="1" x14ac:dyDescent="0.3">
      <c r="A77" t="s">
        <v>0</v>
      </c>
      <c r="B77" s="39" t="s">
        <v>135</v>
      </c>
      <c r="C77" s="77" t="s">
        <v>332</v>
      </c>
      <c r="D77" s="50"/>
      <c r="E77" s="50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t="s">
        <v>315</v>
      </c>
      <c r="S77" t="s">
        <v>316</v>
      </c>
      <c r="T77" t="s">
        <v>317</v>
      </c>
      <c r="U77" t="s">
        <v>318</v>
      </c>
      <c r="X77" t="s">
        <v>319</v>
      </c>
      <c r="Y77" t="s">
        <v>320</v>
      </c>
    </row>
    <row r="78" spans="1:30" x14ac:dyDescent="0.25">
      <c r="A78">
        <v>93</v>
      </c>
      <c r="B78">
        <v>3.0403665668624111E-5</v>
      </c>
      <c r="C78" s="55">
        <v>2.2608E-7</v>
      </c>
      <c r="H78" s="49"/>
      <c r="I78" s="49"/>
      <c r="J78" s="49"/>
      <c r="K78" s="49"/>
      <c r="L78" s="49"/>
      <c r="M78" s="49"/>
      <c r="N78" s="57" t="s">
        <v>156</v>
      </c>
      <c r="O78" s="49"/>
      <c r="P78" s="49"/>
      <c r="Q78" s="49"/>
      <c r="R78" s="49" t="s">
        <v>9</v>
      </c>
      <c r="S78">
        <v>1</v>
      </c>
      <c r="X78">
        <v>315751.40000000002</v>
      </c>
    </row>
    <row r="79" spans="1:30" ht="15.75" thickBot="1" x14ac:dyDescent="0.3">
      <c r="A79" s="49"/>
      <c r="B79" s="49"/>
      <c r="C79" s="49"/>
      <c r="D79" s="49"/>
      <c r="E79" s="49"/>
      <c r="H79" s="49"/>
      <c r="I79" s="49"/>
      <c r="J79" s="49"/>
      <c r="K79" s="49"/>
      <c r="L79" s="49"/>
      <c r="M79" s="49"/>
      <c r="N79" s="58" t="s">
        <v>9</v>
      </c>
      <c r="O79" s="49"/>
      <c r="P79" s="49"/>
      <c r="Q79" s="64"/>
      <c r="R79" s="64"/>
      <c r="S79" s="64"/>
      <c r="T79" s="64"/>
      <c r="U79" s="64"/>
      <c r="V79" s="64"/>
      <c r="W79" s="64"/>
      <c r="X79" s="64"/>
      <c r="Y79" s="64"/>
    </row>
    <row r="80" spans="1:30" x14ac:dyDescent="0.2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t="s">
        <v>325</v>
      </c>
      <c r="R80" t="s">
        <v>326</v>
      </c>
      <c r="X80" t="s">
        <v>9</v>
      </c>
    </row>
    <row r="81" spans="1:32" ht="15.75" thickBot="1" x14ac:dyDescent="0.3">
      <c r="A81" s="48"/>
      <c r="B81" s="48"/>
      <c r="C81" s="48"/>
      <c r="D81" s="48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64"/>
      <c r="T81" s="64"/>
      <c r="U81" s="64"/>
      <c r="V81" s="64"/>
      <c r="W81" s="64"/>
      <c r="X81" s="64">
        <v>9.6</v>
      </c>
      <c r="Y81" s="64"/>
      <c r="Z81" s="64"/>
      <c r="AA81" s="64"/>
      <c r="AB81" s="64"/>
      <c r="AC81" s="64"/>
      <c r="AD81" s="64"/>
    </row>
    <row r="82" spans="1:32" ht="30.75" thickBot="1" x14ac:dyDescent="0.3">
      <c r="A82" t="s">
        <v>0</v>
      </c>
      <c r="B82" s="39" t="s">
        <v>161</v>
      </c>
      <c r="C82" s="77" t="s">
        <v>332</v>
      </c>
      <c r="P82" t="s">
        <v>315</v>
      </c>
      <c r="Q82" t="s">
        <v>317</v>
      </c>
      <c r="R82" s="104" t="s">
        <v>316</v>
      </c>
      <c r="S82" s="104" t="s">
        <v>318</v>
      </c>
      <c r="T82" s="104" t="s">
        <v>337</v>
      </c>
      <c r="U82" s="104" t="s">
        <v>338</v>
      </c>
      <c r="V82" t="s">
        <v>319</v>
      </c>
      <c r="W82" t="s">
        <v>320</v>
      </c>
      <c r="X82" t="s">
        <v>343</v>
      </c>
      <c r="Y82" t="s">
        <v>344</v>
      </c>
      <c r="Z82" t="s">
        <v>346</v>
      </c>
      <c r="AA82" s="39" t="s">
        <v>345</v>
      </c>
      <c r="AD82" t="s">
        <v>349</v>
      </c>
      <c r="AF82" t="s">
        <v>349</v>
      </c>
    </row>
    <row r="83" spans="1:32" x14ac:dyDescent="0.25">
      <c r="A83">
        <v>96</v>
      </c>
      <c r="B83" s="55">
        <v>2.7963435209514599E-5</v>
      </c>
      <c r="C83" s="55">
        <v>2.84059219902412E-7</v>
      </c>
      <c r="N83" s="57" t="s">
        <v>157</v>
      </c>
      <c r="P83" t="s">
        <v>29</v>
      </c>
      <c r="R83">
        <v>5.5399999999999998E-2</v>
      </c>
      <c r="S83">
        <v>0</v>
      </c>
      <c r="T83">
        <v>5.2572936375466603E-2</v>
      </c>
      <c r="U83">
        <v>0</v>
      </c>
      <c r="V83">
        <v>18800.599999999999</v>
      </c>
      <c r="W83">
        <v>0</v>
      </c>
      <c r="X83">
        <v>10</v>
      </c>
      <c r="Y83">
        <v>0</v>
      </c>
      <c r="Z83">
        <v>0</v>
      </c>
      <c r="AA83">
        <v>0</v>
      </c>
      <c r="AC83" t="s">
        <v>8</v>
      </c>
      <c r="AD83">
        <v>2.8000000000000001E-2</v>
      </c>
      <c r="AE83" t="s">
        <v>19</v>
      </c>
      <c r="AF83">
        <v>0.1668</v>
      </c>
    </row>
    <row r="84" spans="1:32" ht="15.75" thickBot="1" x14ac:dyDescent="0.3">
      <c r="A84">
        <v>98</v>
      </c>
      <c r="B84" s="55">
        <v>2.5948939717754599E-5</v>
      </c>
      <c r="C84" s="55">
        <v>3.60720755713444E-7</v>
      </c>
      <c r="N84" s="58" t="s">
        <v>29</v>
      </c>
      <c r="P84" t="s">
        <v>29</v>
      </c>
      <c r="R84">
        <v>1.8700000000000001E-2</v>
      </c>
      <c r="S84">
        <v>0</v>
      </c>
      <c r="T84">
        <v>1.8115369922364299E-2</v>
      </c>
      <c r="U84">
        <v>0</v>
      </c>
      <c r="V84">
        <v>6981.16</v>
      </c>
      <c r="W84">
        <v>0</v>
      </c>
      <c r="X84">
        <v>10</v>
      </c>
      <c r="Y84">
        <v>0</v>
      </c>
      <c r="Z84">
        <v>0</v>
      </c>
      <c r="AA84">
        <v>0</v>
      </c>
      <c r="AC84" t="s">
        <v>19</v>
      </c>
      <c r="AD84">
        <v>0.24129999999999999</v>
      </c>
    </row>
    <row r="85" spans="1:32" x14ac:dyDescent="0.25">
      <c r="A85">
        <v>99</v>
      </c>
      <c r="B85" s="55">
        <v>2.5617656374947801E-5</v>
      </c>
      <c r="C85" s="55">
        <v>2.1511935061826299E-7</v>
      </c>
      <c r="P85" t="s">
        <v>29</v>
      </c>
      <c r="R85">
        <v>0.12759999999999999</v>
      </c>
      <c r="S85">
        <v>0</v>
      </c>
      <c r="T85">
        <v>0.124874137143464</v>
      </c>
      <c r="U85">
        <v>0</v>
      </c>
      <c r="V85">
        <v>48745.34</v>
      </c>
      <c r="W85">
        <v>0</v>
      </c>
      <c r="X85">
        <v>10</v>
      </c>
      <c r="Y85">
        <v>0</v>
      </c>
      <c r="Z85">
        <v>0</v>
      </c>
      <c r="AA85">
        <v>0</v>
      </c>
    </row>
    <row r="86" spans="1:32" x14ac:dyDescent="0.25">
      <c r="A86">
        <v>100</v>
      </c>
      <c r="B86" s="55">
        <v>2.4028521220230799E-5</v>
      </c>
      <c r="C86" s="55">
        <v>2.00017516029103E-7</v>
      </c>
      <c r="P86" t="s">
        <v>29</v>
      </c>
      <c r="R86">
        <v>0.126</v>
      </c>
      <c r="S86">
        <v>0</v>
      </c>
      <c r="T86">
        <v>0.124552897208452</v>
      </c>
      <c r="U86">
        <v>0</v>
      </c>
      <c r="V86">
        <v>51835.44</v>
      </c>
      <c r="W86">
        <v>0</v>
      </c>
      <c r="X86">
        <v>10</v>
      </c>
      <c r="Y86">
        <v>0</v>
      </c>
      <c r="Z86">
        <v>0</v>
      </c>
      <c r="AA86">
        <v>0</v>
      </c>
      <c r="AC86" t="s">
        <v>19</v>
      </c>
      <c r="AD86">
        <v>9.6299999999999997E-2</v>
      </c>
    </row>
    <row r="87" spans="1:32" x14ac:dyDescent="0.25">
      <c r="A87">
        <v>101</v>
      </c>
      <c r="B87" s="55">
        <v>2.2848443919087002E-5</v>
      </c>
      <c r="C87" s="55">
        <v>1.8194900890190799E-7</v>
      </c>
      <c r="P87" t="s">
        <v>29</v>
      </c>
      <c r="R87">
        <v>0.1706</v>
      </c>
      <c r="S87">
        <v>0</v>
      </c>
      <c r="T87">
        <v>0.17033099132447699</v>
      </c>
      <c r="U87">
        <v>0</v>
      </c>
      <c r="V87">
        <v>74548.179999999993</v>
      </c>
      <c r="W87">
        <v>0</v>
      </c>
      <c r="X87">
        <v>10</v>
      </c>
      <c r="Y87">
        <v>0</v>
      </c>
      <c r="Z87">
        <v>0</v>
      </c>
      <c r="AA87">
        <v>0</v>
      </c>
    </row>
    <row r="88" spans="1:32" x14ac:dyDescent="0.25">
      <c r="A88">
        <v>102</v>
      </c>
      <c r="B88" s="55">
        <v>2.16086934947964E-5</v>
      </c>
      <c r="C88" s="55">
        <v>1.6311690495871899E-7</v>
      </c>
      <c r="P88" t="s">
        <v>29</v>
      </c>
      <c r="Q88" t="s">
        <v>10</v>
      </c>
      <c r="R88">
        <v>0.3155</v>
      </c>
      <c r="S88">
        <v>1.0200000000000001E-2</v>
      </c>
      <c r="T88">
        <v>0.31812041642280497</v>
      </c>
      <c r="U88" s="42">
        <v>9.7677394869432697E-3</v>
      </c>
      <c r="V88">
        <v>150719.70000000001</v>
      </c>
      <c r="W88">
        <v>0</v>
      </c>
      <c r="X88">
        <v>10</v>
      </c>
      <c r="Y88">
        <v>10</v>
      </c>
      <c r="Z88" s="55">
        <f>B102</f>
        <v>2.8897800000000006E-5</v>
      </c>
      <c r="AA88">
        <v>0</v>
      </c>
    </row>
    <row r="89" spans="1:32" x14ac:dyDescent="0.25">
      <c r="A89">
        <v>104</v>
      </c>
      <c r="B89" s="55">
        <v>1.9995267432079798E-5</v>
      </c>
      <c r="C89" s="55">
        <v>1.73415728929575E-7</v>
      </c>
      <c r="P89" t="s">
        <v>29</v>
      </c>
      <c r="Q89" t="s">
        <v>10</v>
      </c>
      <c r="R89">
        <v>0.1862</v>
      </c>
      <c r="S89">
        <v>0.1114</v>
      </c>
      <c r="T89">
        <v>0.19143325160297101</v>
      </c>
      <c r="U89" s="42">
        <v>0.10877107380527</v>
      </c>
      <c r="V89">
        <v>138731.79999999999</v>
      </c>
      <c r="W89">
        <v>0</v>
      </c>
      <c r="X89">
        <v>10</v>
      </c>
      <c r="Y89">
        <v>10</v>
      </c>
      <c r="Z89" s="55">
        <f>B103</f>
        <v>2.52866753485642E-5</v>
      </c>
      <c r="AA89">
        <v>0</v>
      </c>
    </row>
    <row r="90" spans="1:32" x14ac:dyDescent="0.25">
      <c r="B90" s="55"/>
      <c r="C90" s="55"/>
    </row>
    <row r="91" spans="1:32" x14ac:dyDescent="0.25">
      <c r="A91" t="s">
        <v>140</v>
      </c>
      <c r="B91" s="55">
        <v>-1.0161999999999999E-6</v>
      </c>
      <c r="C91" s="55"/>
      <c r="D91" t="s">
        <v>335</v>
      </c>
      <c r="Q91" t="s">
        <v>325</v>
      </c>
      <c r="R91" t="s">
        <v>326</v>
      </c>
    </row>
    <row r="92" spans="1:32" x14ac:dyDescent="0.25">
      <c r="A92" t="s">
        <v>141</v>
      </c>
      <c r="B92">
        <v>1.2566000000000001E-4</v>
      </c>
      <c r="D92" s="92">
        <f>C84/B84</f>
        <v>1.3901175139985939E-2</v>
      </c>
      <c r="Q92" t="s">
        <v>8</v>
      </c>
      <c r="X92" t="s">
        <v>29</v>
      </c>
    </row>
    <row r="93" spans="1:32" x14ac:dyDescent="0.25">
      <c r="Q93" t="s">
        <v>19</v>
      </c>
      <c r="X93">
        <v>10</v>
      </c>
    </row>
    <row r="94" spans="1:32" ht="30" x14ac:dyDescent="0.25">
      <c r="B94" s="39" t="s">
        <v>125</v>
      </c>
      <c r="C94" s="39"/>
      <c r="Q94" t="s">
        <v>29</v>
      </c>
      <c r="X94" t="s">
        <v>10</v>
      </c>
    </row>
    <row r="95" spans="1:32" x14ac:dyDescent="0.25">
      <c r="A95">
        <v>102</v>
      </c>
      <c r="B95" s="60">
        <f>B91*A95+B92</f>
        <v>2.2007600000000023E-5</v>
      </c>
      <c r="C95" s="60"/>
      <c r="Q95" t="s">
        <v>10</v>
      </c>
      <c r="X95">
        <v>10</v>
      </c>
    </row>
    <row r="96" spans="1:32" x14ac:dyDescent="0.25">
      <c r="A96">
        <v>104</v>
      </c>
      <c r="B96" s="55">
        <f>A96*B91+B92</f>
        <v>1.9975200000000025E-5</v>
      </c>
      <c r="C96" s="55"/>
    </row>
    <row r="97" spans="1:30" x14ac:dyDescent="0.25">
      <c r="B97" t="s">
        <v>126</v>
      </c>
    </row>
    <row r="98" spans="1:30" x14ac:dyDescent="0.25">
      <c r="A98">
        <v>102</v>
      </c>
      <c r="B98" s="47">
        <v>2.1426316496981419E-5</v>
      </c>
      <c r="C98" s="47"/>
    </row>
    <row r="99" spans="1:30" ht="15.75" thickBot="1" x14ac:dyDescent="0.3">
      <c r="B99" s="41"/>
      <c r="C99" s="41"/>
    </row>
    <row r="100" spans="1:30" ht="15.75" thickBot="1" x14ac:dyDescent="0.3">
      <c r="A100" s="64"/>
      <c r="B100" s="93" t="s">
        <v>329</v>
      </c>
      <c r="C100" s="94">
        <f>((MAX(B83:B89)-MIN(B83:B89))/AVERAGE(MAX(B83:B89),MIN(B83:B89)))</f>
        <v>0.33229288277385716</v>
      </c>
      <c r="D100" s="72" t="s">
        <v>331</v>
      </c>
      <c r="E100" s="95">
        <f>C100/G100</f>
        <v>4.1536610346732145E-2</v>
      </c>
      <c r="F100" s="72" t="s">
        <v>330</v>
      </c>
      <c r="G100" s="73">
        <f>104-96</f>
        <v>8</v>
      </c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</row>
    <row r="101" spans="1:30" ht="30.75" thickBot="1" x14ac:dyDescent="0.3">
      <c r="A101" t="s">
        <v>0</v>
      </c>
      <c r="B101" s="39" t="s">
        <v>162</v>
      </c>
      <c r="C101" s="77" t="s">
        <v>332</v>
      </c>
      <c r="P101" t="s">
        <v>315</v>
      </c>
      <c r="Q101" t="s">
        <v>317</v>
      </c>
      <c r="R101" t="s">
        <v>316</v>
      </c>
      <c r="S101" t="s">
        <v>318</v>
      </c>
      <c r="T101" t="s">
        <v>337</v>
      </c>
      <c r="U101" t="s">
        <v>338</v>
      </c>
      <c r="V101" t="s">
        <v>319</v>
      </c>
      <c r="W101" t="s">
        <v>320</v>
      </c>
      <c r="X101" t="s">
        <v>343</v>
      </c>
      <c r="Y101" t="s">
        <v>344</v>
      </c>
      <c r="Z101" t="s">
        <v>346</v>
      </c>
      <c r="AA101" s="39" t="s">
        <v>345</v>
      </c>
    </row>
    <row r="102" spans="1:30" x14ac:dyDescent="0.25">
      <c r="A102">
        <v>102</v>
      </c>
      <c r="B102" s="88">
        <f>A102*B109+B110</f>
        <v>2.8897800000000006E-5</v>
      </c>
      <c r="C102" s="55">
        <v>8.8563306600036008E-6</v>
      </c>
      <c r="D102" t="s">
        <v>127</v>
      </c>
      <c r="E102" t="s">
        <v>327</v>
      </c>
      <c r="I102" s="62"/>
      <c r="L102" s="63"/>
      <c r="N102" s="57" t="s">
        <v>160</v>
      </c>
      <c r="P102" t="s">
        <v>10</v>
      </c>
      <c r="Q102" t="s">
        <v>29</v>
      </c>
      <c r="R102">
        <v>1.0200000000000001E-2</v>
      </c>
      <c r="S102">
        <v>0.3155</v>
      </c>
      <c r="T102" s="42">
        <v>9.7677394869432697E-3</v>
      </c>
      <c r="U102">
        <v>0.31812041642280497</v>
      </c>
      <c r="V102">
        <v>150719.70000000001</v>
      </c>
      <c r="W102">
        <v>0</v>
      </c>
      <c r="X102">
        <v>10</v>
      </c>
      <c r="Y102">
        <v>10</v>
      </c>
      <c r="Z102" s="101">
        <f>B88</f>
        <v>2.16086934947964E-5</v>
      </c>
      <c r="AA102">
        <v>0</v>
      </c>
    </row>
    <row r="103" spans="1:30" ht="15.75" thickBot="1" x14ac:dyDescent="0.3">
      <c r="A103">
        <v>104</v>
      </c>
      <c r="B103" s="88">
        <v>2.52866753485642E-5</v>
      </c>
      <c r="C103" s="55">
        <v>4.8807195589713902E-7</v>
      </c>
      <c r="D103" t="s">
        <v>124</v>
      </c>
      <c r="E103" t="s">
        <v>328</v>
      </c>
      <c r="N103" s="58" t="s">
        <v>10</v>
      </c>
      <c r="P103" t="s">
        <v>10</v>
      </c>
      <c r="Q103" t="s">
        <v>29</v>
      </c>
      <c r="R103">
        <v>0.1114</v>
      </c>
      <c r="S103">
        <v>0.1862</v>
      </c>
      <c r="T103" s="42">
        <v>0.10877107380527</v>
      </c>
      <c r="U103">
        <v>0.19143325160297101</v>
      </c>
      <c r="V103">
        <v>138731.79999999999</v>
      </c>
      <c r="W103">
        <v>0</v>
      </c>
      <c r="X103">
        <v>10</v>
      </c>
      <c r="Y103">
        <v>10</v>
      </c>
      <c r="Z103" s="101">
        <f>B89</f>
        <v>1.9995267432079798E-5</v>
      </c>
      <c r="AA103">
        <v>0</v>
      </c>
    </row>
    <row r="104" spans="1:30" x14ac:dyDescent="0.25">
      <c r="A104">
        <v>105</v>
      </c>
      <c r="B104" s="88">
        <v>2.30601870116374E-5</v>
      </c>
      <c r="C104" s="55">
        <v>1.7933008921358501E-7</v>
      </c>
      <c r="P104" t="s">
        <v>10</v>
      </c>
      <c r="R104">
        <v>0.2233</v>
      </c>
      <c r="S104">
        <v>0</v>
      </c>
      <c r="T104" s="42">
        <v>0.220130931240716</v>
      </c>
      <c r="U104">
        <v>0</v>
      </c>
      <c r="V104">
        <v>95459.3</v>
      </c>
      <c r="W104">
        <v>0</v>
      </c>
      <c r="X104">
        <v>10</v>
      </c>
      <c r="Y104">
        <v>0</v>
      </c>
      <c r="Z104">
        <v>0</v>
      </c>
      <c r="AA104">
        <v>0</v>
      </c>
    </row>
    <row r="105" spans="1:30" x14ac:dyDescent="0.25">
      <c r="A105">
        <v>106</v>
      </c>
      <c r="B105" s="88">
        <v>2.24252617588446E-5</v>
      </c>
      <c r="C105" s="55">
        <v>1.71146069186698E-7</v>
      </c>
      <c r="P105" t="s">
        <v>10</v>
      </c>
      <c r="Q105" t="s">
        <v>30</v>
      </c>
      <c r="R105">
        <v>0.27329999999999999</v>
      </c>
      <c r="S105">
        <v>0</v>
      </c>
      <c r="T105" s="42">
        <v>0.27198545961488202</v>
      </c>
      <c r="U105">
        <v>0</v>
      </c>
      <c r="V105">
        <v>121285.3</v>
      </c>
      <c r="W105">
        <v>0</v>
      </c>
      <c r="X105">
        <v>10</v>
      </c>
      <c r="Y105">
        <v>0</v>
      </c>
      <c r="Z105">
        <v>0</v>
      </c>
      <c r="AA105">
        <v>0</v>
      </c>
    </row>
    <row r="106" spans="1:30" x14ac:dyDescent="0.25">
      <c r="A106">
        <v>108</v>
      </c>
      <c r="B106" s="88">
        <v>1.86085023730408E-5</v>
      </c>
      <c r="C106" s="55">
        <v>1.40411815306763E-7</v>
      </c>
      <c r="P106" t="s">
        <v>10</v>
      </c>
      <c r="Q106" t="s">
        <v>30</v>
      </c>
      <c r="R106">
        <v>0.2646</v>
      </c>
      <c r="S106">
        <v>0</v>
      </c>
      <c r="T106">
        <v>0.26830129532423602</v>
      </c>
      <c r="U106">
        <v>0</v>
      </c>
      <c r="V106">
        <v>144182.1</v>
      </c>
      <c r="W106">
        <v>0</v>
      </c>
      <c r="X106">
        <v>10</v>
      </c>
      <c r="Y106">
        <v>0</v>
      </c>
      <c r="Z106">
        <v>0</v>
      </c>
      <c r="AA106">
        <v>0</v>
      </c>
    </row>
    <row r="107" spans="1:30" x14ac:dyDescent="0.25">
      <c r="A107">
        <v>110</v>
      </c>
      <c r="B107" s="88">
        <v>1.6548295591259099E-5</v>
      </c>
      <c r="C107" s="55">
        <v>1.32046027675256E-7</v>
      </c>
      <c r="F107" t="s">
        <v>335</v>
      </c>
      <c r="P107" t="s">
        <v>10</v>
      </c>
      <c r="Q107" t="s">
        <v>30</v>
      </c>
      <c r="R107">
        <v>0.1172</v>
      </c>
      <c r="S107">
        <v>0</v>
      </c>
      <c r="T107">
        <v>0.121043500527953</v>
      </c>
      <c r="U107">
        <v>0</v>
      </c>
      <c r="V107">
        <v>73145.600000000006</v>
      </c>
      <c r="W107">
        <v>0</v>
      </c>
      <c r="X107">
        <v>10</v>
      </c>
      <c r="Y107">
        <v>0</v>
      </c>
      <c r="Z107">
        <v>0</v>
      </c>
      <c r="AA107">
        <v>0</v>
      </c>
    </row>
    <row r="108" spans="1:30" ht="15.75" thickBot="1" x14ac:dyDescent="0.3">
      <c r="F108" s="92">
        <f>C102/B102</f>
        <v>0.3064707576356539</v>
      </c>
      <c r="Q108" s="64"/>
      <c r="R108" s="64"/>
      <c r="S108" s="64"/>
      <c r="T108" s="64"/>
      <c r="U108" s="64"/>
      <c r="V108" s="64"/>
      <c r="W108" s="64"/>
      <c r="X108" s="64"/>
      <c r="Y108" s="64"/>
    </row>
    <row r="109" spans="1:30" x14ac:dyDescent="0.25">
      <c r="A109" t="s">
        <v>140</v>
      </c>
      <c r="B109" s="55">
        <v>-1.4461E-6</v>
      </c>
      <c r="Q109" t="s">
        <v>325</v>
      </c>
      <c r="R109" t="s">
        <v>326</v>
      </c>
      <c r="X109" t="s">
        <v>29</v>
      </c>
    </row>
    <row r="110" spans="1:30" x14ac:dyDescent="0.25">
      <c r="A110" t="s">
        <v>141</v>
      </c>
      <c r="B110">
        <v>1.7640000000000001E-4</v>
      </c>
      <c r="Q110" t="s">
        <v>10</v>
      </c>
      <c r="X110">
        <v>10</v>
      </c>
    </row>
    <row r="111" spans="1:30" x14ac:dyDescent="0.25">
      <c r="Q111" t="s">
        <v>29</v>
      </c>
      <c r="X111" t="s">
        <v>10</v>
      </c>
    </row>
    <row r="112" spans="1:30" x14ac:dyDescent="0.25">
      <c r="A112">
        <v>102</v>
      </c>
      <c r="B112" s="107">
        <f>(X102*T102)/(V102-(1/Z102)*Y102*U102)</f>
        <v>2.7900002950160794E-5</v>
      </c>
      <c r="C112" s="61"/>
      <c r="D112" t="s">
        <v>158</v>
      </c>
      <c r="Q112" t="s">
        <v>30</v>
      </c>
      <c r="X112">
        <v>10</v>
      </c>
    </row>
    <row r="113" spans="1:30" x14ac:dyDescent="0.25">
      <c r="A113">
        <v>107</v>
      </c>
      <c r="B113" s="109">
        <f>A113*B109+B110</f>
        <v>2.1667300000000002E-5</v>
      </c>
      <c r="C113" s="47"/>
      <c r="D113" t="s">
        <v>159</v>
      </c>
      <c r="T113" s="75"/>
    </row>
    <row r="114" spans="1:30" x14ac:dyDescent="0.25">
      <c r="T114" s="105"/>
    </row>
    <row r="115" spans="1:30" x14ac:dyDescent="0.25">
      <c r="T115" s="106"/>
    </row>
    <row r="117" spans="1:30" ht="15.75" thickBot="1" x14ac:dyDescent="0.3">
      <c r="R117" s="75"/>
    </row>
    <row r="118" spans="1:30" ht="15.75" thickBot="1" x14ac:dyDescent="0.3">
      <c r="A118" s="48"/>
      <c r="B118" s="93" t="s">
        <v>329</v>
      </c>
      <c r="C118" s="94">
        <f>((MAX(B102:B107)-MIN(B102:B107))/AVERAGE(MAX(B102:B107),MIN(B102:B107)))</f>
        <v>0.54347922513793034</v>
      </c>
      <c r="D118" s="72" t="s">
        <v>331</v>
      </c>
      <c r="E118" s="95">
        <f>C118/G118</f>
        <v>6.7934903142241293E-2</v>
      </c>
      <c r="F118" s="72" t="s">
        <v>330</v>
      </c>
      <c r="G118" s="73">
        <f>104-96</f>
        <v>8</v>
      </c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</row>
    <row r="119" spans="1:30" ht="30.75" thickBot="1" x14ac:dyDescent="0.3">
      <c r="A119" t="s">
        <v>0</v>
      </c>
      <c r="B119" s="39" t="s">
        <v>163</v>
      </c>
      <c r="C119" s="77" t="s">
        <v>332</v>
      </c>
      <c r="D119" s="39"/>
      <c r="E119" s="39"/>
      <c r="R119" t="s">
        <v>315</v>
      </c>
      <c r="S119" t="s">
        <v>316</v>
      </c>
      <c r="T119" t="s">
        <v>317</v>
      </c>
      <c r="U119" t="s">
        <v>318</v>
      </c>
      <c r="X119" t="s">
        <v>319</v>
      </c>
      <c r="Y119" t="s">
        <v>320</v>
      </c>
    </row>
    <row r="120" spans="1:30" x14ac:dyDescent="0.25">
      <c r="A120">
        <v>103</v>
      </c>
      <c r="B120">
        <v>2.1784039653225971E-5</v>
      </c>
      <c r="C120" s="55">
        <v>1.5736E-7</v>
      </c>
      <c r="E120" t="s">
        <v>335</v>
      </c>
      <c r="N120" s="57" t="s">
        <v>164</v>
      </c>
      <c r="R120" t="s">
        <v>20</v>
      </c>
      <c r="S120">
        <v>1</v>
      </c>
      <c r="X120">
        <v>459051.7</v>
      </c>
    </row>
    <row r="121" spans="1:30" ht="15.75" thickBot="1" x14ac:dyDescent="0.3">
      <c r="E121" s="92">
        <f>C120/B120</f>
        <v>7.2236372364800003E-3</v>
      </c>
      <c r="N121" s="58" t="s">
        <v>20</v>
      </c>
      <c r="Q121" s="64"/>
      <c r="R121" s="64"/>
      <c r="S121" s="64"/>
      <c r="T121" s="64"/>
      <c r="U121" s="64"/>
      <c r="V121" s="64"/>
      <c r="W121" s="64"/>
      <c r="X121" s="64"/>
      <c r="Y121" s="64"/>
    </row>
    <row r="122" spans="1:30" x14ac:dyDescent="0.25">
      <c r="Q122" t="s">
        <v>325</v>
      </c>
      <c r="R122" t="s">
        <v>326</v>
      </c>
      <c r="X122" t="s">
        <v>20</v>
      </c>
    </row>
    <row r="123" spans="1:30" x14ac:dyDescent="0.25">
      <c r="Q123" t="s">
        <v>20</v>
      </c>
      <c r="X123">
        <v>10</v>
      </c>
    </row>
    <row r="124" spans="1:30" ht="15.75" thickBot="1" x14ac:dyDescent="0.3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</row>
    <row r="125" spans="1:30" ht="30.75" thickBot="1" x14ac:dyDescent="0.3">
      <c r="A125" t="s">
        <v>0</v>
      </c>
      <c r="B125" s="39" t="s">
        <v>166</v>
      </c>
      <c r="C125" s="77" t="s">
        <v>332</v>
      </c>
      <c r="D125" s="39" t="s">
        <v>167</v>
      </c>
      <c r="E125" s="77" t="s">
        <v>332</v>
      </c>
      <c r="P125" t="s">
        <v>315</v>
      </c>
      <c r="Q125" t="s">
        <v>317</v>
      </c>
      <c r="R125" t="s">
        <v>316</v>
      </c>
      <c r="S125" t="s">
        <v>318</v>
      </c>
      <c r="T125" t="s">
        <v>337</v>
      </c>
      <c r="U125" t="s">
        <v>338</v>
      </c>
      <c r="V125" t="s">
        <v>319</v>
      </c>
      <c r="W125" t="s">
        <v>320</v>
      </c>
      <c r="X125" t="s">
        <v>343</v>
      </c>
      <c r="Y125" t="s">
        <v>344</v>
      </c>
      <c r="Z125" t="s">
        <v>346</v>
      </c>
      <c r="AA125" s="39" t="s">
        <v>345</v>
      </c>
    </row>
    <row r="126" spans="1:30" x14ac:dyDescent="0.25">
      <c r="A126">
        <v>106</v>
      </c>
      <c r="B126" s="55">
        <v>2.9364614912120699E-5</v>
      </c>
      <c r="C126" s="55">
        <v>4.7455440056494397E-7</v>
      </c>
      <c r="D126" s="55">
        <v>2.4865070062054201E-5</v>
      </c>
      <c r="E126" s="55">
        <v>3.7536241322305402E-7</v>
      </c>
      <c r="N126" s="57" t="s">
        <v>165</v>
      </c>
      <c r="P126" t="s">
        <v>30</v>
      </c>
      <c r="Q126" t="s">
        <v>10</v>
      </c>
      <c r="R126">
        <v>1.2500000000000001E-2</v>
      </c>
      <c r="S126">
        <v>0.27329999999999999</v>
      </c>
      <c r="T126" s="42">
        <v>1.1776643001332E-2</v>
      </c>
      <c r="U126" s="42">
        <v>0.27198545961488202</v>
      </c>
      <c r="V126">
        <v>4604.04</v>
      </c>
      <c r="W126">
        <v>5437.18</v>
      </c>
      <c r="X126">
        <v>11.48</v>
      </c>
      <c r="Y126">
        <v>0</v>
      </c>
      <c r="Z126">
        <v>0</v>
      </c>
      <c r="AA126">
        <v>0</v>
      </c>
    </row>
    <row r="127" spans="1:30" ht="15.75" thickBot="1" x14ac:dyDescent="0.3">
      <c r="A127">
        <v>108</v>
      </c>
      <c r="B127" s="55">
        <v>2.4514877939529699E-5</v>
      </c>
      <c r="C127" s="55">
        <v>4.2029220863220398E-7</v>
      </c>
      <c r="D127" s="55">
        <v>2.04114119027996E-5</v>
      </c>
      <c r="E127" s="55">
        <v>3.2407866959669698E-7</v>
      </c>
      <c r="F127" t="s">
        <v>168</v>
      </c>
      <c r="N127" s="58" t="s">
        <v>30</v>
      </c>
      <c r="P127" t="s">
        <v>30</v>
      </c>
      <c r="Q127" t="s">
        <v>10</v>
      </c>
      <c r="R127">
        <v>8.8999999999999999E-3</v>
      </c>
      <c r="S127">
        <v>0.2646</v>
      </c>
      <c r="T127" s="42">
        <v>8.5431364117330398E-3</v>
      </c>
      <c r="U127">
        <v>0.26830129532423602</v>
      </c>
      <c r="V127">
        <v>4000.64</v>
      </c>
      <c r="W127">
        <v>4804.92</v>
      </c>
      <c r="X127">
        <v>11.48</v>
      </c>
      <c r="Y127">
        <v>0</v>
      </c>
      <c r="Z127">
        <v>0</v>
      </c>
      <c r="AA127">
        <v>0</v>
      </c>
    </row>
    <row r="128" spans="1:30" x14ac:dyDescent="0.25">
      <c r="A128">
        <v>110</v>
      </c>
      <c r="B128" s="55">
        <v>2.19579111617912E-5</v>
      </c>
      <c r="C128" s="55">
        <v>1.6956425707386199E-7</v>
      </c>
      <c r="D128" s="55">
        <v>1.8628300929571601E-5</v>
      </c>
      <c r="E128" s="55">
        <v>1.40958325703395E-7</v>
      </c>
      <c r="P128" t="s">
        <v>30</v>
      </c>
      <c r="Q128" t="s">
        <v>10</v>
      </c>
      <c r="R128">
        <v>0.1249</v>
      </c>
      <c r="S128">
        <v>0.1172</v>
      </c>
      <c r="T128" s="42">
        <v>0.12211276442293099</v>
      </c>
      <c r="U128">
        <v>0.121043500527953</v>
      </c>
      <c r="V128">
        <v>63842.8</v>
      </c>
      <c r="W128">
        <v>75254.02</v>
      </c>
      <c r="X128">
        <v>11.48</v>
      </c>
      <c r="Y128">
        <v>0</v>
      </c>
      <c r="Z128">
        <v>0</v>
      </c>
      <c r="AA128">
        <v>0</v>
      </c>
    </row>
    <row r="129" spans="1:30" x14ac:dyDescent="0.25">
      <c r="A129">
        <v>111</v>
      </c>
      <c r="B129" s="55">
        <v>2.0433064089770799E-5</v>
      </c>
      <c r="C129" s="55">
        <v>1.55699214403065E-7</v>
      </c>
      <c r="D129" s="55">
        <v>1.78263493568556E-5</v>
      </c>
      <c r="E129" s="55">
        <v>1.3371638470618301E-7</v>
      </c>
      <c r="P129" t="s">
        <v>30</v>
      </c>
      <c r="R129">
        <v>0.128</v>
      </c>
      <c r="S129" s="108">
        <v>0</v>
      </c>
      <c r="T129" s="42">
        <v>0.12628359771782799</v>
      </c>
      <c r="U129">
        <v>0</v>
      </c>
      <c r="V129">
        <v>70950.48</v>
      </c>
      <c r="W129">
        <v>81325.440000000002</v>
      </c>
      <c r="X129">
        <v>11.48</v>
      </c>
      <c r="Y129">
        <v>0</v>
      </c>
      <c r="Z129">
        <v>0</v>
      </c>
      <c r="AA129">
        <v>0</v>
      </c>
    </row>
    <row r="130" spans="1:30" x14ac:dyDescent="0.25">
      <c r="A130">
        <v>112</v>
      </c>
      <c r="B130" s="55">
        <v>1.9762399219418501E-5</v>
      </c>
      <c r="C130" s="55">
        <v>1.4131991115144101E-7</v>
      </c>
      <c r="D130" s="55">
        <v>1.7228268223316399E-5</v>
      </c>
      <c r="E130" s="55">
        <v>1.22086449829091E-7</v>
      </c>
      <c r="P130" t="s">
        <v>30</v>
      </c>
      <c r="Q130" t="s">
        <v>11</v>
      </c>
      <c r="R130">
        <v>0.24129999999999999</v>
      </c>
      <c r="S130">
        <v>9.7000000000000003E-3</v>
      </c>
      <c r="T130">
        <v>0.240207831162843</v>
      </c>
      <c r="U130" s="42">
        <v>9.1439284981915808E-3</v>
      </c>
      <c r="V130">
        <v>139537</v>
      </c>
      <c r="W130">
        <v>160061.70000000001</v>
      </c>
      <c r="X130">
        <v>11.48</v>
      </c>
      <c r="Y130">
        <v>0</v>
      </c>
      <c r="Z130">
        <v>0</v>
      </c>
      <c r="AA130">
        <v>0</v>
      </c>
    </row>
    <row r="131" spans="1:30" x14ac:dyDescent="0.25">
      <c r="A131">
        <v>113</v>
      </c>
      <c r="B131" s="55">
        <v>1.9000061558614002E-5</v>
      </c>
      <c r="C131" s="55">
        <v>1.9073311768848499E-7</v>
      </c>
      <c r="D131" s="55">
        <v>1.6499991618363399E-5</v>
      </c>
      <c r="E131" s="55">
        <v>1.6550171699860999E-7</v>
      </c>
      <c r="F131" t="s">
        <v>352</v>
      </c>
      <c r="P131" t="s">
        <v>30</v>
      </c>
      <c r="Q131" t="s">
        <v>22</v>
      </c>
      <c r="R131">
        <v>0.1222</v>
      </c>
      <c r="S131">
        <v>4.2900000000000001E-2</v>
      </c>
      <c r="T131">
        <v>0.12273576402695401</v>
      </c>
      <c r="U131">
        <v>4.2184854250211103E-2</v>
      </c>
      <c r="V131">
        <v>147273.4</v>
      </c>
      <c r="W131">
        <v>173465.2</v>
      </c>
      <c r="X131">
        <v>11.48</v>
      </c>
      <c r="Y131">
        <v>20.61</v>
      </c>
      <c r="Z131">
        <f>B142</f>
        <v>1.1891239076125399E-5</v>
      </c>
      <c r="AA131">
        <f>D142</f>
        <v>9.8719351376699507E-6</v>
      </c>
    </row>
    <row r="132" spans="1:30" x14ac:dyDescent="0.25">
      <c r="A132">
        <v>114</v>
      </c>
      <c r="B132" s="55">
        <f>B138</f>
        <v>1.7672200000000003E-5</v>
      </c>
      <c r="C132" s="55">
        <v>1.34654790009284E-7</v>
      </c>
      <c r="D132" s="55">
        <f>D138</f>
        <v>1.5420539999999995E-5</v>
      </c>
      <c r="E132" s="55">
        <v>1.17917171641384E-7</v>
      </c>
      <c r="F132" t="s">
        <v>353</v>
      </c>
      <c r="P132" t="s">
        <v>30</v>
      </c>
      <c r="Q132" t="s">
        <v>11</v>
      </c>
      <c r="R132">
        <v>0.2873</v>
      </c>
      <c r="S132">
        <v>6.6E-3</v>
      </c>
      <c r="T132">
        <v>0.29111273687289102</v>
      </c>
      <c r="U132" s="42">
        <v>6.3327239537578003E-3</v>
      </c>
      <c r="V132">
        <v>174943.1</v>
      </c>
      <c r="W132">
        <v>198411.3</v>
      </c>
      <c r="X132">
        <v>11.48</v>
      </c>
      <c r="Y132">
        <v>0</v>
      </c>
      <c r="Z132">
        <v>0</v>
      </c>
      <c r="AA132">
        <v>0</v>
      </c>
    </row>
    <row r="133" spans="1:30" x14ac:dyDescent="0.25">
      <c r="A133">
        <v>116</v>
      </c>
      <c r="B133" s="55">
        <v>1.6289362274659201E-5</v>
      </c>
      <c r="C133" s="55">
        <v>1.2861680447469399E-7</v>
      </c>
      <c r="D133" s="55">
        <v>1.4323121448267401E-5</v>
      </c>
      <c r="E133" s="55">
        <v>1.11062056812467E-7</v>
      </c>
      <c r="P133" t="s">
        <v>30</v>
      </c>
      <c r="Q133" t="s">
        <v>11</v>
      </c>
      <c r="R133">
        <v>7.4899999999999994E-2</v>
      </c>
      <c r="S133">
        <v>0.1454</v>
      </c>
      <c r="T133">
        <v>7.7227526383488093E-2</v>
      </c>
      <c r="U133" s="42">
        <v>0.14196022130563599</v>
      </c>
      <c r="V133">
        <v>54426.44</v>
      </c>
      <c r="W133">
        <v>61897.96</v>
      </c>
      <c r="X133">
        <v>11.48</v>
      </c>
      <c r="Y133">
        <v>0</v>
      </c>
      <c r="Z133">
        <v>0</v>
      </c>
      <c r="AA133">
        <v>0</v>
      </c>
    </row>
    <row r="134" spans="1:30" ht="15.75" thickBot="1" x14ac:dyDescent="0.3">
      <c r="C134" t="s">
        <v>334</v>
      </c>
      <c r="E134" t="s">
        <v>334</v>
      </c>
      <c r="Q134" s="64"/>
      <c r="R134" s="64"/>
      <c r="S134" s="64"/>
      <c r="T134" s="64"/>
      <c r="U134" s="64"/>
      <c r="V134" s="64"/>
      <c r="W134" s="64"/>
      <c r="X134" s="64"/>
      <c r="Y134" s="64"/>
    </row>
    <row r="135" spans="1:30" x14ac:dyDescent="0.25">
      <c r="A135" t="s">
        <v>140</v>
      </c>
      <c r="B135" s="55">
        <v>-1.2577E-6</v>
      </c>
      <c r="C135" s="92">
        <f>C126/B126</f>
        <v>1.6160756815137539E-2</v>
      </c>
      <c r="D135" s="55">
        <v>-9.8789000000000004E-7</v>
      </c>
      <c r="E135" s="92">
        <f>E126/D126</f>
        <v>1.5095972474088571E-2</v>
      </c>
      <c r="Q135" t="s">
        <v>325</v>
      </c>
      <c r="R135" t="s">
        <v>326</v>
      </c>
      <c r="X135" t="s">
        <v>30</v>
      </c>
      <c r="Y135" t="s">
        <v>30</v>
      </c>
    </row>
    <row r="136" spans="1:30" x14ac:dyDescent="0.25">
      <c r="A136" t="s">
        <v>141</v>
      </c>
      <c r="B136">
        <v>1.6105000000000001E-4</v>
      </c>
      <c r="C136" s="92">
        <f t="shared" ref="C136:C138" si="5">C127/B127</f>
        <v>1.7144372885271115E-2</v>
      </c>
      <c r="D136">
        <v>1.2804E-4</v>
      </c>
      <c r="E136" s="92">
        <f t="shared" ref="E136:E138" si="6">E127/D127</f>
        <v>1.5877327405863912E-2</v>
      </c>
      <c r="Q136" t="s">
        <v>10</v>
      </c>
      <c r="X136">
        <v>11.48</v>
      </c>
      <c r="Y136">
        <v>11.48</v>
      </c>
    </row>
    <row r="137" spans="1:30" x14ac:dyDescent="0.25">
      <c r="C137" s="92">
        <f t="shared" si="5"/>
        <v>7.7222398717469772E-3</v>
      </c>
      <c r="E137" s="92">
        <f t="shared" si="6"/>
        <v>7.5668911639509709E-3</v>
      </c>
      <c r="Q137" t="s">
        <v>30</v>
      </c>
      <c r="X137" t="s">
        <v>22</v>
      </c>
      <c r="Y137" t="s">
        <v>22</v>
      </c>
    </row>
    <row r="138" spans="1:30" x14ac:dyDescent="0.25">
      <c r="A138">
        <v>114</v>
      </c>
      <c r="B138" s="55">
        <f>A138*B135+B136</f>
        <v>1.7672200000000003E-5</v>
      </c>
      <c r="C138" s="92">
        <f t="shared" si="5"/>
        <v>7.6199640797393253E-3</v>
      </c>
      <c r="D138" s="55">
        <f>A138*D135+D136</f>
        <v>1.5420539999999995E-5</v>
      </c>
      <c r="E138" s="92">
        <f t="shared" si="6"/>
        <v>7.501052628858011E-3</v>
      </c>
      <c r="Q138" t="s">
        <v>11</v>
      </c>
      <c r="X138">
        <v>20.61</v>
      </c>
      <c r="Y138">
        <v>20.61</v>
      </c>
    </row>
    <row r="139" spans="1:30" ht="15.75" thickBot="1" x14ac:dyDescent="0.3">
      <c r="A139">
        <v>114</v>
      </c>
      <c r="B139">
        <v>1.9103206818445501E-5</v>
      </c>
      <c r="C139" t="s">
        <v>351</v>
      </c>
      <c r="D139" s="55">
        <v>1.6843668786807999E-5</v>
      </c>
      <c r="Q139" t="s">
        <v>22</v>
      </c>
    </row>
    <row r="140" spans="1:30" ht="15.75" thickBot="1" x14ac:dyDescent="0.3">
      <c r="A140" s="64"/>
      <c r="B140" s="93" t="s">
        <v>329</v>
      </c>
      <c r="C140" s="94">
        <f>((MAX(B126:B133,D126:D133)-MIN(B126:B133,D126:D133))/AVERAGE(MAX(B126:B133,D126:D133),MIN(B126:B133,D126:D133)))</f>
        <v>0.68859111123420436</v>
      </c>
      <c r="D140" s="72" t="s">
        <v>331</v>
      </c>
      <c r="E140" s="95">
        <f>C140/G140</f>
        <v>6.8859111123420441E-2</v>
      </c>
      <c r="F140" s="72" t="s">
        <v>330</v>
      </c>
      <c r="G140" s="73">
        <v>10</v>
      </c>
      <c r="H140" s="64"/>
      <c r="I140" s="64" t="s">
        <v>350</v>
      </c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</row>
    <row r="141" spans="1:30" ht="30.75" thickBot="1" x14ac:dyDescent="0.3">
      <c r="A141" t="s">
        <v>0</v>
      </c>
      <c r="B141" s="39" t="s">
        <v>169</v>
      </c>
      <c r="C141" s="77" t="s">
        <v>332</v>
      </c>
      <c r="D141" s="39" t="s">
        <v>172</v>
      </c>
      <c r="E141" s="77" t="s">
        <v>332</v>
      </c>
      <c r="P141" t="s">
        <v>315</v>
      </c>
      <c r="Q141" t="s">
        <v>317</v>
      </c>
      <c r="R141" t="s">
        <v>316</v>
      </c>
      <c r="S141" t="s">
        <v>318</v>
      </c>
      <c r="T141" t="s">
        <v>337</v>
      </c>
      <c r="U141" t="s">
        <v>338</v>
      </c>
      <c r="V141" t="s">
        <v>319</v>
      </c>
      <c r="W141" t="s">
        <v>320</v>
      </c>
      <c r="X141" t="s">
        <v>343</v>
      </c>
      <c r="Y141" t="s">
        <v>344</v>
      </c>
      <c r="Z141" t="s">
        <v>346</v>
      </c>
      <c r="AA141" s="39" t="s">
        <v>345</v>
      </c>
    </row>
    <row r="142" spans="1:30" x14ac:dyDescent="0.25">
      <c r="A142">
        <v>113</v>
      </c>
      <c r="B142" s="55">
        <v>1.1891239076125399E-5</v>
      </c>
      <c r="C142" s="55">
        <v>1.21073466849365E-7</v>
      </c>
      <c r="D142" s="55">
        <v>9.8719351376699507E-6</v>
      </c>
      <c r="E142" s="55">
        <v>9.6010358794776903E-8</v>
      </c>
      <c r="F142" t="s">
        <v>171</v>
      </c>
      <c r="N142" s="65" t="s">
        <v>170</v>
      </c>
      <c r="P142" t="s">
        <v>22</v>
      </c>
      <c r="Q142" t="s">
        <v>30</v>
      </c>
      <c r="R142">
        <v>4.2900000000000001E-2</v>
      </c>
      <c r="S142">
        <v>0.1222</v>
      </c>
      <c r="T142">
        <v>4.2184854250211103E-2</v>
      </c>
      <c r="U142">
        <v>0.12273576402695401</v>
      </c>
      <c r="V142">
        <v>147273.4</v>
      </c>
      <c r="W142">
        <v>173465.2</v>
      </c>
      <c r="X142">
        <v>20.61</v>
      </c>
      <c r="Y142">
        <v>11.48</v>
      </c>
      <c r="Z142" s="55">
        <f>B131</f>
        <v>1.9000061558614002E-5</v>
      </c>
      <c r="AA142" s="55">
        <f>D131</f>
        <v>1.6499991618363399E-5</v>
      </c>
    </row>
    <row r="143" spans="1:30" ht="15.75" thickBot="1" x14ac:dyDescent="0.3">
      <c r="A143">
        <v>115</v>
      </c>
      <c r="B143" s="55">
        <v>1.1288576141682999E-5</v>
      </c>
      <c r="C143" s="55">
        <v>6.3314075767359494E-8</v>
      </c>
      <c r="D143" s="55">
        <v>9.6078046601179096E-6</v>
      </c>
      <c r="E143" s="55">
        <v>5.3814181412049E-8</v>
      </c>
      <c r="N143" s="66" t="s">
        <v>22</v>
      </c>
      <c r="P143" t="s">
        <v>22</v>
      </c>
      <c r="Q143" t="s">
        <v>11</v>
      </c>
      <c r="R143">
        <v>0.95709999999999995</v>
      </c>
      <c r="S143">
        <v>3.3999999999999998E-3</v>
      </c>
      <c r="T143">
        <v>0.95781514574978899</v>
      </c>
      <c r="U143" s="42">
        <v>3.2909696932756998E-3</v>
      </c>
      <c r="V143">
        <v>1748721</v>
      </c>
      <c r="W143">
        <v>2054639</v>
      </c>
      <c r="X143">
        <v>20.61</v>
      </c>
      <c r="Y143">
        <v>0</v>
      </c>
      <c r="Z143">
        <v>0</v>
      </c>
      <c r="AA143">
        <v>0</v>
      </c>
    </row>
    <row r="144" spans="1:30" ht="15.75" thickBot="1" x14ac:dyDescent="0.3">
      <c r="C144" t="s">
        <v>334</v>
      </c>
      <c r="E144" t="s">
        <v>334</v>
      </c>
      <c r="Q144" s="64"/>
      <c r="R144" s="64"/>
      <c r="S144" s="64"/>
      <c r="T144" s="64"/>
      <c r="U144" s="64"/>
      <c r="V144" s="64"/>
      <c r="W144" s="64"/>
      <c r="X144" s="64"/>
      <c r="Y144" s="64"/>
    </row>
    <row r="145" spans="1:30" x14ac:dyDescent="0.25">
      <c r="C145" s="92">
        <f t="shared" ref="C145" si="7">C142/B142</f>
        <v>1.0181736829465476E-2</v>
      </c>
      <c r="D145" s="55"/>
      <c r="E145" s="92">
        <f>E142/D142</f>
        <v>9.7255864686969576E-3</v>
      </c>
      <c r="Q145" t="s">
        <v>325</v>
      </c>
      <c r="R145" t="s">
        <v>326</v>
      </c>
      <c r="X145" t="s">
        <v>30</v>
      </c>
      <c r="Y145" t="s">
        <v>30</v>
      </c>
    </row>
    <row r="146" spans="1:30" x14ac:dyDescent="0.25">
      <c r="C146" s="92">
        <f t="shared" ref="C146" si="8">C143/B143</f>
        <v>5.6086857166664844E-3</v>
      </c>
      <c r="D146" s="55"/>
      <c r="E146" s="92">
        <f>E143/D143</f>
        <v>5.6010902922945744E-3</v>
      </c>
      <c r="Q146" t="s">
        <v>22</v>
      </c>
      <c r="X146">
        <v>11.48</v>
      </c>
      <c r="Y146">
        <v>11.48</v>
      </c>
    </row>
    <row r="147" spans="1:30" x14ac:dyDescent="0.25">
      <c r="Q147" t="s">
        <v>11</v>
      </c>
      <c r="X147" t="s">
        <v>22</v>
      </c>
      <c r="Y147" t="s">
        <v>22</v>
      </c>
    </row>
    <row r="148" spans="1:30" x14ac:dyDescent="0.25">
      <c r="Q148" t="s">
        <v>30</v>
      </c>
      <c r="X148">
        <v>20.61</v>
      </c>
      <c r="Y148">
        <v>20.61</v>
      </c>
    </row>
    <row r="150" spans="1:30" ht="15.75" thickBot="1" x14ac:dyDescent="0.3"/>
    <row r="151" spans="1:30" ht="15.75" thickBot="1" x14ac:dyDescent="0.3">
      <c r="A151" s="64"/>
      <c r="B151" s="93" t="s">
        <v>329</v>
      </c>
      <c r="C151" s="94">
        <f>((MAX(B142:B143,D142:D143)-MIN(B142:B143,D142:D143))/AVERAGE(MAX(B142:B143,D142:D143),MIN(B142:B143,D142:D143)))</f>
        <v>0.21242195178737669</v>
      </c>
      <c r="D151" s="72" t="s">
        <v>331</v>
      </c>
      <c r="E151" s="95">
        <f>C151/G151</f>
        <v>0.10621097589368834</v>
      </c>
      <c r="F151" s="72" t="s">
        <v>330</v>
      </c>
      <c r="G151" s="73">
        <v>2</v>
      </c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</row>
    <row r="152" spans="1:30" ht="30.75" thickBot="1" x14ac:dyDescent="0.3">
      <c r="A152" t="s">
        <v>0</v>
      </c>
      <c r="B152" s="39" t="s">
        <v>173</v>
      </c>
      <c r="C152" s="77" t="s">
        <v>332</v>
      </c>
      <c r="D152" s="39" t="s">
        <v>323</v>
      </c>
      <c r="E152" s="77" t="s">
        <v>332</v>
      </c>
      <c r="P152" t="s">
        <v>315</v>
      </c>
      <c r="Q152" t="s">
        <v>317</v>
      </c>
      <c r="R152" t="s">
        <v>316</v>
      </c>
      <c r="S152" t="s">
        <v>318</v>
      </c>
      <c r="T152" t="s">
        <v>337</v>
      </c>
      <c r="U152" t="s">
        <v>338</v>
      </c>
      <c r="V152" t="s">
        <v>319</v>
      </c>
      <c r="W152" t="s">
        <v>320</v>
      </c>
      <c r="X152" t="s">
        <v>343</v>
      </c>
      <c r="Y152" t="s">
        <v>344</v>
      </c>
      <c r="Z152" t="s">
        <v>346</v>
      </c>
      <c r="AA152" s="39" t="s">
        <v>345</v>
      </c>
    </row>
    <row r="153" spans="1:30" x14ac:dyDescent="0.25">
      <c r="A153">
        <v>107</v>
      </c>
      <c r="B153" s="55">
        <v>2.2563392381985699E-5</v>
      </c>
      <c r="C153" s="55">
        <v>1.55989799303984E-7</v>
      </c>
      <c r="D153" s="55">
        <v>1.8755008432334301E-5</v>
      </c>
      <c r="E153" s="55">
        <v>1.28782076577581E-7</v>
      </c>
      <c r="N153" s="65" t="s">
        <v>174</v>
      </c>
      <c r="P153" t="s">
        <v>21</v>
      </c>
      <c r="R153">
        <v>0.51839000000000002</v>
      </c>
      <c r="S153">
        <v>0</v>
      </c>
      <c r="T153" s="42">
        <v>0.51376176194694301</v>
      </c>
      <c r="U153">
        <v>0</v>
      </c>
      <c r="V153">
        <v>261396.2</v>
      </c>
      <c r="W153">
        <v>314475.2</v>
      </c>
      <c r="X153">
        <v>11.48</v>
      </c>
      <c r="Y153">
        <v>0</v>
      </c>
      <c r="Z153">
        <v>0</v>
      </c>
      <c r="AA153">
        <v>0</v>
      </c>
    </row>
    <row r="154" spans="1:30" ht="15.75" thickBot="1" x14ac:dyDescent="0.3">
      <c r="A154">
        <v>109</v>
      </c>
      <c r="B154" s="55">
        <v>1.9416602480184301E-5</v>
      </c>
      <c r="C154" s="55">
        <v>1.3374634008722401E-7</v>
      </c>
      <c r="D154" s="55">
        <v>1.5644687104967102E-5</v>
      </c>
      <c r="E154" s="55">
        <v>1.0699434626606001E-7</v>
      </c>
      <c r="N154" s="66" t="s">
        <v>21</v>
      </c>
      <c r="P154" t="s">
        <v>21</v>
      </c>
      <c r="R154">
        <v>0.48160999999999998</v>
      </c>
      <c r="S154">
        <v>0</v>
      </c>
      <c r="T154" s="42">
        <v>0.48623823805305699</v>
      </c>
      <c r="U154">
        <v>0</v>
      </c>
      <c r="V154">
        <v>287486.7</v>
      </c>
      <c r="W154">
        <v>356799.4</v>
      </c>
      <c r="X154">
        <v>11.48</v>
      </c>
      <c r="Y154">
        <v>0</v>
      </c>
      <c r="Z154">
        <v>0</v>
      </c>
      <c r="AA154">
        <v>0</v>
      </c>
    </row>
    <row r="155" spans="1:30" ht="15.75" thickBot="1" x14ac:dyDescent="0.3">
      <c r="Q155" s="64"/>
      <c r="R155" s="64"/>
      <c r="S155" s="64"/>
      <c r="T155" s="64"/>
      <c r="U155" s="64"/>
      <c r="V155" s="64"/>
      <c r="W155" s="64"/>
      <c r="X155" s="64"/>
      <c r="Y155" s="64"/>
    </row>
    <row r="156" spans="1:30" x14ac:dyDescent="0.25">
      <c r="Q156" t="s">
        <v>325</v>
      </c>
      <c r="R156" t="s">
        <v>326</v>
      </c>
      <c r="X156" t="s">
        <v>21</v>
      </c>
      <c r="Y156" t="s">
        <v>21</v>
      </c>
    </row>
    <row r="157" spans="1:30" x14ac:dyDescent="0.25">
      <c r="Q157" t="s">
        <v>21</v>
      </c>
      <c r="X157">
        <v>11.48</v>
      </c>
      <c r="Y157">
        <v>11.48</v>
      </c>
    </row>
    <row r="158" spans="1:30" ht="15.75" thickBot="1" x14ac:dyDescent="0.3"/>
    <row r="159" spans="1:30" ht="15.75" thickBot="1" x14ac:dyDescent="0.3">
      <c r="A159" s="64"/>
      <c r="B159" s="93" t="s">
        <v>329</v>
      </c>
      <c r="C159" s="94">
        <f>((MAX(B153:B154,D153:D154)-MIN(B153:B154,D153:D154))/AVERAGE(MAX(B153:B154,D153:D154),MIN(B153:B154,D153:D154)))</f>
        <v>0.36215927991780794</v>
      </c>
      <c r="D159" s="72" t="s">
        <v>331</v>
      </c>
      <c r="E159" s="95">
        <f>C159/G159</f>
        <v>0.18107963995890397</v>
      </c>
      <c r="F159" s="72" t="s">
        <v>330</v>
      </c>
      <c r="G159" s="73">
        <v>2</v>
      </c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</row>
    <row r="160" spans="1:30" ht="30.75" thickBot="1" x14ac:dyDescent="0.3">
      <c r="A160" t="s">
        <v>0</v>
      </c>
      <c r="B160" s="39" t="s">
        <v>175</v>
      </c>
      <c r="C160" s="77" t="s">
        <v>332</v>
      </c>
      <c r="P160" t="s">
        <v>315</v>
      </c>
      <c r="Q160" t="s">
        <v>317</v>
      </c>
      <c r="R160" t="s">
        <v>316</v>
      </c>
      <c r="S160" t="s">
        <v>318</v>
      </c>
      <c r="T160" t="s">
        <v>337</v>
      </c>
      <c r="U160" t="s">
        <v>338</v>
      </c>
      <c r="V160" t="s">
        <v>319</v>
      </c>
      <c r="W160" t="s">
        <v>320</v>
      </c>
      <c r="X160" t="s">
        <v>343</v>
      </c>
      <c r="Y160" t="s">
        <v>344</v>
      </c>
      <c r="Z160" t="s">
        <v>346</v>
      </c>
      <c r="AA160" s="39" t="s">
        <v>345</v>
      </c>
    </row>
    <row r="161" spans="1:30" x14ac:dyDescent="0.25">
      <c r="A161">
        <v>112</v>
      </c>
      <c r="B161" s="55">
        <v>1.16227311091E-5</v>
      </c>
      <c r="C161" s="55">
        <v>1.5467786885695401E-7</v>
      </c>
      <c r="N161" s="65" t="s">
        <v>176</v>
      </c>
      <c r="P161" t="s">
        <v>11</v>
      </c>
      <c r="Q161" t="s">
        <v>30</v>
      </c>
      <c r="R161">
        <v>9.7000000000000003E-3</v>
      </c>
      <c r="S161">
        <v>0.24129999999999999</v>
      </c>
      <c r="T161" s="42">
        <v>9.1439284981915808E-3</v>
      </c>
      <c r="U161">
        <v>0.240207831162843</v>
      </c>
      <c r="V161">
        <v>7867.28</v>
      </c>
      <c r="W161">
        <v>0</v>
      </c>
      <c r="X161">
        <v>10</v>
      </c>
      <c r="Y161">
        <v>0</v>
      </c>
      <c r="AA161">
        <v>0</v>
      </c>
    </row>
    <row r="162" spans="1:30" ht="15.75" thickBot="1" x14ac:dyDescent="0.3">
      <c r="A162">
        <v>114</v>
      </c>
      <c r="B162" s="55">
        <v>1.1310738257430999E-5</v>
      </c>
      <c r="C162" s="55">
        <v>1.7101588933781E-7</v>
      </c>
      <c r="N162" s="66" t="s">
        <v>11</v>
      </c>
      <c r="P162" t="s">
        <v>11</v>
      </c>
      <c r="Q162" t="s">
        <v>30</v>
      </c>
      <c r="R162">
        <v>6.6E-3</v>
      </c>
      <c r="S162">
        <v>0.2873</v>
      </c>
      <c r="T162" s="42">
        <v>6.3327239537578003E-3</v>
      </c>
      <c r="U162">
        <v>0.29111273687289102</v>
      </c>
      <c r="V162">
        <v>5598.86</v>
      </c>
      <c r="W162">
        <v>0</v>
      </c>
      <c r="X162">
        <v>10</v>
      </c>
      <c r="Y162">
        <v>0</v>
      </c>
      <c r="AA162">
        <v>0</v>
      </c>
    </row>
    <row r="163" spans="1:30" x14ac:dyDescent="0.25">
      <c r="A163">
        <v>115</v>
      </c>
      <c r="B163" s="55">
        <v>1.1189360660419701E-5</v>
      </c>
      <c r="C163" s="55">
        <v>2.2097270705052401E-7</v>
      </c>
      <c r="P163" t="s">
        <v>11</v>
      </c>
      <c r="Q163" t="s">
        <v>22</v>
      </c>
      <c r="R163">
        <v>3.3999999999999998E-3</v>
      </c>
      <c r="S163">
        <v>0.95709999999999995</v>
      </c>
      <c r="T163" s="42">
        <v>3.2909696932756998E-3</v>
      </c>
      <c r="U163">
        <v>0.95781514574978899</v>
      </c>
      <c r="V163">
        <v>2941.16</v>
      </c>
      <c r="W163">
        <v>0</v>
      </c>
      <c r="X163">
        <v>10</v>
      </c>
      <c r="Y163">
        <v>0</v>
      </c>
      <c r="AA163">
        <v>0</v>
      </c>
    </row>
    <row r="164" spans="1:30" x14ac:dyDescent="0.25">
      <c r="A164">
        <v>116</v>
      </c>
      <c r="B164" s="55">
        <v>1.1368258695551201E-5</v>
      </c>
      <c r="C164" s="55">
        <v>8.6584093794567299E-8</v>
      </c>
      <c r="P164" t="s">
        <v>11</v>
      </c>
      <c r="Q164" t="s">
        <v>30</v>
      </c>
      <c r="R164">
        <v>0.1454</v>
      </c>
      <c r="S164">
        <v>7.4899999999999994E-2</v>
      </c>
      <c r="T164" s="42">
        <v>0.14196022130563599</v>
      </c>
      <c r="U164">
        <v>7.7227526383488093E-2</v>
      </c>
      <c r="V164">
        <v>124874.2</v>
      </c>
      <c r="W164">
        <v>0</v>
      </c>
      <c r="X164">
        <v>10</v>
      </c>
      <c r="Y164">
        <v>0</v>
      </c>
      <c r="AA164">
        <v>0</v>
      </c>
    </row>
    <row r="165" spans="1:30" x14ac:dyDescent="0.25">
      <c r="A165">
        <v>117</v>
      </c>
      <c r="B165" s="55">
        <v>1.14014767029888E-5</v>
      </c>
      <c r="C165" s="55">
        <v>9.1974777831238999E-8</v>
      </c>
      <c r="P165" t="s">
        <v>11</v>
      </c>
      <c r="R165">
        <v>7.6799999999999993E-2</v>
      </c>
      <c r="T165" s="42">
        <v>7.5630852492968498E-2</v>
      </c>
      <c r="V165">
        <v>66334.259999999995</v>
      </c>
      <c r="W165">
        <v>0</v>
      </c>
      <c r="X165">
        <v>10</v>
      </c>
      <c r="Y165">
        <v>0</v>
      </c>
      <c r="AA165">
        <v>0</v>
      </c>
    </row>
    <row r="166" spans="1:30" x14ac:dyDescent="0.25">
      <c r="A166">
        <v>118</v>
      </c>
      <c r="B166" s="55">
        <v>1.1505973337568001E-5</v>
      </c>
      <c r="C166" s="55">
        <v>8.5162225816177602E-8</v>
      </c>
      <c r="P166" t="s">
        <v>11</v>
      </c>
      <c r="R166">
        <v>0.2422</v>
      </c>
      <c r="T166" s="42">
        <v>0.24055043685300301</v>
      </c>
      <c r="V166">
        <v>209065.7</v>
      </c>
      <c r="W166">
        <v>0</v>
      </c>
      <c r="X166">
        <v>10</v>
      </c>
      <c r="Y166">
        <v>0</v>
      </c>
      <c r="AA166">
        <v>0</v>
      </c>
    </row>
    <row r="167" spans="1:30" x14ac:dyDescent="0.25">
      <c r="A167">
        <v>119</v>
      </c>
      <c r="B167" s="55">
        <v>1.17089469408196E-5</v>
      </c>
      <c r="C167" s="55">
        <v>9.3384820962855102E-8</v>
      </c>
      <c r="P167" t="s">
        <v>11</v>
      </c>
      <c r="R167">
        <v>8.5900000000000004E-2</v>
      </c>
      <c r="T167" s="42">
        <v>8.6039800553445303E-2</v>
      </c>
      <c r="V167">
        <v>73482.100000000006</v>
      </c>
      <c r="W167">
        <v>0</v>
      </c>
      <c r="X167">
        <v>10</v>
      </c>
      <c r="Y167">
        <v>0</v>
      </c>
      <c r="AA167">
        <v>0</v>
      </c>
    </row>
    <row r="168" spans="1:30" x14ac:dyDescent="0.25">
      <c r="A168">
        <v>120</v>
      </c>
      <c r="B168" s="52">
        <f>A168*B172+B173</f>
        <v>1.170664E-5</v>
      </c>
      <c r="C168" s="55">
        <v>8.6931983599519403E-8</v>
      </c>
      <c r="D168" s="67" t="s">
        <v>188</v>
      </c>
      <c r="E168" s="67"/>
      <c r="P168" t="s">
        <v>11</v>
      </c>
      <c r="Q168" t="s">
        <v>31</v>
      </c>
      <c r="R168">
        <v>0.32579999999999998</v>
      </c>
      <c r="S168">
        <v>8.9999999999999998E-4</v>
      </c>
      <c r="T168" s="42">
        <v>0.329071682034147</v>
      </c>
      <c r="U168" s="42">
        <v>8.4569729522556304E-4</v>
      </c>
      <c r="V168">
        <v>277266.8</v>
      </c>
      <c r="W168">
        <v>0</v>
      </c>
      <c r="X168">
        <v>10</v>
      </c>
      <c r="Y168">
        <v>10</v>
      </c>
      <c r="Z168" s="55">
        <f>B177</f>
        <v>7.9604000000000006E-5</v>
      </c>
      <c r="AA168">
        <v>0</v>
      </c>
    </row>
    <row r="169" spans="1:30" x14ac:dyDescent="0.25">
      <c r="A169">
        <v>122</v>
      </c>
      <c r="B169" s="52">
        <v>1.19E-5</v>
      </c>
      <c r="C169" s="55">
        <v>1.05375976087826E-7</v>
      </c>
      <c r="D169" s="67" t="s">
        <v>188</v>
      </c>
      <c r="E169" s="67"/>
      <c r="P169" t="s">
        <v>11</v>
      </c>
      <c r="Q169" t="s">
        <v>31</v>
      </c>
      <c r="R169">
        <v>4.6300000000000001E-2</v>
      </c>
      <c r="S169">
        <v>2.5499999999999998E-2</v>
      </c>
      <c r="T169" s="42">
        <v>4.7545480680581197E-2</v>
      </c>
      <c r="U169" s="42">
        <v>2.4360905652845301E-2</v>
      </c>
      <c r="V169">
        <v>42785.18</v>
      </c>
      <c r="W169">
        <v>0</v>
      </c>
      <c r="X169">
        <v>10</v>
      </c>
      <c r="Y169">
        <v>10</v>
      </c>
      <c r="Z169" s="55">
        <f>B178</f>
        <v>8.6050707071115001E-5</v>
      </c>
      <c r="AA169">
        <v>0</v>
      </c>
    </row>
    <row r="170" spans="1:30" x14ac:dyDescent="0.25">
      <c r="A170">
        <v>124</v>
      </c>
      <c r="B170" s="52">
        <v>1.22E-5</v>
      </c>
      <c r="C170" s="55">
        <v>1.0595530059326801E-7</v>
      </c>
      <c r="D170" s="67" t="s">
        <v>188</v>
      </c>
      <c r="E170" s="67"/>
      <c r="N170" t="s">
        <v>12</v>
      </c>
      <c r="O170">
        <v>8.9999999999999998E-4</v>
      </c>
      <c r="P170" t="s">
        <v>11</v>
      </c>
      <c r="Q170" t="s">
        <v>31</v>
      </c>
      <c r="R170">
        <v>5.79E-2</v>
      </c>
      <c r="S170">
        <v>4.7399999999999998E-2</v>
      </c>
      <c r="T170" s="42">
        <v>6.0433903934993601E-2</v>
      </c>
      <c r="U170" s="42">
        <v>4.6025468442902201E-2</v>
      </c>
      <c r="V170">
        <v>55180.12</v>
      </c>
      <c r="W170">
        <v>0</v>
      </c>
      <c r="X170">
        <v>10</v>
      </c>
      <c r="Y170">
        <v>10</v>
      </c>
      <c r="Z170" s="55">
        <f>B180</f>
        <v>8.1545681266245504E-5</v>
      </c>
      <c r="AA170">
        <v>0</v>
      </c>
    </row>
    <row r="171" spans="1:30" ht="15.75" thickBot="1" x14ac:dyDescent="0.3">
      <c r="A171">
        <v>126</v>
      </c>
      <c r="B171" s="52">
        <f>B172*A171+B173</f>
        <v>1.2203781999999999E-5</v>
      </c>
      <c r="C171" t="s">
        <v>334</v>
      </c>
      <c r="Q171" s="64"/>
      <c r="R171" s="64"/>
      <c r="S171" s="64"/>
      <c r="T171" s="64"/>
      <c r="U171" s="64"/>
      <c r="V171" s="64"/>
      <c r="W171" s="64"/>
      <c r="X171" s="64"/>
    </row>
    <row r="172" spans="1:30" x14ac:dyDescent="0.25">
      <c r="A172" t="s">
        <v>140</v>
      </c>
      <c r="B172" s="55">
        <v>8.2856999999999999E-8</v>
      </c>
      <c r="C172" s="92">
        <f>C161/B161</f>
        <v>1.3308220538273418E-2</v>
      </c>
      <c r="Q172" t="s">
        <v>325</v>
      </c>
      <c r="R172" t="s">
        <v>326</v>
      </c>
      <c r="X172" t="s">
        <v>11</v>
      </c>
    </row>
    <row r="173" spans="1:30" x14ac:dyDescent="0.25">
      <c r="A173" t="s">
        <v>141</v>
      </c>
      <c r="B173" s="55">
        <v>1.7638E-6</v>
      </c>
      <c r="C173" s="92">
        <f t="shared" ref="C173:C174" si="9">C162/B162</f>
        <v>1.5119781348087948E-2</v>
      </c>
      <c r="Q173" t="s">
        <v>11</v>
      </c>
      <c r="R173" t="s">
        <v>31</v>
      </c>
      <c r="X173">
        <v>10</v>
      </c>
    </row>
    <row r="174" spans="1:30" ht="15.75" thickBot="1" x14ac:dyDescent="0.3">
      <c r="C174" s="92">
        <f t="shared" si="9"/>
        <v>1.9748465864736508E-2</v>
      </c>
      <c r="Q174" t="s">
        <v>30</v>
      </c>
      <c r="R174" t="s">
        <v>12</v>
      </c>
      <c r="X174" t="s">
        <v>31</v>
      </c>
    </row>
    <row r="175" spans="1:30" ht="15.75" thickBot="1" x14ac:dyDescent="0.3">
      <c r="A175" s="64"/>
      <c r="B175" s="93" t="s">
        <v>329</v>
      </c>
      <c r="C175" s="94">
        <f>((MAX(B161:B170)-MIN(B161:B170))/AVERAGE(MAX(B161:B170),MIN(B161:B170)))</f>
        <v>8.6418722961550551E-2</v>
      </c>
      <c r="D175" s="72" t="s">
        <v>331</v>
      </c>
      <c r="E175" s="95">
        <f>C175/G175</f>
        <v>7.201560246795879E-3</v>
      </c>
      <c r="F175" s="72" t="s">
        <v>330</v>
      </c>
      <c r="G175" s="73">
        <f>124-112</f>
        <v>12</v>
      </c>
      <c r="H175" s="64"/>
      <c r="I175" s="64"/>
      <c r="J175" s="64"/>
      <c r="K175" s="64"/>
      <c r="L175" s="64"/>
      <c r="M175" s="64"/>
      <c r="N175" s="64"/>
      <c r="O175" s="64"/>
      <c r="P175" s="64"/>
      <c r="Q175" s="64" t="s">
        <v>22</v>
      </c>
      <c r="R175" s="64"/>
      <c r="S175" s="64"/>
      <c r="T175" s="64"/>
      <c r="U175" s="64"/>
      <c r="V175" s="64"/>
      <c r="W175" s="64"/>
      <c r="X175" s="64">
        <v>10</v>
      </c>
      <c r="Y175" s="64"/>
      <c r="Z175" s="64"/>
      <c r="AA175" s="64"/>
      <c r="AB175" s="64"/>
      <c r="AC175" s="64"/>
      <c r="AD175" s="64"/>
    </row>
    <row r="176" spans="1:30" ht="30.75" thickBot="1" x14ac:dyDescent="0.3">
      <c r="A176" t="s">
        <v>0</v>
      </c>
      <c r="B176" s="39" t="s">
        <v>177</v>
      </c>
      <c r="C176" s="77" t="s">
        <v>332</v>
      </c>
      <c r="P176" t="s">
        <v>315</v>
      </c>
      <c r="Q176" t="s">
        <v>317</v>
      </c>
      <c r="R176" t="s">
        <v>316</v>
      </c>
      <c r="S176" t="s">
        <v>318</v>
      </c>
      <c r="T176" t="s">
        <v>337</v>
      </c>
      <c r="U176" t="s">
        <v>338</v>
      </c>
      <c r="V176" t="s">
        <v>319</v>
      </c>
      <c r="W176" t="s">
        <v>320</v>
      </c>
      <c r="X176" t="s">
        <v>343</v>
      </c>
      <c r="Y176" t="s">
        <v>344</v>
      </c>
      <c r="Z176" t="s">
        <v>346</v>
      </c>
      <c r="AA176" s="39" t="s">
        <v>345</v>
      </c>
    </row>
    <row r="177" spans="1:33" x14ac:dyDescent="0.25">
      <c r="A177">
        <v>120</v>
      </c>
      <c r="B177" s="55">
        <v>7.9604000000000006E-5</v>
      </c>
      <c r="C177" s="55">
        <f>0.00143*0.05</f>
        <v>7.1500000000000003E-5</v>
      </c>
      <c r="D177" s="67" t="s">
        <v>187</v>
      </c>
      <c r="E177" s="67"/>
      <c r="N177" s="65" t="s">
        <v>178</v>
      </c>
      <c r="P177" t="s">
        <v>31</v>
      </c>
      <c r="Q177" t="s">
        <v>11</v>
      </c>
      <c r="R177">
        <v>8.9999999999999998E-4</v>
      </c>
      <c r="S177">
        <v>0.32579999999999998</v>
      </c>
      <c r="T177" s="42">
        <v>8.4569729522556304E-4</v>
      </c>
      <c r="U177" s="42">
        <v>0.329071682034147</v>
      </c>
      <c r="V177">
        <v>277266.8</v>
      </c>
      <c r="W177">
        <v>0</v>
      </c>
      <c r="X177">
        <v>10</v>
      </c>
      <c r="Y177">
        <v>10</v>
      </c>
      <c r="Z177" s="52">
        <f>B168</f>
        <v>1.170664E-5</v>
      </c>
      <c r="AA177">
        <v>0</v>
      </c>
    </row>
    <row r="178" spans="1:33" ht="15.75" thickBot="1" x14ac:dyDescent="0.3">
      <c r="A178">
        <v>122</v>
      </c>
      <c r="B178" s="55">
        <v>8.6050707071115001E-5</v>
      </c>
      <c r="C178" s="55">
        <v>1.06603844859902E-5</v>
      </c>
      <c r="D178" s="67" t="s">
        <v>187</v>
      </c>
      <c r="E178" s="67"/>
      <c r="N178" s="66" t="s">
        <v>31</v>
      </c>
      <c r="P178" t="s">
        <v>31</v>
      </c>
      <c r="Q178" t="s">
        <v>11</v>
      </c>
      <c r="R178">
        <v>2.5499999999999998E-2</v>
      </c>
      <c r="S178">
        <v>4.6300000000000001E-2</v>
      </c>
      <c r="T178" s="42">
        <v>2.4360905652845301E-2</v>
      </c>
      <c r="U178" s="42">
        <v>4.7545480680581197E-2</v>
      </c>
      <c r="V178">
        <v>42785.18</v>
      </c>
      <c r="W178">
        <v>0</v>
      </c>
      <c r="X178">
        <v>10</v>
      </c>
      <c r="Y178">
        <v>10</v>
      </c>
      <c r="Z178" s="52">
        <v>1.19E-5</v>
      </c>
      <c r="AA178">
        <v>0</v>
      </c>
    </row>
    <row r="179" spans="1:33" ht="45" x14ac:dyDescent="0.25">
      <c r="A179">
        <v>123</v>
      </c>
      <c r="B179" s="55">
        <v>7.3085777729755403E-5</v>
      </c>
      <c r="C179" s="55">
        <v>6.6975317804950205E-5</v>
      </c>
      <c r="D179" s="68" t="s">
        <v>184</v>
      </c>
      <c r="E179" s="68"/>
      <c r="P179" t="s">
        <v>31</v>
      </c>
      <c r="Q179" t="s">
        <v>23</v>
      </c>
      <c r="R179">
        <v>8.8999999999999999E-3</v>
      </c>
      <c r="S179">
        <v>0.4279</v>
      </c>
      <c r="T179" s="42">
        <v>8.5722667560372296E-3</v>
      </c>
      <c r="U179" s="42">
        <v>0.43192185826579599</v>
      </c>
      <c r="V179">
        <v>143425.60000000001</v>
      </c>
      <c r="W179">
        <v>0</v>
      </c>
      <c r="X179">
        <v>10</v>
      </c>
      <c r="Y179">
        <v>10</v>
      </c>
      <c r="Z179" s="52">
        <f>F194</f>
        <v>3.0363000000000001E-5</v>
      </c>
      <c r="AA179">
        <v>0</v>
      </c>
    </row>
    <row r="180" spans="1:33" x14ac:dyDescent="0.25">
      <c r="A180">
        <v>124</v>
      </c>
      <c r="B180" s="55">
        <v>8.1545681266245504E-5</v>
      </c>
      <c r="C180" s="55">
        <v>6.1205710482010902E-6</v>
      </c>
      <c r="D180" s="67" t="s">
        <v>187</v>
      </c>
      <c r="E180" s="67"/>
      <c r="N180" t="s">
        <v>12</v>
      </c>
      <c r="O180">
        <v>8.9999999999999998E-4</v>
      </c>
      <c r="P180" t="s">
        <v>31</v>
      </c>
      <c r="Q180" t="s">
        <v>11</v>
      </c>
      <c r="R180">
        <v>4.7399999999999998E-2</v>
      </c>
      <c r="S180">
        <v>5.79E-2</v>
      </c>
      <c r="T180" s="42">
        <v>4.6025468442902201E-2</v>
      </c>
      <c r="U180" s="42">
        <v>6.0433903934993601E-2</v>
      </c>
      <c r="V180">
        <v>55180.12</v>
      </c>
      <c r="W180">
        <v>0</v>
      </c>
      <c r="X180">
        <v>10</v>
      </c>
      <c r="Y180">
        <v>10</v>
      </c>
      <c r="Z180" s="52">
        <v>1.22E-5</v>
      </c>
      <c r="AA180">
        <v>0</v>
      </c>
    </row>
    <row r="181" spans="1:33" x14ac:dyDescent="0.25">
      <c r="A181">
        <v>125</v>
      </c>
      <c r="B181" s="55">
        <v>7.1595025522080199E-5</v>
      </c>
      <c r="C181" s="55">
        <v>8.8689423290456297E-7</v>
      </c>
      <c r="P181" t="s">
        <v>31</v>
      </c>
      <c r="R181">
        <v>7.0699999999999999E-2</v>
      </c>
      <c r="T181" s="42">
        <v>6.9204753573948702E-2</v>
      </c>
      <c r="V181">
        <v>9666.14</v>
      </c>
      <c r="W181">
        <v>0</v>
      </c>
      <c r="X181">
        <v>10</v>
      </c>
      <c r="Y181">
        <v>0</v>
      </c>
      <c r="Z181">
        <v>0</v>
      </c>
      <c r="AA181">
        <v>0</v>
      </c>
    </row>
    <row r="182" spans="1:33" x14ac:dyDescent="0.25">
      <c r="A182">
        <v>126</v>
      </c>
      <c r="B182" s="55">
        <v>7.0871670592326006E-5</v>
      </c>
      <c r="C182" s="55">
        <v>6.6530923809204099E-7</v>
      </c>
      <c r="N182" t="s">
        <v>12</v>
      </c>
      <c r="O182">
        <v>8.9999999999999998E-4</v>
      </c>
      <c r="P182" t="s">
        <v>31</v>
      </c>
      <c r="R182">
        <v>0.18840000000000001</v>
      </c>
      <c r="T182" s="42">
        <v>0.18589029680053001</v>
      </c>
      <c r="V182">
        <v>26229.14</v>
      </c>
      <c r="W182">
        <v>0</v>
      </c>
      <c r="X182">
        <v>10</v>
      </c>
      <c r="Y182">
        <v>0</v>
      </c>
      <c r="Z182">
        <v>0</v>
      </c>
      <c r="AA182">
        <v>0</v>
      </c>
    </row>
    <row r="183" spans="1:33" x14ac:dyDescent="0.25">
      <c r="A183">
        <v>128</v>
      </c>
      <c r="B183" s="55">
        <v>6.9458171340445302E-5</v>
      </c>
      <c r="C183" s="55">
        <v>5.8868382035838699E-7</v>
      </c>
      <c r="N183" t="s">
        <v>12</v>
      </c>
      <c r="O183">
        <v>1.9199999999999998E-2</v>
      </c>
      <c r="P183" t="s">
        <v>31</v>
      </c>
      <c r="R183">
        <v>0.31740000000000002</v>
      </c>
      <c r="T183" s="42">
        <v>0.31814954217674102</v>
      </c>
      <c r="V183">
        <v>45804.480000000003</v>
      </c>
      <c r="W183">
        <v>0</v>
      </c>
      <c r="X183">
        <v>10</v>
      </c>
      <c r="Y183">
        <v>0</v>
      </c>
      <c r="Z183">
        <v>0</v>
      </c>
      <c r="AA183">
        <v>0</v>
      </c>
    </row>
    <row r="184" spans="1:33" x14ac:dyDescent="0.25">
      <c r="A184">
        <v>130</v>
      </c>
      <c r="B184" s="55">
        <v>6.8052225386236101E-5</v>
      </c>
      <c r="C184" s="55">
        <v>5.6779523483232503E-7</v>
      </c>
      <c r="N184" t="s">
        <v>12</v>
      </c>
      <c r="O184">
        <v>4.0800000000000003E-2</v>
      </c>
      <c r="P184" t="s">
        <v>31</v>
      </c>
      <c r="Q184" t="s">
        <v>25</v>
      </c>
      <c r="R184">
        <v>0.34079999999999999</v>
      </c>
      <c r="S184">
        <v>1.06E-3</v>
      </c>
      <c r="T184" s="42">
        <v>0.346951069301769</v>
      </c>
      <c r="U184" s="42">
        <v>1.0027219936386801E-3</v>
      </c>
      <c r="V184">
        <v>50983.06</v>
      </c>
      <c r="W184">
        <v>0</v>
      </c>
      <c r="X184">
        <v>10</v>
      </c>
      <c r="Y184">
        <v>0</v>
      </c>
      <c r="Z184">
        <v>0</v>
      </c>
      <c r="AA184">
        <v>0</v>
      </c>
    </row>
    <row r="185" spans="1:33" ht="15.75" thickBot="1" x14ac:dyDescent="0.3">
      <c r="C185" t="s">
        <v>334</v>
      </c>
      <c r="Q185" s="64"/>
      <c r="R185" s="64"/>
      <c r="S185" s="64"/>
      <c r="T185" s="64"/>
      <c r="U185" s="64"/>
      <c r="V185" s="64"/>
      <c r="W185" s="64"/>
      <c r="X185" s="64"/>
      <c r="Y185" s="64"/>
    </row>
    <row r="186" spans="1:33" x14ac:dyDescent="0.25">
      <c r="A186" t="s">
        <v>140</v>
      </c>
      <c r="B186" s="55">
        <v>-6.9999999999999997E-7</v>
      </c>
      <c r="C186" s="92">
        <f>C177/B177</f>
        <v>0.89819607054921857</v>
      </c>
      <c r="D186" t="s">
        <v>186</v>
      </c>
      <c r="Q186" t="s">
        <v>325</v>
      </c>
      <c r="R186" t="s">
        <v>326</v>
      </c>
      <c r="X186" t="s">
        <v>11</v>
      </c>
      <c r="Y186">
        <v>10</v>
      </c>
    </row>
    <row r="187" spans="1:33" x14ac:dyDescent="0.25">
      <c r="A187" t="s">
        <v>141</v>
      </c>
      <c r="B187">
        <v>1.5909999999999999E-4</v>
      </c>
      <c r="C187" s="92">
        <f>C178/B178</f>
        <v>0.12388491447467276</v>
      </c>
      <c r="Q187" t="s">
        <v>11</v>
      </c>
      <c r="R187" t="s">
        <v>25</v>
      </c>
      <c r="X187" t="s">
        <v>31</v>
      </c>
      <c r="Y187">
        <v>10</v>
      </c>
    </row>
    <row r="188" spans="1:33" x14ac:dyDescent="0.25">
      <c r="C188" s="92">
        <f>C179/B179</f>
        <v>0.91639331050974848</v>
      </c>
      <c r="Q188" t="s">
        <v>31</v>
      </c>
      <c r="X188" t="s">
        <v>23</v>
      </c>
      <c r="Y188">
        <v>10</v>
      </c>
    </row>
    <row r="189" spans="1:33" x14ac:dyDescent="0.25">
      <c r="A189">
        <v>123</v>
      </c>
      <c r="B189" s="55">
        <f>A189*B186+B187</f>
        <v>7.2999999999999999E-5</v>
      </c>
      <c r="C189" s="92">
        <f>C180/B180</f>
        <v>7.505696136399316E-2</v>
      </c>
      <c r="Q189" t="s">
        <v>23</v>
      </c>
    </row>
    <row r="190" spans="1:33" ht="15.75" thickBot="1" x14ac:dyDescent="0.3">
      <c r="Q190" t="s">
        <v>12</v>
      </c>
    </row>
    <row r="191" spans="1:33" ht="15.75" thickBot="1" x14ac:dyDescent="0.3">
      <c r="A191" s="64"/>
      <c r="B191" s="93" t="s">
        <v>329</v>
      </c>
      <c r="C191" s="94">
        <f>((MAX(B177:B184)-MIN(B177:B184))/AVERAGE(MAX(B177:B184),MIN(B177:B184)))</f>
        <v>0.23359038530769147</v>
      </c>
      <c r="D191" s="72" t="s">
        <v>331</v>
      </c>
      <c r="E191" s="95">
        <f>C191/G191</f>
        <v>2.3359038530769146E-2</v>
      </c>
      <c r="F191" s="72" t="s">
        <v>330</v>
      </c>
      <c r="G191" s="73">
        <f>130-120</f>
        <v>10</v>
      </c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  <c r="AD191" s="64"/>
    </row>
    <row r="192" spans="1:33" ht="45.75" thickBot="1" x14ac:dyDescent="0.3">
      <c r="A192" t="s">
        <v>0</v>
      </c>
      <c r="B192" s="39" t="s">
        <v>180</v>
      </c>
      <c r="C192" s="77" t="s">
        <v>332</v>
      </c>
      <c r="D192" s="39" t="s">
        <v>181</v>
      </c>
      <c r="E192" s="77" t="s">
        <v>332</v>
      </c>
      <c r="F192" s="39" t="s">
        <v>182</v>
      </c>
      <c r="G192" s="77" t="s">
        <v>332</v>
      </c>
      <c r="P192" t="s">
        <v>315</v>
      </c>
      <c r="Q192" t="s">
        <v>317</v>
      </c>
      <c r="R192" t="s">
        <v>316</v>
      </c>
      <c r="S192" t="s">
        <v>318</v>
      </c>
      <c r="T192" t="s">
        <v>337</v>
      </c>
      <c r="U192" t="s">
        <v>338</v>
      </c>
      <c r="V192" t="s">
        <v>319</v>
      </c>
      <c r="W192" t="s">
        <v>320</v>
      </c>
      <c r="X192" t="s">
        <v>343</v>
      </c>
      <c r="Y192" t="s">
        <v>344</v>
      </c>
      <c r="Z192" t="s">
        <v>346</v>
      </c>
      <c r="AA192" s="39" t="s">
        <v>345</v>
      </c>
      <c r="AB192" t="s">
        <v>319</v>
      </c>
      <c r="AC192" t="s">
        <v>320</v>
      </c>
      <c r="AD192" t="s">
        <v>343</v>
      </c>
      <c r="AE192" t="s">
        <v>344</v>
      </c>
      <c r="AF192" t="s">
        <v>346</v>
      </c>
      <c r="AG192" s="39" t="s">
        <v>345</v>
      </c>
    </row>
    <row r="193" spans="1:35" x14ac:dyDescent="0.25">
      <c r="A193">
        <v>121</v>
      </c>
      <c r="B193" s="55">
        <v>3.0825464861627697E-5</v>
      </c>
      <c r="C193" s="55">
        <v>2.1510837418948699E-7</v>
      </c>
      <c r="D193" s="55">
        <v>2.76213424966011E-5</v>
      </c>
      <c r="E193" s="55">
        <v>1.9177432447368101E-7</v>
      </c>
      <c r="F193" s="55">
        <v>3.0081928193935699E-5</v>
      </c>
      <c r="G193" s="55">
        <v>2.2369182656116099E-7</v>
      </c>
      <c r="N193" s="65" t="s">
        <v>179</v>
      </c>
      <c r="P193" t="s">
        <v>23</v>
      </c>
      <c r="R193">
        <v>0.57210000000000005</v>
      </c>
      <c r="S193">
        <v>0</v>
      </c>
      <c r="T193" s="42">
        <v>0.56807814173420401</v>
      </c>
      <c r="U193">
        <v>0</v>
      </c>
      <c r="V193">
        <v>211563.3</v>
      </c>
      <c r="W193">
        <v>236105</v>
      </c>
      <c r="X193">
        <v>11.48</v>
      </c>
      <c r="Y193">
        <v>0</v>
      </c>
      <c r="Z193">
        <v>0</v>
      </c>
      <c r="AA193">
        <v>0</v>
      </c>
      <c r="AB193">
        <v>188843.66000000003</v>
      </c>
      <c r="AC193">
        <v>0</v>
      </c>
      <c r="AD193">
        <v>10</v>
      </c>
      <c r="AE193">
        <v>0</v>
      </c>
      <c r="AF193">
        <v>0</v>
      </c>
      <c r="AG193">
        <v>0</v>
      </c>
    </row>
    <row r="194" spans="1:35" ht="15.75" thickBot="1" x14ac:dyDescent="0.3">
      <c r="A194">
        <v>123</v>
      </c>
      <c r="B194" s="55">
        <v>3.1040290578605097E-5</v>
      </c>
      <c r="C194" s="55">
        <v>2.1999131926442499E-7</v>
      </c>
      <c r="D194" s="55">
        <v>2.8050205802082899E-5</v>
      </c>
      <c r="E194" s="55">
        <v>1.9760280346405899E-7</v>
      </c>
      <c r="F194" s="85">
        <f>J194</f>
        <v>3.0363000000000001E-5</v>
      </c>
      <c r="G194" s="85">
        <v>2.2770999999999999E-7</v>
      </c>
      <c r="H194" t="s">
        <v>185</v>
      </c>
      <c r="J194" s="52">
        <f>0.000030363</f>
        <v>3.0363000000000001E-5</v>
      </c>
      <c r="K194" t="s">
        <v>183</v>
      </c>
      <c r="N194" s="66" t="s">
        <v>23</v>
      </c>
      <c r="P194" t="s">
        <v>23</v>
      </c>
      <c r="Q194" t="s">
        <v>31</v>
      </c>
      <c r="R194">
        <v>0.4279</v>
      </c>
      <c r="S194">
        <v>8.8999999999999999E-3</v>
      </c>
      <c r="T194" s="42">
        <v>0.43192185826579599</v>
      </c>
      <c r="U194" s="42">
        <v>8.5722667560372296E-3</v>
      </c>
      <c r="V194">
        <v>159742.79999999999</v>
      </c>
      <c r="W194">
        <v>176771</v>
      </c>
      <c r="X194">
        <v>11.48</v>
      </c>
      <c r="Y194">
        <v>0</v>
      </c>
      <c r="Z194">
        <v>0</v>
      </c>
      <c r="AA194">
        <v>0</v>
      </c>
      <c r="AB194">
        <v>143425.58000000002</v>
      </c>
      <c r="AC194">
        <v>0</v>
      </c>
      <c r="AD194">
        <v>10</v>
      </c>
      <c r="AE194">
        <v>10</v>
      </c>
      <c r="AF194" s="55">
        <f>B179</f>
        <v>7.3085777729755403E-5</v>
      </c>
      <c r="AG194">
        <v>0</v>
      </c>
    </row>
    <row r="195" spans="1:35" ht="15.75" thickBot="1" x14ac:dyDescent="0.3">
      <c r="Q195" s="64"/>
      <c r="R195" s="64"/>
      <c r="S195" s="64"/>
      <c r="T195" s="64"/>
      <c r="U195" s="64"/>
      <c r="V195" s="64"/>
      <c r="W195" s="64"/>
      <c r="X195" s="64"/>
      <c r="Y195" s="64"/>
      <c r="Z195" s="64"/>
    </row>
    <row r="196" spans="1:35" x14ac:dyDescent="0.25">
      <c r="Q196" t="s">
        <v>325</v>
      </c>
      <c r="R196" t="s">
        <v>326</v>
      </c>
      <c r="X196" t="s">
        <v>23</v>
      </c>
      <c r="Y196" t="s">
        <v>23</v>
      </c>
      <c r="Z196" t="s">
        <v>23</v>
      </c>
    </row>
    <row r="197" spans="1:35" x14ac:dyDescent="0.25">
      <c r="Q197" t="s">
        <v>23</v>
      </c>
      <c r="X197">
        <v>11.48</v>
      </c>
      <c r="Y197">
        <v>11.48</v>
      </c>
      <c r="Z197">
        <v>10</v>
      </c>
    </row>
    <row r="198" spans="1:35" ht="15.75" thickBot="1" x14ac:dyDescent="0.3">
      <c r="Q198" t="s">
        <v>31</v>
      </c>
      <c r="Z198" t="s">
        <v>31</v>
      </c>
    </row>
    <row r="199" spans="1:35" ht="15.75" thickBot="1" x14ac:dyDescent="0.3">
      <c r="A199" s="64"/>
      <c r="B199" s="93" t="s">
        <v>329</v>
      </c>
      <c r="C199" s="94">
        <f>((MAX(B193:B194,D193:D194,F193:F194)-MIN(B193:B194,D193:D194,F193:F194))/AVERAGE(MAX(B193:B194,D193:D194,F193:F194),MIN(B193:B194,D193:D194,F193:F194)))</f>
        <v>0.11656504951441737</v>
      </c>
      <c r="D199" s="72" t="s">
        <v>331</v>
      </c>
      <c r="E199" s="95">
        <f>C199/G199</f>
        <v>5.8282524757208687E-2</v>
      </c>
      <c r="F199" s="72" t="s">
        <v>330</v>
      </c>
      <c r="G199" s="73">
        <v>2</v>
      </c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>
        <v>10</v>
      </c>
    </row>
    <row r="200" spans="1:35" ht="15.75" thickBot="1" x14ac:dyDescent="0.3"/>
    <row r="201" spans="1:35" x14ac:dyDescent="0.25">
      <c r="B201" t="s">
        <v>189</v>
      </c>
      <c r="N201" s="65" t="s">
        <v>195</v>
      </c>
    </row>
    <row r="202" spans="1:35" ht="15.75" thickBot="1" x14ac:dyDescent="0.3">
      <c r="N202" s="66" t="s">
        <v>24</v>
      </c>
    </row>
    <row r="204" spans="1:35" ht="15.75" thickBot="1" x14ac:dyDescent="0.3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  <c r="AD204" s="64"/>
    </row>
    <row r="205" spans="1:35" ht="45.75" thickBot="1" x14ac:dyDescent="0.3">
      <c r="A205" t="s">
        <v>0</v>
      </c>
      <c r="B205" s="39" t="s">
        <v>190</v>
      </c>
      <c r="C205" s="77" t="s">
        <v>332</v>
      </c>
      <c r="D205" s="39" t="s">
        <v>191</v>
      </c>
      <c r="E205" s="77" t="s">
        <v>332</v>
      </c>
      <c r="F205" s="39" t="s">
        <v>192</v>
      </c>
      <c r="G205" s="77" t="s">
        <v>332</v>
      </c>
      <c r="H205" s="39" t="s">
        <v>193</v>
      </c>
      <c r="I205" s="77" t="s">
        <v>332</v>
      </c>
      <c r="R205" t="s">
        <v>315</v>
      </c>
      <c r="S205" t="s">
        <v>317</v>
      </c>
      <c r="T205" t="s">
        <v>316</v>
      </c>
      <c r="U205" t="s">
        <v>318</v>
      </c>
      <c r="V205" t="s">
        <v>337</v>
      </c>
      <c r="W205" t="s">
        <v>338</v>
      </c>
      <c r="X205" t="s">
        <v>319</v>
      </c>
      <c r="Y205" t="s">
        <v>320</v>
      </c>
      <c r="Z205" t="s">
        <v>343</v>
      </c>
      <c r="AA205" t="s">
        <v>344</v>
      </c>
      <c r="AB205" t="s">
        <v>346</v>
      </c>
      <c r="AC205" s="39" t="s">
        <v>345</v>
      </c>
      <c r="AD205" t="s">
        <v>319</v>
      </c>
      <c r="AE205" t="s">
        <v>320</v>
      </c>
      <c r="AF205" t="s">
        <v>343</v>
      </c>
      <c r="AG205" t="s">
        <v>344</v>
      </c>
      <c r="AH205" t="s">
        <v>346</v>
      </c>
      <c r="AI205" s="39" t="s">
        <v>345</v>
      </c>
    </row>
    <row r="206" spans="1:35" x14ac:dyDescent="0.25">
      <c r="A206">
        <v>130</v>
      </c>
      <c r="B206" s="55">
        <v>1.3236188667095899E-5</v>
      </c>
      <c r="C206" s="55">
        <v>4.5733239137004701E-7</v>
      </c>
      <c r="D206" s="55">
        <v>1.05559363227877E-5</v>
      </c>
      <c r="E206" s="55">
        <v>3.2723063120846001E-7</v>
      </c>
      <c r="F206" s="55">
        <v>1.16524555494992E-5</v>
      </c>
      <c r="G206" s="55">
        <v>4.39726061371896E-7</v>
      </c>
      <c r="H206" s="55">
        <v>9.8275434178662705E-6</v>
      </c>
      <c r="I206" s="55">
        <v>3.4190146805626299E-7</v>
      </c>
      <c r="N206" s="65" t="s">
        <v>194</v>
      </c>
      <c r="P206" t="s">
        <v>12</v>
      </c>
      <c r="Q206">
        <v>4.0800000000000003E-2</v>
      </c>
      <c r="R206" t="s">
        <v>25</v>
      </c>
      <c r="S206" t="s">
        <v>31</v>
      </c>
      <c r="T206">
        <v>1.06E-3</v>
      </c>
      <c r="U206">
        <v>0.34079999999999999</v>
      </c>
      <c r="V206" s="42">
        <v>1.0027219936386801E-3</v>
      </c>
      <c r="W206" s="42">
        <v>0.346951069301769</v>
      </c>
      <c r="X206">
        <v>869.68</v>
      </c>
      <c r="Y206">
        <v>1090.5</v>
      </c>
      <c r="Z206">
        <v>11.48</v>
      </c>
      <c r="AA206">
        <v>0</v>
      </c>
      <c r="AB206">
        <v>0</v>
      </c>
      <c r="AC206">
        <v>0</v>
      </c>
      <c r="AD206">
        <v>732.82</v>
      </c>
      <c r="AE206">
        <v>868.9</v>
      </c>
      <c r="AF206">
        <v>8.5159719999999997</v>
      </c>
      <c r="AG206">
        <v>0</v>
      </c>
      <c r="AH206">
        <v>0</v>
      </c>
      <c r="AI206">
        <v>0</v>
      </c>
    </row>
    <row r="207" spans="1:35" ht="15.75" thickBot="1" x14ac:dyDescent="0.3">
      <c r="A207">
        <v>132</v>
      </c>
      <c r="B207" s="55">
        <v>1.1579114096192599E-5</v>
      </c>
      <c r="C207" s="55">
        <v>3.8117365387567598E-7</v>
      </c>
      <c r="D207" s="55">
        <v>1.0386301637632E-5</v>
      </c>
      <c r="E207" s="55">
        <v>3.24571801308055E-7</v>
      </c>
      <c r="F207" s="55">
        <v>1.22910450198286E-5</v>
      </c>
      <c r="G207" s="55">
        <v>4.8346375501881602E-7</v>
      </c>
      <c r="H207" s="55">
        <v>1.03037525823497E-5</v>
      </c>
      <c r="I207" s="55">
        <v>3.7245838268844E-7</v>
      </c>
      <c r="N207" s="66" t="s">
        <v>25</v>
      </c>
      <c r="P207" t="s">
        <v>12</v>
      </c>
      <c r="Q207">
        <v>0.26889999999999997</v>
      </c>
      <c r="R207" t="s">
        <v>25</v>
      </c>
      <c r="T207">
        <v>1.01E-3</v>
      </c>
      <c r="V207" s="42">
        <v>9.7012399203481696E-4</v>
      </c>
      <c r="X207">
        <v>961.82</v>
      </c>
      <c r="Y207">
        <v>1072.28</v>
      </c>
      <c r="Z207">
        <v>11.48</v>
      </c>
      <c r="AA207">
        <v>0</v>
      </c>
      <c r="AB207">
        <v>0</v>
      </c>
      <c r="AC207">
        <v>0</v>
      </c>
      <c r="AD207">
        <v>672.16</v>
      </c>
      <c r="AE207">
        <v>801.8</v>
      </c>
      <c r="AF207">
        <v>8.5159719999999997</v>
      </c>
      <c r="AG207">
        <v>0</v>
      </c>
      <c r="AH207">
        <v>0</v>
      </c>
      <c r="AI207">
        <v>0</v>
      </c>
    </row>
    <row r="208" spans="1:35" x14ac:dyDescent="0.25">
      <c r="A208">
        <v>134</v>
      </c>
      <c r="B208" s="55">
        <v>1.17626967293937E-5</v>
      </c>
      <c r="C208" s="55">
        <v>1.0999563830224099E-7</v>
      </c>
      <c r="D208" s="55">
        <v>1.0065499877974399E-5</v>
      </c>
      <c r="E208" s="55">
        <v>9.06858805973131E-8</v>
      </c>
      <c r="F208" s="55">
        <v>1.1374447234721601E-5</v>
      </c>
      <c r="G208" s="55">
        <v>1.2258354996997201E-7</v>
      </c>
      <c r="H208" s="55">
        <v>1.00815985266921E-5</v>
      </c>
      <c r="I208" s="55">
        <v>1.05594444910508E-7</v>
      </c>
      <c r="P208" t="s">
        <v>12</v>
      </c>
      <c r="Q208">
        <v>0.10440000000000001</v>
      </c>
      <c r="R208" t="s">
        <v>25</v>
      </c>
      <c r="T208">
        <v>2.4170000000000001E-2</v>
      </c>
      <c r="V208" s="42">
        <v>2.3567648980249701E-2</v>
      </c>
      <c r="X208">
        <v>23001.24</v>
      </c>
      <c r="Y208">
        <v>26879.599999999999</v>
      </c>
      <c r="Z208">
        <v>11.48</v>
      </c>
      <c r="AA208">
        <v>0</v>
      </c>
      <c r="AB208">
        <v>0</v>
      </c>
      <c r="AC208">
        <v>0</v>
      </c>
      <c r="AD208">
        <v>17644.939999999999</v>
      </c>
      <c r="AE208">
        <v>19907.7</v>
      </c>
      <c r="AF208">
        <v>8.5159719999999997</v>
      </c>
      <c r="AG208">
        <v>0</v>
      </c>
      <c r="AH208">
        <v>0</v>
      </c>
      <c r="AI208">
        <v>0</v>
      </c>
    </row>
    <row r="209" spans="1:35" x14ac:dyDescent="0.25">
      <c r="A209">
        <v>135</v>
      </c>
      <c r="B209" s="55">
        <v>1.18925604569287E-5</v>
      </c>
      <c r="C209" s="55">
        <v>9.2093755279638599E-8</v>
      </c>
      <c r="D209" s="55">
        <v>1.01946110739637E-5</v>
      </c>
      <c r="E209" s="55">
        <v>7.7427151637450302E-8</v>
      </c>
      <c r="F209" s="55">
        <v>1.15359584283305E-5</v>
      </c>
      <c r="G209" s="55">
        <v>1.03432435659845E-7</v>
      </c>
      <c r="H209" s="55">
        <v>1.0254816893971701E-5</v>
      </c>
      <c r="I209" s="55">
        <v>9.0607353839072805E-8</v>
      </c>
      <c r="R209" t="s">
        <v>25</v>
      </c>
      <c r="T209">
        <v>6.5920000000000006E-2</v>
      </c>
      <c r="V209" s="42">
        <v>6.4757768142995997E-2</v>
      </c>
      <c r="X209">
        <v>62511.28</v>
      </c>
      <c r="Y209">
        <v>72922.759999999995</v>
      </c>
      <c r="Z209">
        <v>11.48</v>
      </c>
      <c r="AA209">
        <v>0</v>
      </c>
      <c r="AB209">
        <v>0</v>
      </c>
      <c r="AC209">
        <v>0</v>
      </c>
      <c r="AD209">
        <v>47804.9</v>
      </c>
      <c r="AE209">
        <v>53777.2</v>
      </c>
      <c r="AF209">
        <v>8.5159719999999997</v>
      </c>
      <c r="AG209">
        <v>0</v>
      </c>
      <c r="AH209">
        <v>0</v>
      </c>
      <c r="AI209">
        <v>0</v>
      </c>
    </row>
    <row r="210" spans="1:35" x14ac:dyDescent="0.25">
      <c r="A210">
        <v>136</v>
      </c>
      <c r="B210" s="55">
        <v>1.1675719921668199E-5</v>
      </c>
      <c r="C210" s="55">
        <v>8.8191864767525296E-8</v>
      </c>
      <c r="D210" s="55">
        <v>1.03634074654099E-5</v>
      </c>
      <c r="E210" s="55">
        <v>7.7263889821649002E-8</v>
      </c>
      <c r="F210" s="55">
        <v>1.15496011911996E-5</v>
      </c>
      <c r="G210" s="55">
        <v>1.0129541177539E-7</v>
      </c>
      <c r="H210" s="55">
        <v>1.0208349114671499E-5</v>
      </c>
      <c r="I210" s="55">
        <v>8.8344872737981201E-8</v>
      </c>
      <c r="P210" t="s">
        <v>12</v>
      </c>
      <c r="Q210">
        <v>8.8700000000000001E-2</v>
      </c>
      <c r="R210" t="s">
        <v>25</v>
      </c>
      <c r="S210" t="s">
        <v>13</v>
      </c>
      <c r="T210">
        <v>7.8539999999999999E-2</v>
      </c>
      <c r="U210">
        <v>1.8500000000000001E-3</v>
      </c>
      <c r="V210" s="42">
        <v>7.7726549132108705E-2</v>
      </c>
      <c r="W210" s="42">
        <v>1.7944325848839101E-3</v>
      </c>
      <c r="X210">
        <v>76423.62</v>
      </c>
      <c r="Y210">
        <v>86101.1</v>
      </c>
      <c r="Z210">
        <v>11.48</v>
      </c>
      <c r="AA210">
        <v>0</v>
      </c>
      <c r="AB210">
        <v>0</v>
      </c>
      <c r="AC210">
        <v>0</v>
      </c>
      <c r="AD210">
        <v>57310.82</v>
      </c>
      <c r="AE210">
        <v>64840.76</v>
      </c>
      <c r="AF210">
        <v>8.5159719999999997</v>
      </c>
      <c r="AG210">
        <v>0</v>
      </c>
      <c r="AH210">
        <v>0</v>
      </c>
      <c r="AI210">
        <v>0</v>
      </c>
    </row>
    <row r="211" spans="1:35" x14ac:dyDescent="0.25">
      <c r="A211">
        <v>137</v>
      </c>
      <c r="B211" s="55">
        <v>1.1699828097681201E-5</v>
      </c>
      <c r="C211" s="55">
        <v>8.5233099141957198E-8</v>
      </c>
      <c r="D211" s="55">
        <v>1.00662874187069E-5</v>
      </c>
      <c r="E211" s="55">
        <v>7.2449495687740101E-8</v>
      </c>
      <c r="F211" s="55">
        <v>1.15615641136669E-5</v>
      </c>
      <c r="G211" s="55">
        <v>9.7828027040692905E-8</v>
      </c>
      <c r="H211" s="55">
        <v>1.0144873263634E-5</v>
      </c>
      <c r="I211" s="55">
        <v>8.4945437283821703E-8</v>
      </c>
      <c r="R211" t="s">
        <v>25</v>
      </c>
      <c r="T211">
        <v>0.11232</v>
      </c>
      <c r="V211" s="42">
        <v>0.111975610146368</v>
      </c>
      <c r="X211">
        <v>109871.7</v>
      </c>
      <c r="Y211">
        <v>127701.5</v>
      </c>
      <c r="Z211">
        <v>11.48</v>
      </c>
      <c r="AA211">
        <v>0</v>
      </c>
      <c r="AB211">
        <v>0</v>
      </c>
      <c r="AC211">
        <v>0</v>
      </c>
      <c r="AD211">
        <v>82478.559999999998</v>
      </c>
      <c r="AE211">
        <v>93996.36</v>
      </c>
      <c r="AF211">
        <v>8.5159719999999997</v>
      </c>
      <c r="AG211">
        <v>0</v>
      </c>
      <c r="AH211">
        <v>0</v>
      </c>
      <c r="AI211">
        <v>0</v>
      </c>
    </row>
    <row r="212" spans="1:35" x14ac:dyDescent="0.25">
      <c r="A212">
        <v>138</v>
      </c>
      <c r="B212" s="87">
        <v>1.17338668895255E-5</v>
      </c>
      <c r="C212" s="74">
        <v>7.9052759046785904E-8</v>
      </c>
      <c r="D212" s="87">
        <v>1.0271442506792101E-5</v>
      </c>
      <c r="E212" s="74">
        <v>6.9065189734490605E-8</v>
      </c>
      <c r="F212" s="86">
        <v>1.16022600271382E-5</v>
      </c>
      <c r="G212" s="86">
        <v>9.0886985536842398E-8</v>
      </c>
      <c r="H212" s="86">
        <v>1.0167361094775499E-5</v>
      </c>
      <c r="I212" s="55">
        <v>7.9494604681934094E-8</v>
      </c>
      <c r="P212" t="s">
        <v>33</v>
      </c>
      <c r="Q212">
        <v>8.9999999999999998E-4</v>
      </c>
      <c r="R212" t="s">
        <v>25</v>
      </c>
      <c r="S212" t="s">
        <v>13</v>
      </c>
      <c r="T212">
        <v>0.71697999999999995</v>
      </c>
      <c r="U212">
        <v>2.5100000000000001E-3</v>
      </c>
      <c r="V212" s="42">
        <v>0.71999957761260402</v>
      </c>
      <c r="W212" s="42">
        <v>2.47041531839642E-3</v>
      </c>
      <c r="X212">
        <v>704422.1</v>
      </c>
      <c r="Y212">
        <v>804716.1</v>
      </c>
      <c r="Z212">
        <v>0</v>
      </c>
      <c r="AA212">
        <v>11.48</v>
      </c>
      <c r="AB212" s="55">
        <f>B226</f>
        <v>1.1184539103289299E-5</v>
      </c>
      <c r="AC212">
        <f>H226</f>
        <v>0</v>
      </c>
      <c r="AD212">
        <v>528474.30000000005</v>
      </c>
      <c r="AE212">
        <v>603056.80000000005</v>
      </c>
      <c r="AF212">
        <v>8.5159719999999997</v>
      </c>
      <c r="AG212">
        <v>0</v>
      </c>
      <c r="AH212">
        <v>0</v>
      </c>
      <c r="AI212">
        <v>0</v>
      </c>
    </row>
    <row r="213" spans="1:35" ht="15.75" thickBot="1" x14ac:dyDescent="0.3">
      <c r="C213" t="s">
        <v>334</v>
      </c>
      <c r="E213" t="s">
        <v>334</v>
      </c>
      <c r="G213" t="s">
        <v>334</v>
      </c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 spans="1:35" x14ac:dyDescent="0.25">
      <c r="A214" t="s">
        <v>140</v>
      </c>
      <c r="B214" s="55">
        <v>-2.6971E-7</v>
      </c>
      <c r="C214" s="92">
        <f>C206/B206</f>
        <v>3.4551667619164311E-2</v>
      </c>
      <c r="D214" s="55">
        <v>-1.3673999999999999E-7</v>
      </c>
      <c r="E214" s="92">
        <f>E206/D206</f>
        <v>3.0999678399162813E-2</v>
      </c>
      <c r="F214" s="55">
        <v>-1.3414000000000001E-7</v>
      </c>
      <c r="G214" s="92">
        <f>G206/F206</f>
        <v>3.7736772262632196E-2</v>
      </c>
      <c r="H214" s="55">
        <v>-4.9216000000000002E-8</v>
      </c>
      <c r="Q214" t="s">
        <v>325</v>
      </c>
      <c r="R214" t="s">
        <v>326</v>
      </c>
      <c r="X214" t="s">
        <v>33</v>
      </c>
      <c r="Y214" t="s">
        <v>33</v>
      </c>
      <c r="Z214" t="s">
        <v>25</v>
      </c>
      <c r="AA214" t="s">
        <v>25</v>
      </c>
    </row>
    <row r="215" spans="1:35" x14ac:dyDescent="0.25">
      <c r="A215" t="s">
        <v>141</v>
      </c>
      <c r="B215" s="55">
        <v>4.8433000000000002E-5</v>
      </c>
      <c r="C215" s="92">
        <f t="shared" ref="C215:E218" si="10">C207/B207</f>
        <v>3.2919068825914069E-2</v>
      </c>
      <c r="D215" s="55">
        <v>2.8863000000000001E-5</v>
      </c>
      <c r="E215" s="92">
        <f t="shared" si="10"/>
        <v>3.1249987977631562E-2</v>
      </c>
      <c r="F215" s="55">
        <v>2.9957000000000001E-5</v>
      </c>
      <c r="G215" s="92">
        <f t="shared" ref="G215" si="11">G207/F207</f>
        <v>3.9334633811760132E-2</v>
      </c>
      <c r="H215" s="55">
        <v>1.6982000000000001E-5</v>
      </c>
      <c r="Q215" t="s">
        <v>12</v>
      </c>
      <c r="X215">
        <v>11.48</v>
      </c>
      <c r="Y215">
        <v>11.48</v>
      </c>
      <c r="Z215">
        <v>8.5159719999999997</v>
      </c>
      <c r="AA215">
        <v>8.5159719999999997</v>
      </c>
    </row>
    <row r="216" spans="1:35" x14ac:dyDescent="0.25">
      <c r="C216" s="92">
        <f t="shared" si="10"/>
        <v>9.3512262394195578E-3</v>
      </c>
      <c r="E216" s="92">
        <f t="shared" si="10"/>
        <v>9.0095754504706128E-3</v>
      </c>
      <c r="G216" s="92">
        <f t="shared" ref="G216" si="12">G208/F208</f>
        <v>1.0777099531990781E-2</v>
      </c>
      <c r="Q216" t="s">
        <v>25</v>
      </c>
      <c r="X216" t="s">
        <v>25</v>
      </c>
      <c r="Y216" t="s">
        <v>25</v>
      </c>
    </row>
    <row r="217" spans="1:35" x14ac:dyDescent="0.25">
      <c r="A217">
        <v>138</v>
      </c>
      <c r="B217" s="55">
        <f>$A217*B$214+B$215</f>
        <v>1.1213020000000004E-5</v>
      </c>
      <c r="C217" s="92">
        <f>C209/B209</f>
        <v>7.7438122440642333E-3</v>
      </c>
      <c r="D217" s="55">
        <f t="shared" ref="D217:H217" si="13">$A217*D$214+D$215</f>
        <v>9.9928800000000025E-6</v>
      </c>
      <c r="E217" s="92">
        <f>E209/D209</f>
        <v>7.5949098082999603E-3</v>
      </c>
      <c r="F217" s="55">
        <f t="shared" si="13"/>
        <v>1.144568E-5</v>
      </c>
      <c r="G217" s="92">
        <f>G209/F209</f>
        <v>8.9660894933386026E-3</v>
      </c>
      <c r="H217" s="55">
        <f t="shared" si="13"/>
        <v>1.0190192000000001E-5</v>
      </c>
      <c r="Q217" t="s">
        <v>31</v>
      </c>
      <c r="X217">
        <v>11.48</v>
      </c>
      <c r="Y217">
        <v>11.48</v>
      </c>
    </row>
    <row r="218" spans="1:35" x14ac:dyDescent="0.25">
      <c r="C218" s="92">
        <f t="shared" si="10"/>
        <v>7.5534412746451566E-3</v>
      </c>
      <c r="E218" s="92">
        <f t="shared" si="10"/>
        <v>7.4554522804911256E-3</v>
      </c>
      <c r="G218" s="92">
        <f t="shared" ref="G218" si="14">G210/F210</f>
        <v>8.770468356307716E-3</v>
      </c>
      <c r="Q218" t="s">
        <v>13</v>
      </c>
    </row>
    <row r="219" spans="1:35" x14ac:dyDescent="0.25">
      <c r="Q219" t="s">
        <v>33</v>
      </c>
    </row>
    <row r="220" spans="1:35" x14ac:dyDescent="0.25">
      <c r="A220">
        <v>138</v>
      </c>
      <c r="B220" s="55">
        <f>MassSpecRept!BJ13</f>
        <v>1.1699323695286571E-5</v>
      </c>
      <c r="C220" s="55"/>
      <c r="D220">
        <f>MassSpecRept!BJ33</f>
        <v>1.0241204308391281E-5</v>
      </c>
      <c r="F220" t="s">
        <v>312</v>
      </c>
      <c r="H220" s="55">
        <f>F211+B211</f>
        <v>2.3261392211348102E-5</v>
      </c>
    </row>
    <row r="221" spans="1:35" x14ac:dyDescent="0.25">
      <c r="H221" s="101">
        <f>H220/2</f>
        <v>1.1630696105674051E-5</v>
      </c>
    </row>
    <row r="223" spans="1:35" ht="15.75" thickBot="1" x14ac:dyDescent="0.3"/>
    <row r="224" spans="1:35" ht="15.75" thickBot="1" x14ac:dyDescent="0.3">
      <c r="A224" s="64"/>
      <c r="B224" s="93" t="s">
        <v>329</v>
      </c>
      <c r="C224" s="94">
        <f>((MAX(B206:B212,D206:D212,F206:F212,H206:H212)-MIN(B206:B212,D206:D212,F206:F212,H206:H212))/AVERAGE(MAX(B206:B212,D206:D212,F206:F212,H206:H212),MIN(B206:B212,D206:D212,F206:F212,H206:H212)))</f>
        <v>0.29558488077062833</v>
      </c>
      <c r="D224" s="72" t="s">
        <v>331</v>
      </c>
      <c r="E224" s="95">
        <f>C224/G224</f>
        <v>3.6948110096328542E-2</v>
      </c>
      <c r="F224" s="72" t="s">
        <v>330</v>
      </c>
      <c r="G224" s="73">
        <f>138-130</f>
        <v>8</v>
      </c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</row>
    <row r="225" spans="1:36" ht="45.75" thickBot="1" x14ac:dyDescent="0.3">
      <c r="A225" t="s">
        <v>0</v>
      </c>
      <c r="B225" s="39" t="s">
        <v>196</v>
      </c>
      <c r="C225" s="77" t="s">
        <v>332</v>
      </c>
      <c r="D225" s="39" t="s">
        <v>197</v>
      </c>
      <c r="E225" s="77" t="s">
        <v>332</v>
      </c>
      <c r="F225" s="39" t="s">
        <v>198</v>
      </c>
      <c r="G225" s="77" t="s">
        <v>332</v>
      </c>
      <c r="H225" s="39" t="s">
        <v>199</v>
      </c>
      <c r="I225" s="77" t="s">
        <v>332</v>
      </c>
      <c r="R225" t="s">
        <v>315</v>
      </c>
      <c r="S225" t="s">
        <v>317</v>
      </c>
      <c r="T225" t="s">
        <v>316</v>
      </c>
      <c r="U225" t="s">
        <v>318</v>
      </c>
      <c r="V225" t="s">
        <v>337</v>
      </c>
      <c r="W225" t="s">
        <v>338</v>
      </c>
      <c r="X225" t="s">
        <v>319</v>
      </c>
      <c r="Y225" t="s">
        <v>320</v>
      </c>
      <c r="Z225" t="s">
        <v>343</v>
      </c>
      <c r="AA225" t="s">
        <v>344</v>
      </c>
      <c r="AB225" s="39" t="s">
        <v>346</v>
      </c>
      <c r="AC225" s="39" t="s">
        <v>345</v>
      </c>
      <c r="AD225" t="s">
        <v>338</v>
      </c>
      <c r="AE225" t="s">
        <v>319</v>
      </c>
      <c r="AF225" t="s">
        <v>320</v>
      </c>
      <c r="AG225" t="s">
        <v>343</v>
      </c>
      <c r="AH225" t="s">
        <v>344</v>
      </c>
      <c r="AI225" s="39" t="s">
        <v>346</v>
      </c>
      <c r="AJ225" s="39" t="s">
        <v>345</v>
      </c>
    </row>
    <row r="226" spans="1:36" x14ac:dyDescent="0.25">
      <c r="A226">
        <v>138</v>
      </c>
      <c r="B226" s="55">
        <v>1.1184539103289299E-5</v>
      </c>
      <c r="C226" s="55">
        <v>5.73863944653825E-5</v>
      </c>
      <c r="D226" s="55">
        <v>3.06163112436928E-6</v>
      </c>
      <c r="E226" s="55">
        <v>4.8890086964334203E-6</v>
      </c>
      <c r="J226" t="s">
        <v>314</v>
      </c>
      <c r="N226" s="65" t="s">
        <v>200</v>
      </c>
      <c r="R226" t="s">
        <v>33</v>
      </c>
      <c r="S226" t="s">
        <v>355</v>
      </c>
      <c r="T226">
        <v>8.9999999999999998E-4</v>
      </c>
      <c r="U226">
        <v>0.71697999999999995</v>
      </c>
      <c r="V226">
        <v>8.9353151713407702E-4</v>
      </c>
      <c r="W226" s="42">
        <v>0.71999957761260402</v>
      </c>
      <c r="X226">
        <v>704422.1</v>
      </c>
      <c r="Y226">
        <v>804716.1</v>
      </c>
      <c r="Z226">
        <v>11.48</v>
      </c>
      <c r="AA226">
        <v>11.48</v>
      </c>
      <c r="AB226" s="55">
        <f>B212</f>
        <v>1.17338668895255E-5</v>
      </c>
      <c r="AC226" s="101">
        <f>D212</f>
        <v>1.0271442506792101E-5</v>
      </c>
      <c r="AD226" s="42">
        <v>2.47041531839642E-3</v>
      </c>
      <c r="AE226">
        <v>2817.1</v>
      </c>
      <c r="AF226">
        <v>3058.8</v>
      </c>
      <c r="AG226">
        <v>10.19</v>
      </c>
      <c r="AH226">
        <v>10.19</v>
      </c>
      <c r="AI226">
        <f>B236</f>
        <v>1.20522893032991E-5</v>
      </c>
      <c r="AJ226">
        <f>D236</f>
        <v>1.13063520900792E-5</v>
      </c>
    </row>
    <row r="227" spans="1:36" ht="15.75" thickBot="1" x14ac:dyDescent="0.3">
      <c r="A227">
        <v>139</v>
      </c>
      <c r="B227" s="56">
        <v>1.2504264600950299E-5</v>
      </c>
      <c r="C227" s="56">
        <v>8.3936796522859906E-8</v>
      </c>
      <c r="D227" s="56">
        <v>1.0939621460972899E-5</v>
      </c>
      <c r="E227" s="56">
        <v>7.3322646431881494E-8</v>
      </c>
      <c r="F227" s="8">
        <v>1.2627891018217312E-5</v>
      </c>
      <c r="G227" s="56">
        <v>8.9575000000000006E-8</v>
      </c>
      <c r="H227" s="8">
        <v>1.1947872227888068E-5</v>
      </c>
      <c r="I227" s="55">
        <v>8.4695000000000005E-8</v>
      </c>
      <c r="N227" s="66" t="s">
        <v>33</v>
      </c>
      <c r="R227" t="s">
        <v>33</v>
      </c>
      <c r="T227">
        <v>0.99909999999999999</v>
      </c>
      <c r="U227">
        <v>0</v>
      </c>
      <c r="V227">
        <v>0.99910646848286599</v>
      </c>
      <c r="W227">
        <v>0</v>
      </c>
      <c r="X227">
        <v>917260.5</v>
      </c>
      <c r="Y227">
        <v>1048452</v>
      </c>
      <c r="Z227">
        <v>11.48</v>
      </c>
      <c r="AA227">
        <v>0</v>
      </c>
      <c r="AB227">
        <v>0</v>
      </c>
      <c r="AC227">
        <v>0</v>
      </c>
      <c r="AD227">
        <v>0</v>
      </c>
      <c r="AE227">
        <v>806217.7</v>
      </c>
      <c r="AF227">
        <v>852103.9</v>
      </c>
      <c r="AG227">
        <v>10.19</v>
      </c>
      <c r="AH227">
        <v>10.19</v>
      </c>
      <c r="AI227">
        <v>0</v>
      </c>
      <c r="AJ227">
        <v>0</v>
      </c>
    </row>
    <row r="228" spans="1:36" ht="15.75" thickBot="1" x14ac:dyDescent="0.3"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</row>
    <row r="229" spans="1:36" x14ac:dyDescent="0.25">
      <c r="N229" t="s">
        <v>354</v>
      </c>
      <c r="Q229" t="s">
        <v>325</v>
      </c>
      <c r="R229" t="s">
        <v>326</v>
      </c>
      <c r="X229" t="s">
        <v>33</v>
      </c>
      <c r="Y229" t="s">
        <v>33</v>
      </c>
      <c r="Z229" t="s">
        <v>13</v>
      </c>
      <c r="AA229" t="s">
        <v>13</v>
      </c>
      <c r="AC229" t="s">
        <v>315</v>
      </c>
      <c r="AD229" t="s">
        <v>316</v>
      </c>
      <c r="AE229" t="s">
        <v>317</v>
      </c>
      <c r="AF229" t="s">
        <v>318</v>
      </c>
    </row>
    <row r="230" spans="1:36" x14ac:dyDescent="0.25">
      <c r="Q230" t="s">
        <v>13</v>
      </c>
      <c r="X230">
        <v>11.48</v>
      </c>
      <c r="Y230">
        <v>11.48</v>
      </c>
      <c r="Z230">
        <v>10.19</v>
      </c>
      <c r="AA230">
        <v>10.19</v>
      </c>
      <c r="AC230" t="s">
        <v>13</v>
      </c>
      <c r="AD230">
        <v>2.5100000000000001E-3</v>
      </c>
      <c r="AE230" t="s">
        <v>25</v>
      </c>
      <c r="AF230">
        <v>0.71697999999999995</v>
      </c>
    </row>
    <row r="231" spans="1:36" x14ac:dyDescent="0.25">
      <c r="Q231" t="s">
        <v>33</v>
      </c>
      <c r="X231" t="s">
        <v>25</v>
      </c>
      <c r="Y231" t="s">
        <v>25</v>
      </c>
      <c r="Z231" t="s">
        <v>33</v>
      </c>
      <c r="AA231" t="s">
        <v>33</v>
      </c>
    </row>
    <row r="232" spans="1:36" ht="15.75" thickBot="1" x14ac:dyDescent="0.3">
      <c r="Q232" t="s">
        <v>25</v>
      </c>
      <c r="X232">
        <v>11.48</v>
      </c>
      <c r="Y232">
        <v>11.48</v>
      </c>
      <c r="Z232">
        <v>10.19</v>
      </c>
      <c r="AA232">
        <v>10.19</v>
      </c>
    </row>
    <row r="233" spans="1:36" ht="15.75" thickBot="1" x14ac:dyDescent="0.3">
      <c r="A233" s="64"/>
      <c r="B233" s="93" t="s">
        <v>329</v>
      </c>
      <c r="C233" s="94">
        <f>((MAX(B227,D227,F227,H227)-MIN(B227,D227,F227,H227))/AVERAGE(MAX(B227,D227,F227,H227),MIN(B227,D227,F227,H227)))</f>
        <v>0.14327091658359209</v>
      </c>
      <c r="D233" s="72" t="s">
        <v>331</v>
      </c>
      <c r="E233" s="95">
        <f>C233/G233</f>
        <v>0.14327091658359209</v>
      </c>
      <c r="F233" s="72" t="s">
        <v>330</v>
      </c>
      <c r="G233" s="73">
        <v>1</v>
      </c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</row>
    <row r="234" spans="1:36" ht="30.75" thickBot="1" x14ac:dyDescent="0.3">
      <c r="A234" t="s">
        <v>0</v>
      </c>
      <c r="B234" s="39" t="s">
        <v>202</v>
      </c>
      <c r="C234" s="77" t="s">
        <v>332</v>
      </c>
      <c r="D234" s="70" t="s">
        <v>203</v>
      </c>
      <c r="E234" s="77" t="s">
        <v>332</v>
      </c>
      <c r="R234" t="s">
        <v>315</v>
      </c>
      <c r="S234" t="s">
        <v>317</v>
      </c>
      <c r="T234" t="s">
        <v>316</v>
      </c>
      <c r="U234" t="s">
        <v>318</v>
      </c>
      <c r="V234" t="s">
        <v>337</v>
      </c>
      <c r="W234" t="s">
        <v>338</v>
      </c>
      <c r="X234" t="s">
        <v>319</v>
      </c>
      <c r="Y234" t="s">
        <v>320</v>
      </c>
      <c r="Z234" t="s">
        <v>343</v>
      </c>
      <c r="AA234" t="s">
        <v>344</v>
      </c>
      <c r="AB234" s="39" t="s">
        <v>346</v>
      </c>
      <c r="AC234" s="39" t="s">
        <v>345</v>
      </c>
    </row>
    <row r="235" spans="1:36" x14ac:dyDescent="0.25">
      <c r="A235">
        <v>136</v>
      </c>
      <c r="B235" s="56">
        <v>1.08721830078961E-5</v>
      </c>
      <c r="C235" s="56">
        <v>2.7583293665791898E-7</v>
      </c>
      <c r="D235" s="56">
        <v>1.1083192269459701E-5</v>
      </c>
      <c r="E235" s="56">
        <v>2.8369576350343002E-7</v>
      </c>
      <c r="N235" s="69" t="s">
        <v>201</v>
      </c>
      <c r="R235" t="s">
        <v>13</v>
      </c>
      <c r="T235">
        <v>1.8500000000000001E-3</v>
      </c>
      <c r="U235">
        <v>0</v>
      </c>
      <c r="V235" s="42">
        <v>1.7944325848839101E-3</v>
      </c>
      <c r="W235" s="42">
        <v>0</v>
      </c>
      <c r="X235">
        <v>1681.84</v>
      </c>
      <c r="Y235">
        <v>1649.82</v>
      </c>
      <c r="Z235">
        <v>10.19</v>
      </c>
      <c r="AA235">
        <v>0</v>
      </c>
      <c r="AB235">
        <v>0</v>
      </c>
      <c r="AC235">
        <v>0</v>
      </c>
    </row>
    <row r="236" spans="1:36" ht="15.75" thickBot="1" x14ac:dyDescent="0.3">
      <c r="A236">
        <v>138</v>
      </c>
      <c r="B236" s="55">
        <v>1.20522893032991E-5</v>
      </c>
      <c r="C236" s="55">
        <v>3.1905081645213802E-7</v>
      </c>
      <c r="D236" s="56">
        <v>1.13063520900792E-5</v>
      </c>
      <c r="E236" s="56">
        <v>2.9330487469499298E-7</v>
      </c>
      <c r="F236" t="s">
        <v>313</v>
      </c>
      <c r="N236" s="66" t="s">
        <v>13</v>
      </c>
      <c r="R236" t="s">
        <v>13</v>
      </c>
      <c r="S236" t="s">
        <v>33</v>
      </c>
      <c r="T236">
        <v>2.5100000000000001E-3</v>
      </c>
      <c r="U236">
        <v>8.9999999999999998E-4</v>
      </c>
      <c r="V236" s="42">
        <v>2.47041531839642E-3</v>
      </c>
      <c r="W236">
        <v>8.9353151713407702E-4</v>
      </c>
      <c r="X236">
        <v>2817.1</v>
      </c>
      <c r="Y236">
        <v>3058.8</v>
      </c>
      <c r="Z236">
        <v>10.19</v>
      </c>
      <c r="AA236">
        <v>10.19</v>
      </c>
      <c r="AB236" s="55">
        <f>B227</f>
        <v>1.2504264600950299E-5</v>
      </c>
      <c r="AC236">
        <f>D227</f>
        <v>1.0939621460972899E-5</v>
      </c>
    </row>
    <row r="237" spans="1:36" x14ac:dyDescent="0.25">
      <c r="A237">
        <v>140</v>
      </c>
      <c r="B237" s="56">
        <v>1.1832096495662001E-5</v>
      </c>
      <c r="C237" s="56">
        <v>8.3992178086760102E-8</v>
      </c>
      <c r="D237" s="56">
        <v>1.1305353240956199E-5</v>
      </c>
      <c r="E237" s="56">
        <v>8.0206379137932495E-8</v>
      </c>
      <c r="R237" t="s">
        <v>13</v>
      </c>
      <c r="T237">
        <v>0.88449999999999995</v>
      </c>
      <c r="V237" s="42">
        <v>0.883172530576673</v>
      </c>
      <c r="X237">
        <v>760603</v>
      </c>
      <c r="Y237">
        <v>796041.3</v>
      </c>
      <c r="Z237">
        <v>10.19</v>
      </c>
      <c r="AA237">
        <v>0</v>
      </c>
      <c r="AB237">
        <v>0</v>
      </c>
      <c r="AC237">
        <v>0</v>
      </c>
    </row>
    <row r="238" spans="1:36" x14ac:dyDescent="0.25">
      <c r="A238">
        <v>142</v>
      </c>
      <c r="B238" s="55">
        <v>1.1699710729611101E-5</v>
      </c>
      <c r="C238" s="55">
        <v>2.3475334541464099E-7</v>
      </c>
      <c r="D238" s="55">
        <v>1.0859399470364601E-5</v>
      </c>
      <c r="E238" s="55">
        <v>2.1102507190129E-7</v>
      </c>
      <c r="R238" t="s">
        <v>13</v>
      </c>
      <c r="S238" t="s">
        <v>34</v>
      </c>
      <c r="T238">
        <v>0.11114</v>
      </c>
      <c r="U238">
        <v>0.27200000000000002</v>
      </c>
      <c r="V238" s="42">
        <v>0.11256262152004699</v>
      </c>
      <c r="W238" s="13">
        <v>0.26760909611700401</v>
      </c>
      <c r="X238">
        <v>347353.1</v>
      </c>
      <c r="Y238">
        <v>364951.9</v>
      </c>
      <c r="Z238">
        <v>10.19</v>
      </c>
      <c r="AA238">
        <v>10.19</v>
      </c>
      <c r="AB238">
        <f>B270</f>
        <v>1.0761374061908593E-5</v>
      </c>
      <c r="AC238">
        <f>D270</f>
        <v>1.0417899999999999E-5</v>
      </c>
    </row>
    <row r="239" spans="1:36" ht="15.75" thickBot="1" x14ac:dyDescent="0.3">
      <c r="C239" t="s">
        <v>334</v>
      </c>
      <c r="E239" t="s">
        <v>334</v>
      </c>
      <c r="Q239" s="64"/>
      <c r="R239" s="64"/>
      <c r="S239" s="64"/>
      <c r="T239" s="64"/>
      <c r="U239" s="64"/>
      <c r="V239" s="64"/>
      <c r="W239" s="64"/>
      <c r="X239" s="64"/>
      <c r="Y239" s="64"/>
    </row>
    <row r="240" spans="1:36" x14ac:dyDescent="0.25">
      <c r="C240" s="92">
        <f>C235/B235</f>
        <v>2.537052001953893E-2</v>
      </c>
      <c r="D240" s="92"/>
      <c r="E240" s="92">
        <f t="shared" ref="E240" si="15">E235/D235</f>
        <v>2.5596936027643236E-2</v>
      </c>
      <c r="Q240" t="s">
        <v>325</v>
      </c>
      <c r="R240" t="s">
        <v>326</v>
      </c>
    </row>
    <row r="241" spans="1:30" x14ac:dyDescent="0.25">
      <c r="C241" s="92">
        <f t="shared" ref="C241:E243" si="16">C236/B236</f>
        <v>2.6472216889516877E-2</v>
      </c>
      <c r="D241" s="92"/>
      <c r="E241" s="92">
        <f t="shared" si="16"/>
        <v>2.5941601000764376E-2</v>
      </c>
      <c r="Q241" t="s">
        <v>13</v>
      </c>
      <c r="X241" t="s">
        <v>13</v>
      </c>
      <c r="Y241" t="s">
        <v>13</v>
      </c>
    </row>
    <row r="242" spans="1:30" x14ac:dyDescent="0.25">
      <c r="C242" s="92">
        <f t="shared" si="16"/>
        <v>7.0986725063942931E-3</v>
      </c>
      <c r="D242" s="92"/>
      <c r="E242" s="92">
        <f t="shared" si="16"/>
        <v>7.0945486999350665E-3</v>
      </c>
      <c r="Q242" t="s">
        <v>25</v>
      </c>
      <c r="X242">
        <v>10.19</v>
      </c>
      <c r="Y242">
        <v>10.19</v>
      </c>
    </row>
    <row r="243" spans="1:30" x14ac:dyDescent="0.25">
      <c r="C243" s="92">
        <f t="shared" si="16"/>
        <v>2.0064884580479215E-2</v>
      </c>
      <c r="D243" s="92"/>
      <c r="E243" s="92">
        <f t="shared" si="16"/>
        <v>1.9432480817855473E-2</v>
      </c>
      <c r="Q243" t="s">
        <v>34</v>
      </c>
      <c r="X243" t="s">
        <v>34</v>
      </c>
      <c r="Y243" t="s">
        <v>34</v>
      </c>
    </row>
    <row r="244" spans="1:30" x14ac:dyDescent="0.25">
      <c r="Q244" t="s">
        <v>33</v>
      </c>
      <c r="X244">
        <v>10.19</v>
      </c>
      <c r="Y244">
        <v>10.19</v>
      </c>
    </row>
    <row r="245" spans="1:30" x14ac:dyDescent="0.25">
      <c r="Q245" t="s">
        <v>12</v>
      </c>
      <c r="X245" t="s">
        <v>33</v>
      </c>
      <c r="Y245" t="s">
        <v>33</v>
      </c>
    </row>
    <row r="246" spans="1:30" x14ac:dyDescent="0.25">
      <c r="X246">
        <v>10.19</v>
      </c>
      <c r="Y246">
        <v>10.19</v>
      </c>
    </row>
    <row r="247" spans="1:30" x14ac:dyDescent="0.25">
      <c r="N247" s="42"/>
      <c r="O247" s="42"/>
      <c r="P247" s="42"/>
      <c r="Q247" s="42"/>
      <c r="R247" s="42"/>
      <c r="S247" s="42"/>
      <c r="T247" s="42"/>
    </row>
    <row r="248" spans="1:30" x14ac:dyDescent="0.25">
      <c r="N248" s="42"/>
    </row>
    <row r="249" spans="1:30" x14ac:dyDescent="0.25">
      <c r="N249" s="42"/>
    </row>
    <row r="250" spans="1:30" x14ac:dyDescent="0.25">
      <c r="N250" s="79"/>
    </row>
    <row r="251" spans="1:30" x14ac:dyDescent="0.25">
      <c r="N251" s="79"/>
    </row>
    <row r="252" spans="1:30" x14ac:dyDescent="0.25">
      <c r="N252" s="79"/>
    </row>
    <row r="253" spans="1:30" x14ac:dyDescent="0.25">
      <c r="N253" s="81"/>
      <c r="O253" s="13"/>
      <c r="P253" s="13"/>
      <c r="Q253" s="13"/>
      <c r="R253" s="13"/>
      <c r="S253" s="13"/>
      <c r="T253" s="13"/>
    </row>
    <row r="254" spans="1:30" ht="15.75" thickBot="1" x14ac:dyDescent="0.3">
      <c r="N254" s="41"/>
    </row>
    <row r="255" spans="1:30" ht="15.75" thickBot="1" x14ac:dyDescent="0.3">
      <c r="A255" s="64"/>
      <c r="B255" s="93" t="s">
        <v>329</v>
      </c>
      <c r="C255" s="94">
        <f>((MAX(B235:B238,D235:D238)-MIN(B235:B238,D235:D238))/AVERAGE(MAX(B235:B238,D235:D238),MIN(B235:B238,D235:D238)))</f>
        <v>0.10412936774051243</v>
      </c>
      <c r="D255" s="72" t="s">
        <v>331</v>
      </c>
      <c r="E255" s="95">
        <f>C255/G255</f>
        <v>1.7354894623418739E-2</v>
      </c>
      <c r="F255" s="72" t="s">
        <v>330</v>
      </c>
      <c r="G255" s="73">
        <f>142-136</f>
        <v>6</v>
      </c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  <c r="AD255" s="64"/>
    </row>
    <row r="256" spans="1:30" ht="30.75" thickBot="1" x14ac:dyDescent="0.3">
      <c r="A256" t="s">
        <v>0</v>
      </c>
      <c r="B256" s="39" t="s">
        <v>204</v>
      </c>
      <c r="C256" s="77" t="s">
        <v>332</v>
      </c>
      <c r="D256" s="70" t="s">
        <v>205</v>
      </c>
      <c r="E256" s="77" t="s">
        <v>332</v>
      </c>
      <c r="F256" s="1"/>
      <c r="G256" s="1"/>
      <c r="R256" t="s">
        <v>315</v>
      </c>
      <c r="S256" t="s">
        <v>316</v>
      </c>
      <c r="T256" t="s">
        <v>317</v>
      </c>
      <c r="U256" t="s">
        <v>318</v>
      </c>
      <c r="X256" t="s">
        <v>319</v>
      </c>
      <c r="Y256" t="s">
        <v>320</v>
      </c>
    </row>
    <row r="257" spans="1:30" x14ac:dyDescent="0.25">
      <c r="A257">
        <v>133</v>
      </c>
      <c r="B257">
        <v>1.2521469171582777E-5</v>
      </c>
      <c r="C257" s="55">
        <v>5.9638E-7</v>
      </c>
      <c r="D257">
        <v>1.1103831536683074E-5</v>
      </c>
      <c r="E257" s="55">
        <v>5.2870000000000002E-7</v>
      </c>
      <c r="F257" s="1"/>
      <c r="G257" s="1"/>
      <c r="N257" s="65" t="s">
        <v>206</v>
      </c>
      <c r="R257" t="s">
        <v>32</v>
      </c>
      <c r="S257">
        <v>1</v>
      </c>
      <c r="X257">
        <v>84528.18</v>
      </c>
      <c r="Y257">
        <v>95319.98</v>
      </c>
    </row>
    <row r="258" spans="1:30" ht="15.75" thickBot="1" x14ac:dyDescent="0.3">
      <c r="C258" t="s">
        <v>334</v>
      </c>
      <c r="E258" t="s">
        <v>334</v>
      </c>
      <c r="N258" s="66" t="s">
        <v>32</v>
      </c>
      <c r="Q258" s="64"/>
      <c r="R258" s="64"/>
      <c r="S258" s="64"/>
      <c r="T258" s="64"/>
      <c r="U258" s="64"/>
      <c r="V258" s="64"/>
      <c r="W258" s="64"/>
      <c r="X258" s="64"/>
      <c r="Y258" s="64"/>
    </row>
    <row r="259" spans="1:30" x14ac:dyDescent="0.25">
      <c r="C259" s="92">
        <f>C257/B257</f>
        <v>4.7628596279538221E-2</v>
      </c>
      <c r="D259" s="92"/>
      <c r="E259" s="92">
        <f t="shared" ref="E259" si="17">E257/D257</f>
        <v>4.7614194996867969E-2</v>
      </c>
      <c r="Q259" t="s">
        <v>325</v>
      </c>
      <c r="R259" t="s">
        <v>326</v>
      </c>
      <c r="X259" t="s">
        <v>32</v>
      </c>
      <c r="Y259" t="s">
        <v>32</v>
      </c>
    </row>
    <row r="260" spans="1:30" ht="15.75" thickBot="1" x14ac:dyDescent="0.3">
      <c r="Q260" t="s">
        <v>32</v>
      </c>
      <c r="X260">
        <v>1.0584169999999999</v>
      </c>
      <c r="Y260">
        <v>1.0584169999999999</v>
      </c>
    </row>
    <row r="261" spans="1:30" ht="15.75" thickBot="1" x14ac:dyDescent="0.3">
      <c r="A261" s="64"/>
      <c r="B261" s="93" t="s">
        <v>329</v>
      </c>
      <c r="C261" s="94">
        <f>((MAX(B257,D257)-MIN(B257,D257))/AVERAGE(MAX(B257,D257),MIN(B257,D257)))</f>
        <v>0.12001012409579279</v>
      </c>
      <c r="D261" s="72" t="s">
        <v>331</v>
      </c>
      <c r="E261" s="95">
        <f>C261/G261</f>
        <v>0.12001012409579279</v>
      </c>
      <c r="F261" s="72" t="s">
        <v>330</v>
      </c>
      <c r="G261" s="73">
        <v>1</v>
      </c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  <c r="AD261" s="64"/>
    </row>
    <row r="262" spans="1:30" ht="30.75" thickBot="1" x14ac:dyDescent="0.3">
      <c r="A262" t="s">
        <v>0</v>
      </c>
      <c r="B262" s="39" t="s">
        <v>207</v>
      </c>
      <c r="C262" s="77" t="s">
        <v>332</v>
      </c>
      <c r="D262" s="39" t="s">
        <v>208</v>
      </c>
      <c r="E262" s="77" t="s">
        <v>332</v>
      </c>
      <c r="R262" t="s">
        <v>315</v>
      </c>
      <c r="S262" t="s">
        <v>316</v>
      </c>
      <c r="T262" t="s">
        <v>317</v>
      </c>
      <c r="U262" t="s">
        <v>318</v>
      </c>
      <c r="X262" t="s">
        <v>319</v>
      </c>
      <c r="Y262" t="s">
        <v>320</v>
      </c>
    </row>
    <row r="263" spans="1:30" x14ac:dyDescent="0.25">
      <c r="A263">
        <v>141</v>
      </c>
      <c r="B263">
        <v>1.0744242614825166E-5</v>
      </c>
      <c r="C263" s="55">
        <v>7.6072999999999996E-8</v>
      </c>
      <c r="D263">
        <v>1.0306238707133633E-5</v>
      </c>
      <c r="E263" s="55">
        <v>7.2940000000000003E-8</v>
      </c>
      <c r="N263" s="65" t="s">
        <v>209</v>
      </c>
      <c r="R263" t="s">
        <v>26</v>
      </c>
      <c r="S263">
        <v>1</v>
      </c>
      <c r="X263">
        <v>948414.9</v>
      </c>
      <c r="Y263">
        <v>988721.5</v>
      </c>
    </row>
    <row r="264" spans="1:30" ht="15.75" thickBot="1" x14ac:dyDescent="0.3">
      <c r="N264" s="66" t="s">
        <v>26</v>
      </c>
      <c r="Q264" s="64"/>
      <c r="R264" s="64"/>
      <c r="S264" s="64"/>
      <c r="T264" s="64"/>
      <c r="U264" s="64"/>
      <c r="V264" s="64"/>
      <c r="W264" s="64"/>
      <c r="X264" s="64"/>
      <c r="Y264" s="64"/>
    </row>
    <row r="265" spans="1:30" x14ac:dyDescent="0.25">
      <c r="Q265" t="s">
        <v>325</v>
      </c>
      <c r="R265" t="s">
        <v>326</v>
      </c>
      <c r="X265" t="s">
        <v>26</v>
      </c>
    </row>
    <row r="266" spans="1:30" x14ac:dyDescent="0.25">
      <c r="Q266" t="s">
        <v>26</v>
      </c>
      <c r="X266">
        <v>10.19</v>
      </c>
    </row>
    <row r="267" spans="1:30" ht="15.75" thickBot="1" x14ac:dyDescent="0.3"/>
    <row r="268" spans="1:30" ht="15.75" thickBot="1" x14ac:dyDescent="0.3">
      <c r="A268" s="64"/>
      <c r="B268" s="93" t="s">
        <v>329</v>
      </c>
      <c r="C268" s="94">
        <f>((MAX(B263,D263)-MIN(B263,D263))/AVERAGE(MAX(B263,D263),MIN(B263,D263)))</f>
        <v>4.1614621631917662E-2</v>
      </c>
      <c r="D268" s="72" t="s">
        <v>331</v>
      </c>
      <c r="E268" s="95">
        <f>C268/G268</f>
        <v>4.1614621631917662E-2</v>
      </c>
      <c r="F268" s="72" t="s">
        <v>330</v>
      </c>
      <c r="G268" s="73">
        <v>1</v>
      </c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  <c r="AD268" s="64"/>
    </row>
    <row r="269" spans="1:30" ht="30.75" thickBot="1" x14ac:dyDescent="0.3">
      <c r="A269" t="s">
        <v>0</v>
      </c>
      <c r="B269" s="39" t="s">
        <v>211</v>
      </c>
      <c r="C269" s="77" t="s">
        <v>332</v>
      </c>
      <c r="D269" s="39" t="s">
        <v>212</v>
      </c>
      <c r="E269" s="77" t="s">
        <v>332</v>
      </c>
      <c r="R269" t="s">
        <v>315</v>
      </c>
      <c r="S269" t="s">
        <v>317</v>
      </c>
      <c r="T269" t="s">
        <v>316</v>
      </c>
      <c r="U269" t="s">
        <v>318</v>
      </c>
      <c r="V269" t="s">
        <v>337</v>
      </c>
      <c r="W269" t="s">
        <v>338</v>
      </c>
      <c r="X269" t="s">
        <v>319</v>
      </c>
      <c r="Y269" t="s">
        <v>320</v>
      </c>
    </row>
    <row r="270" spans="1:30" x14ac:dyDescent="0.25">
      <c r="A270">
        <v>142</v>
      </c>
      <c r="B270">
        <f>1/(A270*B278+B279)</f>
        <v>1.0761374061908593E-5</v>
      </c>
      <c r="C270" s="55">
        <v>8.5699000000000005E-8</v>
      </c>
      <c r="D270">
        <f>(A270*D283+D284)</f>
        <v>1.0417899999999999E-5</v>
      </c>
      <c r="E270" s="55">
        <v>8.2634999999999998E-8</v>
      </c>
      <c r="F270" t="s">
        <v>302</v>
      </c>
      <c r="N270" s="65" t="s">
        <v>210</v>
      </c>
      <c r="R270" t="s">
        <v>34</v>
      </c>
      <c r="S270" t="s">
        <v>13</v>
      </c>
      <c r="T270" s="13">
        <v>0.27200000000000002</v>
      </c>
      <c r="U270" s="42">
        <v>0.11114</v>
      </c>
      <c r="V270" s="42">
        <v>0.26760909611700401</v>
      </c>
      <c r="W270" s="42">
        <v>0.11256262152004699</v>
      </c>
      <c r="X270">
        <v>347353.1</v>
      </c>
      <c r="Y270">
        <v>364951.9</v>
      </c>
      <c r="Z270">
        <v>10.19</v>
      </c>
      <c r="AA270">
        <v>10.19</v>
      </c>
      <c r="AB270">
        <f>B238</f>
        <v>1.1699710729611101E-5</v>
      </c>
      <c r="AC270">
        <f>D238</f>
        <v>1.0859399470364601E-5</v>
      </c>
    </row>
    <row r="271" spans="1:30" ht="15.75" thickBot="1" x14ac:dyDescent="0.3">
      <c r="A271">
        <v>143</v>
      </c>
      <c r="B271" s="55">
        <v>1.07645190262413E-5</v>
      </c>
      <c r="C271" s="55">
        <v>8.1849727670353704E-8</v>
      </c>
      <c r="D271" s="55">
        <v>1.02816889225561E-5</v>
      </c>
      <c r="E271" s="55">
        <v>7.7912978276627796E-8</v>
      </c>
      <c r="N271" s="66" t="s">
        <v>34</v>
      </c>
      <c r="R271" t="s">
        <v>34</v>
      </c>
      <c r="T271" s="13">
        <v>0.122</v>
      </c>
      <c r="U271">
        <v>0</v>
      </c>
      <c r="V271" s="42">
        <v>0.12087815435212899</v>
      </c>
      <c r="W271">
        <v>0</v>
      </c>
      <c r="X271">
        <v>114426.7</v>
      </c>
      <c r="Y271">
        <v>119800.2</v>
      </c>
      <c r="Z271">
        <v>10.19</v>
      </c>
      <c r="AA271">
        <v>0</v>
      </c>
      <c r="AB271">
        <v>0</v>
      </c>
      <c r="AC271">
        <v>0</v>
      </c>
    </row>
    <row r="272" spans="1:30" x14ac:dyDescent="0.25">
      <c r="A272">
        <v>144</v>
      </c>
      <c r="B272">
        <f>1/(A272*B278+B279)</f>
        <v>1.0789836544917647E-5</v>
      </c>
      <c r="C272" s="55">
        <v>8.0100999999999997E-8</v>
      </c>
      <c r="D272">
        <f>(A272*D283+D284)</f>
        <v>1.0335799999999999E-5</v>
      </c>
      <c r="E272" s="55">
        <v>7.7192999999999995E-8</v>
      </c>
      <c r="F272" t="s">
        <v>302</v>
      </c>
      <c r="R272" t="s">
        <v>34</v>
      </c>
      <c r="S272" t="s">
        <v>14</v>
      </c>
      <c r="T272" s="13">
        <v>0.23799999999999999</v>
      </c>
      <c r="U272" s="42">
        <v>3.0700000000000002E-2</v>
      </c>
      <c r="V272" s="42">
        <v>0.23746200394873401</v>
      </c>
      <c r="W272" s="42">
        <v>2.9382228289006499E-2</v>
      </c>
      <c r="X272">
        <v>252207.2</v>
      </c>
      <c r="Y272">
        <v>261595.6</v>
      </c>
      <c r="Z272">
        <v>10.19</v>
      </c>
      <c r="AA272">
        <v>10.19</v>
      </c>
      <c r="AB272">
        <f>B292</f>
        <v>1.0713556927299841E-5</v>
      </c>
      <c r="AC272" s="55">
        <f>D292</f>
        <v>1.0435674254139442E-5</v>
      </c>
    </row>
    <row r="273" spans="1:29" x14ac:dyDescent="0.25">
      <c r="A273">
        <v>145</v>
      </c>
      <c r="B273" s="55">
        <v>1.08392086257107E-5</v>
      </c>
      <c r="C273" s="55">
        <v>8.5232557432533802E-8</v>
      </c>
      <c r="D273" s="55">
        <v>1.0343321041454799E-5</v>
      </c>
      <c r="E273" s="55">
        <v>8.0948492664080795E-8</v>
      </c>
      <c r="R273" t="s">
        <v>34</v>
      </c>
      <c r="T273" s="13">
        <v>8.3000000000000004E-2</v>
      </c>
      <c r="U273">
        <v>0</v>
      </c>
      <c r="V273" s="42">
        <v>8.3389255375905705E-2</v>
      </c>
      <c r="W273">
        <v>0</v>
      </c>
      <c r="X273">
        <v>78394.7</v>
      </c>
      <c r="Y273">
        <v>82153.16</v>
      </c>
      <c r="Z273">
        <v>10.19</v>
      </c>
      <c r="AA273">
        <v>0</v>
      </c>
      <c r="AB273">
        <v>0</v>
      </c>
      <c r="AC273">
        <v>0</v>
      </c>
    </row>
    <row r="274" spans="1:29" x14ac:dyDescent="0.25">
      <c r="A274">
        <v>146</v>
      </c>
      <c r="B274" s="55">
        <v>1.0849347190061799E-5</v>
      </c>
      <c r="C274" s="55">
        <v>8.0603719637927205E-8</v>
      </c>
      <c r="D274" s="55">
        <v>1.0529303344741201E-5</v>
      </c>
      <c r="E274" s="55">
        <v>7.8097983474536398E-8</v>
      </c>
      <c r="R274" t="s">
        <v>34</v>
      </c>
      <c r="T274" s="13">
        <v>0.17199999999999999</v>
      </c>
      <c r="U274" s="42">
        <v>0</v>
      </c>
      <c r="V274" s="42">
        <v>0.17399978625208101</v>
      </c>
      <c r="W274" s="42">
        <v>0</v>
      </c>
      <c r="X274">
        <v>163425.29999999999</v>
      </c>
      <c r="Y274">
        <v>168392.7</v>
      </c>
      <c r="Z274">
        <v>10.19</v>
      </c>
      <c r="AA274">
        <v>0</v>
      </c>
      <c r="AB274">
        <v>0</v>
      </c>
      <c r="AC274">
        <v>0</v>
      </c>
    </row>
    <row r="275" spans="1:29" x14ac:dyDescent="0.25">
      <c r="A275">
        <v>148</v>
      </c>
      <c r="B275">
        <f>1/(A275*B278+B279)</f>
        <v>1.0847215591065494E-5</v>
      </c>
      <c r="C275" s="55">
        <v>1.7651000000000001E-7</v>
      </c>
      <c r="D275">
        <f>(A275*D283+D284)</f>
        <v>1.0171599999999999E-5</v>
      </c>
      <c r="E275" s="89">
        <v>1.6128E-7</v>
      </c>
      <c r="F275" t="s">
        <v>302</v>
      </c>
      <c r="R275" t="s">
        <v>34</v>
      </c>
      <c r="S275" t="s">
        <v>14</v>
      </c>
      <c r="T275" s="13">
        <v>5.7000000000000002E-2</v>
      </c>
      <c r="U275" s="42">
        <v>0.1124</v>
      </c>
      <c r="V275" s="42">
        <v>5.8454583117626302E-2</v>
      </c>
      <c r="W275" s="42">
        <v>0.110567465434891</v>
      </c>
      <c r="X275">
        <v>159080.6</v>
      </c>
      <c r="Y275">
        <v>166099.1</v>
      </c>
      <c r="Z275">
        <v>10.19</v>
      </c>
      <c r="AA275">
        <v>10.19</v>
      </c>
      <c r="AB275" s="55">
        <f>B294</f>
        <v>1.0816045756921949E-5</v>
      </c>
      <c r="AC275" s="75">
        <f>D294</f>
        <v>1.0467893568344795E-5</v>
      </c>
    </row>
    <row r="276" spans="1:29" x14ac:dyDescent="0.25">
      <c r="A276">
        <v>150</v>
      </c>
      <c r="B276">
        <f>1/(A276*B278+B279)</f>
        <v>1.0876134575385289E-5</v>
      </c>
      <c r="C276" s="55">
        <v>1.3608000000000001E-7</v>
      </c>
      <c r="D276">
        <f>1/(A276*D278+D279)</f>
        <v>1.0089998282788024E-5</v>
      </c>
      <c r="E276" s="55">
        <v>1.2253E-7</v>
      </c>
      <c r="F276" t="s">
        <v>302</v>
      </c>
      <c r="R276" t="s">
        <v>34</v>
      </c>
      <c r="S276" t="s">
        <v>14</v>
      </c>
      <c r="T276" s="13">
        <v>5.6000000000000001E-2</v>
      </c>
      <c r="U276" s="42">
        <v>7.3800000000000004E-2</v>
      </c>
      <c r="V276" s="42">
        <v>5.8207120836519403E-2</v>
      </c>
      <c r="W276" s="42">
        <v>7.3579594377367802E-2</v>
      </c>
      <c r="X276">
        <v>123524.2</v>
      </c>
      <c r="Y276">
        <v>130299.7</v>
      </c>
      <c r="Z276">
        <v>10.19</v>
      </c>
      <c r="AA276">
        <v>10.19</v>
      </c>
      <c r="AB276">
        <f>B296</f>
        <v>1.0868029033039007E-5</v>
      </c>
      <c r="AC276">
        <f>D296</f>
        <v>1.0484077946722881E-5</v>
      </c>
    </row>
    <row r="277" spans="1:29" ht="15.75" thickBot="1" x14ac:dyDescent="0.3">
      <c r="C277" t="s">
        <v>334</v>
      </c>
      <c r="E277" t="s">
        <v>334</v>
      </c>
      <c r="Q277" s="64"/>
      <c r="R277" s="64"/>
      <c r="S277" s="64"/>
      <c r="T277" s="64"/>
      <c r="U277" s="64"/>
      <c r="V277" s="64"/>
      <c r="W277" s="64"/>
      <c r="X277" s="64"/>
      <c r="Y277" s="64"/>
    </row>
    <row r="278" spans="1:29" x14ac:dyDescent="0.25">
      <c r="A278" t="s">
        <v>140</v>
      </c>
      <c r="B278">
        <v>-122.56322937112201</v>
      </c>
      <c r="C278" s="92">
        <f>C270/B270</f>
        <v>7.9635741223180543E-3</v>
      </c>
      <c r="D278">
        <v>475.97459724354701</v>
      </c>
      <c r="E278" s="92">
        <f>E270/D270</f>
        <v>7.9320208487315101E-3</v>
      </c>
      <c r="F278" t="s">
        <v>302</v>
      </c>
      <c r="Q278" t="s">
        <v>325</v>
      </c>
      <c r="R278" t="s">
        <v>326</v>
      </c>
    </row>
    <row r="279" spans="1:29" x14ac:dyDescent="0.25">
      <c r="A279" t="s">
        <v>141</v>
      </c>
      <c r="B279">
        <v>110328.91494473</v>
      </c>
      <c r="C279" s="92">
        <f t="shared" ref="C279:C282" si="18">C271/B271</f>
        <v>7.6036586001496046E-3</v>
      </c>
      <c r="D279">
        <v>27711.855030863499</v>
      </c>
      <c r="E279" s="92">
        <f t="shared" ref="E279:E283" si="19">E271/D271</f>
        <v>7.5778385111128308E-3</v>
      </c>
      <c r="F279" t="s">
        <v>302</v>
      </c>
      <c r="Q279" t="s">
        <v>13</v>
      </c>
      <c r="X279" t="s">
        <v>13</v>
      </c>
      <c r="Y279">
        <v>10.19</v>
      </c>
    </row>
    <row r="280" spans="1:29" x14ac:dyDescent="0.25">
      <c r="C280" s="92">
        <f t="shared" si="18"/>
        <v>7.4237454540245183E-3</v>
      </c>
      <c r="E280" s="92">
        <f t="shared" si="19"/>
        <v>7.4685075175603246E-3</v>
      </c>
      <c r="Q280" t="s">
        <v>34</v>
      </c>
      <c r="X280" t="s">
        <v>34</v>
      </c>
      <c r="Y280">
        <v>10.19</v>
      </c>
    </row>
    <row r="281" spans="1:29" x14ac:dyDescent="0.25">
      <c r="A281">
        <v>146</v>
      </c>
      <c r="B281">
        <f>1/($A$281*B278+B279)</f>
        <v>1.0818449986580015E-5</v>
      </c>
      <c r="C281" s="92">
        <f t="shared" si="18"/>
        <v>7.8633561153497317E-3</v>
      </c>
      <c r="D281">
        <f>1/($A$281*D278+D279)</f>
        <v>1.0287627007700744E-5</v>
      </c>
      <c r="E281" s="92">
        <f t="shared" si="19"/>
        <v>7.8261607021235125E-3</v>
      </c>
      <c r="Q281" t="s">
        <v>14</v>
      </c>
      <c r="X281" t="s">
        <v>14</v>
      </c>
      <c r="Y281">
        <v>10.19</v>
      </c>
    </row>
    <row r="282" spans="1:29" x14ac:dyDescent="0.25">
      <c r="C282" s="92">
        <f t="shared" si="18"/>
        <v>7.429361253344504E-3</v>
      </c>
      <c r="E282" s="92">
        <f t="shared" si="19"/>
        <v>7.4172032961270871E-3</v>
      </c>
    </row>
    <row r="283" spans="1:29" x14ac:dyDescent="0.25">
      <c r="A283" t="s">
        <v>140</v>
      </c>
      <c r="B283" s="55">
        <v>-5.8674E-8</v>
      </c>
      <c r="C283" s="92">
        <f>C275/B275</f>
        <v>1.6272378705682378E-2</v>
      </c>
      <c r="D283" s="55">
        <v>-4.105E-8</v>
      </c>
      <c r="E283" s="92">
        <f t="shared" si="19"/>
        <v>1.5855912540799873E-2</v>
      </c>
      <c r="F283" t="s">
        <v>303</v>
      </c>
    </row>
    <row r="284" spans="1:29" x14ac:dyDescent="0.25">
      <c r="A284" t="s">
        <v>141</v>
      </c>
      <c r="B284" s="55">
        <v>1.9272000000000001E-5</v>
      </c>
      <c r="C284" s="55"/>
      <c r="D284" s="55">
        <f>0.000016247*H286</f>
        <v>1.6246999999999999E-5</v>
      </c>
      <c r="E284" s="55"/>
      <c r="F284" t="s">
        <v>303</v>
      </c>
    </row>
    <row r="285" spans="1:29" x14ac:dyDescent="0.25">
      <c r="V285" s="52"/>
    </row>
    <row r="286" spans="1:29" x14ac:dyDescent="0.25">
      <c r="A286">
        <v>144</v>
      </c>
      <c r="B286" s="55">
        <f>B283*A286+B284</f>
        <v>1.0822944000000001E-5</v>
      </c>
      <c r="C286" s="55"/>
      <c r="D286" s="55">
        <f>A286*D283+D284</f>
        <v>1.0335799999999999E-5</v>
      </c>
      <c r="E286" s="55"/>
      <c r="H286">
        <v>1</v>
      </c>
    </row>
    <row r="287" spans="1:29" x14ac:dyDescent="0.25">
      <c r="A287">
        <v>148</v>
      </c>
      <c r="B287" s="55">
        <f>A287*B283+B284</f>
        <v>1.0588248000000001E-5</v>
      </c>
      <c r="C287" s="55"/>
      <c r="D287" s="55">
        <f>A287*D283+D284</f>
        <v>1.0171599999999999E-5</v>
      </c>
      <c r="E287" s="55"/>
      <c r="L287" s="55"/>
    </row>
    <row r="288" spans="1:29" x14ac:dyDescent="0.25">
      <c r="A288">
        <v>150</v>
      </c>
      <c r="B288" s="55">
        <f>A288*B283+B284</f>
        <v>1.0470900000000002E-5</v>
      </c>
      <c r="C288" s="55"/>
      <c r="D288" s="55">
        <f>A288*D283+D284</f>
        <v>1.0089499999999999E-5</v>
      </c>
      <c r="E288" s="55"/>
    </row>
    <row r="289" spans="1:30" ht="15.75" thickBot="1" x14ac:dyDescent="0.3">
      <c r="B289" s="55"/>
      <c r="C289" s="55"/>
      <c r="D289" s="55"/>
      <c r="E289" s="55"/>
    </row>
    <row r="290" spans="1:30" ht="15.75" thickBot="1" x14ac:dyDescent="0.3">
      <c r="A290" s="64"/>
      <c r="B290" s="93" t="s">
        <v>329</v>
      </c>
      <c r="C290" s="94">
        <f>((MAX(B270:B276,D270:D276)-MIN(B270:B276,D270:D276))/AVERAGE(MAX(B270:B276,D270:D276),MIN(B270:B276,D270:D276)))</f>
        <v>7.499106276919372E-2</v>
      </c>
      <c r="D290" s="72" t="s">
        <v>331</v>
      </c>
      <c r="E290" s="95">
        <f>C290/G290</f>
        <v>9.373882846149215E-3</v>
      </c>
      <c r="F290" s="72" t="s">
        <v>330</v>
      </c>
      <c r="G290" s="73">
        <f>150-142</f>
        <v>8</v>
      </c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  <c r="AD290" s="64"/>
    </row>
    <row r="291" spans="1:30" ht="30.75" thickBot="1" x14ac:dyDescent="0.3">
      <c r="A291" t="s">
        <v>0</v>
      </c>
      <c r="B291" s="39" t="s">
        <v>214</v>
      </c>
      <c r="C291" s="77" t="s">
        <v>332</v>
      </c>
      <c r="D291" s="39" t="s">
        <v>215</v>
      </c>
      <c r="E291" s="77" t="s">
        <v>332</v>
      </c>
      <c r="R291" t="s">
        <v>315</v>
      </c>
      <c r="S291" t="s">
        <v>317</v>
      </c>
      <c r="T291" t="s">
        <v>316</v>
      </c>
      <c r="U291" t="s">
        <v>318</v>
      </c>
      <c r="V291" t="s">
        <v>337</v>
      </c>
      <c r="W291" t="s">
        <v>338</v>
      </c>
      <c r="X291" t="s">
        <v>319</v>
      </c>
      <c r="Y291" t="s">
        <v>320</v>
      </c>
      <c r="Z291" t="s">
        <v>343</v>
      </c>
      <c r="AA291" t="s">
        <v>344</v>
      </c>
      <c r="AB291" s="39" t="s">
        <v>346</v>
      </c>
      <c r="AC291" s="39" t="s">
        <v>345</v>
      </c>
    </row>
    <row r="292" spans="1:30" x14ac:dyDescent="0.25">
      <c r="A292">
        <v>144</v>
      </c>
      <c r="B292" s="55">
        <f>1/(A292*B300+B301)</f>
        <v>1.0713556927299841E-5</v>
      </c>
      <c r="C292" s="55">
        <v>6.3677785006574902E-7</v>
      </c>
      <c r="D292" s="55">
        <f>1/(A292*D300+D301)</f>
        <v>1.0435674254139442E-5</v>
      </c>
      <c r="E292" s="55">
        <v>6.8524435668711798E-7</v>
      </c>
      <c r="F292" t="s">
        <v>302</v>
      </c>
      <c r="J292" s="55"/>
      <c r="N292" s="65" t="s">
        <v>213</v>
      </c>
      <c r="R292" t="s">
        <v>14</v>
      </c>
      <c r="S292" t="s">
        <v>34</v>
      </c>
      <c r="T292">
        <v>3.0700000000000002E-2</v>
      </c>
      <c r="U292">
        <v>0.23799999999999999</v>
      </c>
      <c r="V292" s="42">
        <v>2.9382228289006499E-2</v>
      </c>
      <c r="W292" s="13">
        <v>0.23746200394873401</v>
      </c>
      <c r="X292">
        <v>252207.2</v>
      </c>
      <c r="Y292">
        <v>261595.6</v>
      </c>
      <c r="Z292">
        <v>10.19</v>
      </c>
      <c r="AA292">
        <v>10.19</v>
      </c>
      <c r="AB292">
        <f>B272</f>
        <v>1.0789836544917647E-5</v>
      </c>
      <c r="AC292">
        <f>D272</f>
        <v>1.0335799999999999E-5</v>
      </c>
    </row>
    <row r="293" spans="1:30" ht="15.75" thickBot="1" x14ac:dyDescent="0.3">
      <c r="A293">
        <v>147</v>
      </c>
      <c r="B293" s="55">
        <v>1.06345955256765E-5</v>
      </c>
      <c r="C293" s="55">
        <v>7.9725531406736302E-8</v>
      </c>
      <c r="D293" s="55">
        <v>1.0259183153756501E-5</v>
      </c>
      <c r="E293" s="55">
        <v>7.67388264779313E-8</v>
      </c>
      <c r="N293" s="66" t="s">
        <v>14</v>
      </c>
      <c r="R293" t="s">
        <v>14</v>
      </c>
      <c r="T293">
        <v>0.14990000000000001</v>
      </c>
      <c r="U293">
        <v>0</v>
      </c>
      <c r="V293" s="42">
        <v>0.146459253276505</v>
      </c>
      <c r="W293">
        <v>0</v>
      </c>
      <c r="X293">
        <v>140336.29999999999</v>
      </c>
      <c r="Y293">
        <v>145471.6</v>
      </c>
      <c r="Z293">
        <v>10.19</v>
      </c>
      <c r="AA293">
        <v>0</v>
      </c>
      <c r="AB293">
        <v>0</v>
      </c>
      <c r="AC293">
        <v>0</v>
      </c>
    </row>
    <row r="294" spans="1:30" x14ac:dyDescent="0.25">
      <c r="A294">
        <v>148</v>
      </c>
      <c r="B294" s="55">
        <f>1/(B300*A294+B301)</f>
        <v>1.0816045756921949E-5</v>
      </c>
      <c r="C294" s="55">
        <v>9.5141457876423596E-8</v>
      </c>
      <c r="D294" s="88">
        <f>1/(A294*D300+D301)</f>
        <v>1.0467893568344795E-5</v>
      </c>
      <c r="E294" s="89">
        <v>9.2525530951212805E-8</v>
      </c>
      <c r="F294" t="s">
        <v>302</v>
      </c>
      <c r="R294" t="s">
        <v>14</v>
      </c>
      <c r="S294" t="s">
        <v>34</v>
      </c>
      <c r="T294">
        <v>0.1124</v>
      </c>
      <c r="U294">
        <v>5.7000000000000002E-2</v>
      </c>
      <c r="V294" s="42">
        <v>0.110567465434891</v>
      </c>
      <c r="W294" s="13">
        <v>5.8454583117626302E-2</v>
      </c>
      <c r="X294">
        <v>159080.6</v>
      </c>
      <c r="Y294">
        <v>166099.1</v>
      </c>
      <c r="Z294">
        <v>10.19</v>
      </c>
      <c r="AA294">
        <v>10.19</v>
      </c>
      <c r="AB294">
        <f>B275</f>
        <v>1.0847215591065494E-5</v>
      </c>
      <c r="AC294">
        <f>D275</f>
        <v>1.0171599999999999E-5</v>
      </c>
    </row>
    <row r="295" spans="1:30" x14ac:dyDescent="0.25">
      <c r="A295">
        <v>149</v>
      </c>
      <c r="B295" s="55">
        <v>1.09939494992094E-5</v>
      </c>
      <c r="C295" s="55">
        <v>8.2972748907031597E-8</v>
      </c>
      <c r="D295" s="55">
        <v>1.0399682623398199E-5</v>
      </c>
      <c r="E295" s="55">
        <v>7.8193618154104498E-8</v>
      </c>
      <c r="R295" t="s">
        <v>14</v>
      </c>
      <c r="T295">
        <v>0.13819999999999999</v>
      </c>
      <c r="U295">
        <v>0</v>
      </c>
      <c r="V295" s="42">
        <v>0.13686808981332699</v>
      </c>
      <c r="W295">
        <v>0</v>
      </c>
      <c r="X295">
        <v>126859.4</v>
      </c>
      <c r="Y295">
        <v>134108.5</v>
      </c>
      <c r="Z295">
        <v>10.19</v>
      </c>
      <c r="AA295">
        <v>0</v>
      </c>
      <c r="AB295">
        <v>0</v>
      </c>
      <c r="AC295">
        <v>0</v>
      </c>
    </row>
    <row r="296" spans="1:30" x14ac:dyDescent="0.25">
      <c r="A296">
        <v>150</v>
      </c>
      <c r="B296" s="55">
        <f>1/(A296*B300+B301)</f>
        <v>1.0868029033039007E-5</v>
      </c>
      <c r="C296" s="55">
        <v>1.1173315857957099E-7</v>
      </c>
      <c r="D296" s="55">
        <f>1/(A296*D300+D301)</f>
        <v>1.0484077946722881E-5</v>
      </c>
      <c r="E296" s="55">
        <v>1.08807818824336E-7</v>
      </c>
      <c r="F296" t="s">
        <v>302</v>
      </c>
      <c r="R296" t="s">
        <v>14</v>
      </c>
      <c r="S296" t="s">
        <v>34</v>
      </c>
      <c r="T296">
        <v>7.3800000000000004E-2</v>
      </c>
      <c r="U296">
        <v>5.6000000000000001E-2</v>
      </c>
      <c r="V296" s="42">
        <v>7.3579594377367802E-2</v>
      </c>
      <c r="W296" s="13">
        <v>5.8207120836519403E-2</v>
      </c>
      <c r="X296">
        <v>123524.2</v>
      </c>
      <c r="Y296">
        <v>130299.7</v>
      </c>
      <c r="Z296">
        <v>10.19</v>
      </c>
      <c r="AA296">
        <v>10.19</v>
      </c>
      <c r="AB296">
        <f>B276</f>
        <v>1.0876134575385289E-5</v>
      </c>
      <c r="AC296">
        <f>D276</f>
        <v>1.0089998282788024E-5</v>
      </c>
    </row>
    <row r="297" spans="1:30" x14ac:dyDescent="0.25">
      <c r="A297">
        <v>152</v>
      </c>
      <c r="B297" s="55">
        <f>1/(A297*B300+B301)</f>
        <v>1.0920514398585715E-5</v>
      </c>
      <c r="C297" s="89">
        <v>8.0399617769644595E-8</v>
      </c>
      <c r="D297" s="52">
        <f>1/(A297*D300+D301)</f>
        <v>1.0500312447831847E-5</v>
      </c>
      <c r="E297" s="89">
        <v>7.7191647753708601E-8</v>
      </c>
      <c r="R297" t="s">
        <v>14</v>
      </c>
      <c r="S297" t="s">
        <v>35</v>
      </c>
      <c r="T297">
        <v>0.26750000000000002</v>
      </c>
      <c r="U297">
        <v>2E-3</v>
      </c>
      <c r="V297" s="42">
        <v>0.270263452298874</v>
      </c>
      <c r="W297" s="13">
        <v>1.93218112065523E-3</v>
      </c>
      <c r="X297">
        <v>254124.3</v>
      </c>
      <c r="Y297">
        <v>264231.8</v>
      </c>
      <c r="Z297">
        <v>10.19</v>
      </c>
      <c r="AA297">
        <v>10.19</v>
      </c>
      <c r="AB297">
        <f>B324</f>
        <v>1.0150033228050299E-5</v>
      </c>
      <c r="AC297">
        <f>D324</f>
        <v>1.006921370737483E-5</v>
      </c>
    </row>
    <row r="298" spans="1:30" x14ac:dyDescent="0.25">
      <c r="A298">
        <v>154</v>
      </c>
      <c r="B298" s="55">
        <f>1/(A298*B300+B301)</f>
        <v>1.0973509163138385E-5</v>
      </c>
      <c r="C298" s="55">
        <v>8.3096762666270998E-8</v>
      </c>
      <c r="D298" s="52">
        <f>1/(A298*D300+D301)</f>
        <v>1.0516597304876615E-5</v>
      </c>
      <c r="E298" s="55">
        <v>7.9448130157828502E-8</v>
      </c>
      <c r="R298" t="s">
        <v>14</v>
      </c>
      <c r="S298" t="s">
        <v>35</v>
      </c>
      <c r="T298">
        <v>0.22750000000000001</v>
      </c>
      <c r="U298">
        <v>2.18E-2</v>
      </c>
      <c r="V298" s="42">
        <v>0.23287991651002901</v>
      </c>
      <c r="W298" s="13">
        <v>2.1338184868860102E-2</v>
      </c>
      <c r="X298">
        <v>236974.6</v>
      </c>
      <c r="Y298">
        <v>246588.6</v>
      </c>
      <c r="Z298">
        <v>10.19</v>
      </c>
      <c r="AA298">
        <v>10.19</v>
      </c>
      <c r="AB298">
        <f>B325</f>
        <v>1.0492844352011717E-5</v>
      </c>
      <c r="AC298">
        <f>D325</f>
        <v>1.0383338595297007E-5</v>
      </c>
    </row>
    <row r="299" spans="1:30" ht="15.75" thickBot="1" x14ac:dyDescent="0.3">
      <c r="C299" t="s">
        <v>334</v>
      </c>
      <c r="E299" t="s">
        <v>334</v>
      </c>
      <c r="Q299" s="64"/>
      <c r="R299" s="64"/>
      <c r="S299" s="64"/>
      <c r="T299" s="64"/>
      <c r="U299" s="64"/>
      <c r="V299" s="64"/>
      <c r="W299" s="64"/>
      <c r="X299" s="64"/>
      <c r="Y299" s="64"/>
    </row>
    <row r="300" spans="1:30" x14ac:dyDescent="0.25">
      <c r="A300" t="s">
        <v>140</v>
      </c>
      <c r="B300">
        <v>-221.11303456460601</v>
      </c>
      <c r="C300" s="92">
        <f>C292/B292</f>
        <v>5.9436642226928217E-2</v>
      </c>
      <c r="D300">
        <v>-73.735476000216806</v>
      </c>
      <c r="E300" s="92">
        <f>E292/D292</f>
        <v>6.5663639933500911E-2</v>
      </c>
      <c r="F300" t="s">
        <v>302</v>
      </c>
      <c r="Q300" t="s">
        <v>325</v>
      </c>
      <c r="R300" t="s">
        <v>326</v>
      </c>
    </row>
    <row r="301" spans="1:30" x14ac:dyDescent="0.25">
      <c r="A301" t="s">
        <v>141</v>
      </c>
      <c r="B301">
        <v>125179.959286905</v>
      </c>
      <c r="C301" s="92">
        <f t="shared" ref="C301:E306" si="20">C293/B293</f>
        <v>7.4968089960962296E-3</v>
      </c>
      <c r="D301">
        <v>106443.053680517</v>
      </c>
      <c r="E301" s="92">
        <f t="shared" si="20"/>
        <v>7.4800133039668584E-3</v>
      </c>
      <c r="F301" t="s">
        <v>302</v>
      </c>
      <c r="Q301" t="s">
        <v>14</v>
      </c>
      <c r="X301" t="s">
        <v>14</v>
      </c>
      <c r="Y301">
        <v>10.19</v>
      </c>
    </row>
    <row r="302" spans="1:30" x14ac:dyDescent="0.25">
      <c r="C302" s="92">
        <f t="shared" si="20"/>
        <v>8.7963253868019071E-3</v>
      </c>
      <c r="E302" s="92">
        <f t="shared" si="20"/>
        <v>8.8389827759629315E-3</v>
      </c>
      <c r="Q302" t="s">
        <v>34</v>
      </c>
      <c r="X302" t="s">
        <v>34</v>
      </c>
      <c r="Y302">
        <v>10.19</v>
      </c>
    </row>
    <row r="303" spans="1:30" x14ac:dyDescent="0.25">
      <c r="A303">
        <v>149</v>
      </c>
      <c r="B303">
        <f>1/(A303*B300+B301)</f>
        <v>1.0841975085174271E-5</v>
      </c>
      <c r="C303" s="92">
        <f t="shared" si="20"/>
        <v>7.5471284376009149E-3</v>
      </c>
      <c r="D303">
        <f>1/(A303*D300+D301)</f>
        <v>1.0475979506711493E-5</v>
      </c>
      <c r="E303" s="92">
        <f t="shared" si="20"/>
        <v>7.5188465827002284E-3</v>
      </c>
      <c r="Q303" t="s">
        <v>35</v>
      </c>
      <c r="X303" t="s">
        <v>35</v>
      </c>
      <c r="Y303">
        <v>10.19</v>
      </c>
    </row>
    <row r="304" spans="1:30" x14ac:dyDescent="0.25">
      <c r="C304" s="92">
        <f t="shared" si="20"/>
        <v>1.0280903578735403E-2</v>
      </c>
      <c r="E304" s="92">
        <f t="shared" si="20"/>
        <v>1.0378387052945101E-2</v>
      </c>
    </row>
    <row r="305" spans="1:35" x14ac:dyDescent="0.25">
      <c r="A305" t="s">
        <v>140</v>
      </c>
      <c r="B305" s="55">
        <v>-3.3245999999999999E-8</v>
      </c>
      <c r="C305" s="92">
        <f t="shared" si="20"/>
        <v>7.3622555527289926E-3</v>
      </c>
      <c r="D305" s="55">
        <v>-2.9309999999999999E-8</v>
      </c>
      <c r="E305" s="92">
        <f t="shared" si="20"/>
        <v>7.3513667462007277E-3</v>
      </c>
      <c r="F305" t="s">
        <v>304</v>
      </c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</row>
    <row r="306" spans="1:35" x14ac:dyDescent="0.25">
      <c r="A306" t="s">
        <v>141</v>
      </c>
      <c r="B306" s="55">
        <v>1.5920999999999999E-5</v>
      </c>
      <c r="C306" s="92">
        <f t="shared" si="20"/>
        <v>7.5724876546697682E-3</v>
      </c>
      <c r="D306" s="55">
        <v>1.4898E-5</v>
      </c>
      <c r="E306" s="92">
        <f t="shared" si="20"/>
        <v>7.5545471462511822E-3</v>
      </c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</row>
    <row r="307" spans="1:35" x14ac:dyDescent="0.25"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</row>
    <row r="308" spans="1:35" x14ac:dyDescent="0.25">
      <c r="A308">
        <v>152</v>
      </c>
      <c r="B308" s="52">
        <f>A308*B305+B306</f>
        <v>1.0867607999999999E-5</v>
      </c>
      <c r="C308" s="52"/>
      <c r="D308" s="52">
        <f>A308*D305+D306</f>
        <v>1.044288E-5</v>
      </c>
      <c r="E308" s="52"/>
      <c r="F308" t="s">
        <v>306</v>
      </c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</row>
    <row r="309" spans="1:35" x14ac:dyDescent="0.25">
      <c r="A309">
        <v>154</v>
      </c>
      <c r="B309" s="52">
        <f>A309*B305+B306</f>
        <v>1.0801115999999999E-5</v>
      </c>
      <c r="C309" s="52"/>
      <c r="D309" s="52">
        <f>A309*D305+D306</f>
        <v>1.038426E-5</v>
      </c>
      <c r="E309" s="52"/>
      <c r="F309" t="s">
        <v>306</v>
      </c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</row>
    <row r="310" spans="1:35" x14ac:dyDescent="0.25"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</row>
    <row r="311" spans="1:35" x14ac:dyDescent="0.25">
      <c r="A311">
        <v>152</v>
      </c>
      <c r="B311">
        <f>1/(B300*A311+B301)</f>
        <v>1.0920514398585715E-5</v>
      </c>
      <c r="D311">
        <f>1/(A311*D300+D301)</f>
        <v>1.0500312447831847E-5</v>
      </c>
      <c r="F311" t="s">
        <v>305</v>
      </c>
      <c r="O311" s="13"/>
      <c r="P311" s="13"/>
      <c r="Q311" s="42"/>
      <c r="R311" s="42"/>
      <c r="S311" s="42"/>
      <c r="T311" s="13"/>
      <c r="U311" s="13"/>
      <c r="V311" s="13"/>
      <c r="W311" s="13"/>
      <c r="X311" s="13"/>
      <c r="Y311" s="13"/>
    </row>
    <row r="312" spans="1:35" x14ac:dyDescent="0.25">
      <c r="A312">
        <v>151</v>
      </c>
      <c r="B312">
        <f>1/(A312*B300+B301)</f>
        <v>1.0894208501086577E-5</v>
      </c>
      <c r="D312">
        <f>1/(A312*D300+D301)</f>
        <v>1.0492188917394526E-5</v>
      </c>
      <c r="F312" t="s">
        <v>305</v>
      </c>
      <c r="Q312" s="42"/>
      <c r="R312" s="42"/>
      <c r="S312" s="42"/>
    </row>
    <row r="313" spans="1:35" ht="16.5" customHeight="1" x14ac:dyDescent="0.25">
      <c r="Q313" s="13"/>
      <c r="R313" s="13"/>
      <c r="S313" s="13"/>
    </row>
    <row r="314" spans="1:35" ht="15.75" thickBot="1" x14ac:dyDescent="0.3"/>
    <row r="315" spans="1:35" ht="15.75" thickBot="1" x14ac:dyDescent="0.3">
      <c r="A315" s="64"/>
      <c r="B315" s="93" t="s">
        <v>329</v>
      </c>
      <c r="C315" s="94">
        <f>((MAX(B292:B298,D292:D298)-MIN(B292:B298,D292:D298))/AVERAGE(MAX(B292:B298,D292:D298),MIN(B292:B298,D292:D298)))</f>
        <v>6.9144286393033175E-2</v>
      </c>
      <c r="D315" s="72" t="s">
        <v>331</v>
      </c>
      <c r="E315" s="95">
        <f>C315/G315</f>
        <v>6.9144286393033171E-3</v>
      </c>
      <c r="F315" s="72" t="s">
        <v>330</v>
      </c>
      <c r="G315" s="73">
        <f>154-144</f>
        <v>10</v>
      </c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  <c r="AD315" s="64"/>
    </row>
    <row r="316" spans="1:35" ht="45.75" thickBot="1" x14ac:dyDescent="0.3">
      <c r="A316" t="s">
        <v>0</v>
      </c>
      <c r="B316" s="39" t="s">
        <v>219</v>
      </c>
      <c r="C316" s="77" t="s">
        <v>332</v>
      </c>
      <c r="D316" s="39" t="s">
        <v>220</v>
      </c>
      <c r="E316" s="77" t="s">
        <v>332</v>
      </c>
      <c r="F316" s="39" t="s">
        <v>217</v>
      </c>
      <c r="G316" s="77" t="s">
        <v>332</v>
      </c>
      <c r="H316" s="39" t="s">
        <v>218</v>
      </c>
      <c r="I316" s="77" t="s">
        <v>332</v>
      </c>
      <c r="R316" t="s">
        <v>315</v>
      </c>
      <c r="S316" t="s">
        <v>317</v>
      </c>
      <c r="T316" t="s">
        <v>316</v>
      </c>
      <c r="U316" t="s">
        <v>318</v>
      </c>
      <c r="V316" t="s">
        <v>337</v>
      </c>
      <c r="W316" t="s">
        <v>338</v>
      </c>
      <c r="X316" t="s">
        <v>319</v>
      </c>
      <c r="Y316" t="s">
        <v>320</v>
      </c>
      <c r="Z316" t="s">
        <v>343</v>
      </c>
      <c r="AA316" t="s">
        <v>344</v>
      </c>
      <c r="AB316" s="39" t="s">
        <v>346</v>
      </c>
      <c r="AC316" s="39" t="s">
        <v>345</v>
      </c>
      <c r="AD316" t="s">
        <v>319</v>
      </c>
      <c r="AE316" t="s">
        <v>320</v>
      </c>
      <c r="AF316" t="s">
        <v>343</v>
      </c>
      <c r="AG316" t="s">
        <v>344</v>
      </c>
      <c r="AH316" s="39" t="s">
        <v>346</v>
      </c>
      <c r="AI316" s="39" t="s">
        <v>345</v>
      </c>
    </row>
    <row r="317" spans="1:35" x14ac:dyDescent="0.25">
      <c r="A317">
        <v>151</v>
      </c>
      <c r="B317" s="8">
        <v>1.0466337111527967E-5</v>
      </c>
      <c r="C317" s="56">
        <v>7.0890999999999996E-8</v>
      </c>
      <c r="D317" s="8">
        <v>9.1121439314808324E-6</v>
      </c>
      <c r="E317" s="56">
        <v>6.1551999999999994E-8</v>
      </c>
      <c r="F317" s="8">
        <v>1.0880387801270742E-5</v>
      </c>
      <c r="G317" s="56">
        <v>7.7937000000000005E-8</v>
      </c>
      <c r="H317" s="8">
        <v>1.0186175230752094E-5</v>
      </c>
      <c r="I317" s="55">
        <v>7.2862999999999995E-8</v>
      </c>
      <c r="N317" s="65" t="s">
        <v>216</v>
      </c>
      <c r="R317" t="s">
        <v>27</v>
      </c>
      <c r="T317">
        <v>0.47810000000000002</v>
      </c>
      <c r="U317">
        <v>0</v>
      </c>
      <c r="V317">
        <v>0.47481000000000001</v>
      </c>
      <c r="W317">
        <v>0</v>
      </c>
      <c r="X317">
        <v>524403.9</v>
      </c>
      <c r="Y317">
        <v>602337.69999999995</v>
      </c>
      <c r="Z317">
        <v>11.48</v>
      </c>
      <c r="AA317">
        <v>0</v>
      </c>
      <c r="AB317">
        <v>0</v>
      </c>
      <c r="AC317">
        <v>0</v>
      </c>
      <c r="AD317">
        <v>447763.4</v>
      </c>
      <c r="AE317">
        <v>478279.5</v>
      </c>
      <c r="AF317">
        <v>10.19</v>
      </c>
      <c r="AG317">
        <v>0</v>
      </c>
      <c r="AH317">
        <v>0</v>
      </c>
      <c r="AI317">
        <v>0</v>
      </c>
    </row>
    <row r="318" spans="1:35" ht="15.75" thickBot="1" x14ac:dyDescent="0.3">
      <c r="A318">
        <v>153</v>
      </c>
      <c r="B318" s="8">
        <v>1.0199865134743534E-5</v>
      </c>
      <c r="C318" s="56">
        <v>6.8931999999999998E-8</v>
      </c>
      <c r="D318" s="8">
        <v>8.8981000721630706E-6</v>
      </c>
      <c r="E318" s="56">
        <v>5.9990999999999998E-8</v>
      </c>
      <c r="F318" s="8">
        <v>1.0532828533396552E-5</v>
      </c>
      <c r="G318" s="56">
        <v>7.5261000000000001E-8</v>
      </c>
      <c r="H318" s="8">
        <v>1.011210213134527E-5</v>
      </c>
      <c r="I318" s="55">
        <v>7.2198999999999997E-8</v>
      </c>
      <c r="N318" s="66" t="s">
        <v>27</v>
      </c>
      <c r="R318" t="s">
        <v>27</v>
      </c>
      <c r="T318">
        <v>0.52190000000000003</v>
      </c>
      <c r="U318">
        <v>0</v>
      </c>
      <c r="V318">
        <v>0.52518600000000004</v>
      </c>
      <c r="W318">
        <v>0</v>
      </c>
      <c r="X318">
        <v>587401.1</v>
      </c>
      <c r="Y318">
        <v>673336.1</v>
      </c>
      <c r="Z318">
        <v>11.48</v>
      </c>
      <c r="AA318">
        <v>0</v>
      </c>
      <c r="AB318">
        <v>0</v>
      </c>
      <c r="AC318">
        <v>0</v>
      </c>
      <c r="AD318">
        <v>504912.9</v>
      </c>
      <c r="AE318">
        <v>525920.4</v>
      </c>
      <c r="AF318">
        <v>10.19</v>
      </c>
      <c r="AG318">
        <v>0</v>
      </c>
      <c r="AH318">
        <v>0</v>
      </c>
      <c r="AI318">
        <v>0</v>
      </c>
    </row>
    <row r="319" spans="1:35" ht="15.75" thickBot="1" x14ac:dyDescent="0.3">
      <c r="B319" s="8"/>
      <c r="C319" t="s">
        <v>334</v>
      </c>
      <c r="D319" s="8"/>
      <c r="E319" t="s">
        <v>334</v>
      </c>
      <c r="F319" s="8"/>
      <c r="G319" t="s">
        <v>334</v>
      </c>
      <c r="H319" s="8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spans="1:35" x14ac:dyDescent="0.25">
      <c r="B320" s="8"/>
      <c r="C320" s="96">
        <f>C317/B317</f>
        <v>6.7732387409840181E-3</v>
      </c>
      <c r="D320" s="96"/>
      <c r="E320" s="96">
        <f>E317/D317</f>
        <v>6.7549415881534543E-3</v>
      </c>
      <c r="F320" s="96"/>
      <c r="G320" s="96">
        <f t="shared" ref="G320" si="21">G317/F317</f>
        <v>7.1630718889355753E-3</v>
      </c>
      <c r="H320" s="8"/>
      <c r="Q320" t="s">
        <v>325</v>
      </c>
      <c r="R320" t="s">
        <v>326</v>
      </c>
      <c r="X320" t="s">
        <v>27</v>
      </c>
      <c r="Y320" t="s">
        <v>27</v>
      </c>
      <c r="Z320" t="s">
        <v>27</v>
      </c>
      <c r="AA320" t="s">
        <v>27</v>
      </c>
    </row>
    <row r="321" spans="1:30" ht="15.75" thickBot="1" x14ac:dyDescent="0.3">
      <c r="B321" s="8"/>
      <c r="C321" s="8"/>
      <c r="D321" s="8"/>
      <c r="E321" s="8"/>
      <c r="F321" s="8"/>
      <c r="G321" s="8"/>
      <c r="H321" s="8"/>
      <c r="Q321" t="s">
        <v>27</v>
      </c>
      <c r="X321">
        <v>11.48</v>
      </c>
      <c r="Y321">
        <v>11.48</v>
      </c>
      <c r="Z321">
        <v>10.19</v>
      </c>
      <c r="AA321">
        <v>10.19</v>
      </c>
    </row>
    <row r="322" spans="1:30" ht="15.75" thickBot="1" x14ac:dyDescent="0.3">
      <c r="A322" s="64"/>
      <c r="B322" s="93" t="s">
        <v>329</v>
      </c>
      <c r="C322" s="94">
        <f>((MAX(B317:B318,D317:D318,F317:F318,H317:H318)-MIN(B317:B318,D317:D318,F317:F318,H317:H318))/AVERAGE(MAX(B317:B318,D317:D318,F317:F318,H317:H318),MIN(B317:B318,D317:D318,F317:F318,H317:H318)))</f>
        <v>0.20044886563550213</v>
      </c>
      <c r="D322" s="72" t="s">
        <v>331</v>
      </c>
      <c r="E322" s="95">
        <f>C322/G322</f>
        <v>0.10022443281775106</v>
      </c>
      <c r="F322" s="72" t="s">
        <v>330</v>
      </c>
      <c r="G322" s="73">
        <f>153-151</f>
        <v>2</v>
      </c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  <c r="AD322" s="64"/>
    </row>
    <row r="323" spans="1:30" ht="30.75" thickBot="1" x14ac:dyDescent="0.3">
      <c r="A323" t="s">
        <v>0</v>
      </c>
      <c r="B323" s="39" t="s">
        <v>223</v>
      </c>
      <c r="C323" s="77" t="s">
        <v>332</v>
      </c>
      <c r="D323" s="39" t="s">
        <v>224</v>
      </c>
      <c r="E323" s="77" t="s">
        <v>332</v>
      </c>
      <c r="R323" t="s">
        <v>315</v>
      </c>
      <c r="S323" t="s">
        <v>317</v>
      </c>
      <c r="T323" t="s">
        <v>316</v>
      </c>
      <c r="U323" t="s">
        <v>318</v>
      </c>
      <c r="V323" t="s">
        <v>337</v>
      </c>
      <c r="W323" t="s">
        <v>338</v>
      </c>
      <c r="X323" t="s">
        <v>319</v>
      </c>
      <c r="Y323" t="s">
        <v>320</v>
      </c>
      <c r="Z323" t="s">
        <v>343</v>
      </c>
      <c r="AA323" t="s">
        <v>344</v>
      </c>
      <c r="AB323" s="39" t="s">
        <v>346</v>
      </c>
      <c r="AC323" s="39" t="s">
        <v>345</v>
      </c>
    </row>
    <row r="324" spans="1:30" x14ac:dyDescent="0.25">
      <c r="A324">
        <v>152</v>
      </c>
      <c r="B324" s="55">
        <f>B340</f>
        <v>1.0150033228050299E-5</v>
      </c>
      <c r="C324" s="55">
        <v>9.6167026114483507E-6</v>
      </c>
      <c r="D324" s="56">
        <f>D340</f>
        <v>1.006921370737483E-5</v>
      </c>
      <c r="E324" s="56">
        <v>9.8282915960159708E-6</v>
      </c>
      <c r="F324" t="s">
        <v>302</v>
      </c>
      <c r="N324" s="65" t="s">
        <v>222</v>
      </c>
      <c r="R324" t="s">
        <v>35</v>
      </c>
      <c r="S324" t="s">
        <v>14</v>
      </c>
      <c r="T324">
        <v>2E-3</v>
      </c>
      <c r="U324">
        <v>0.26750000000000002</v>
      </c>
      <c r="V324" s="42">
        <v>1.93218112065523E-3</v>
      </c>
      <c r="W324" s="42">
        <v>0.270263452298874</v>
      </c>
      <c r="X324">
        <v>254124.3</v>
      </c>
      <c r="Y324">
        <v>264231.8</v>
      </c>
      <c r="Z324">
        <v>10.19</v>
      </c>
      <c r="AA324">
        <v>10.19</v>
      </c>
      <c r="AB324">
        <f>B297</f>
        <v>1.0920514398585715E-5</v>
      </c>
      <c r="AC324" s="52">
        <f>D297</f>
        <v>1.0500312447831847E-5</v>
      </c>
    </row>
    <row r="325" spans="1:30" ht="15.75" thickBot="1" x14ac:dyDescent="0.3">
      <c r="A325">
        <v>154</v>
      </c>
      <c r="B325" s="56">
        <f>B341</f>
        <v>1.0492844352011717E-5</v>
      </c>
      <c r="C325" s="56">
        <v>8.09091017112891E-7</v>
      </c>
      <c r="D325" s="56">
        <f>D341</f>
        <v>1.0383338595297007E-5</v>
      </c>
      <c r="E325" s="91">
        <v>8.2478135471388704E-7</v>
      </c>
      <c r="F325" t="s">
        <v>302</v>
      </c>
      <c r="N325" s="66" t="s">
        <v>35</v>
      </c>
      <c r="R325" t="s">
        <v>35</v>
      </c>
      <c r="S325" t="s">
        <v>14</v>
      </c>
      <c r="T325">
        <v>2.18E-2</v>
      </c>
      <c r="U325">
        <v>0.22750000000000001</v>
      </c>
      <c r="V325" s="42">
        <v>2.1338184868860102E-2</v>
      </c>
      <c r="W325" s="42">
        <v>0.23287991651002901</v>
      </c>
      <c r="X325">
        <v>236974.6</v>
      </c>
      <c r="Y325">
        <v>246588.6</v>
      </c>
      <c r="Z325">
        <v>10.19</v>
      </c>
      <c r="AA325">
        <v>10.19</v>
      </c>
      <c r="AB325">
        <f>B298</f>
        <v>1.0973509163138385E-5</v>
      </c>
      <c r="AC325" s="52">
        <f>D298</f>
        <v>1.0516597304876615E-5</v>
      </c>
    </row>
    <row r="326" spans="1:30" x14ac:dyDescent="0.25">
      <c r="A326">
        <v>155</v>
      </c>
      <c r="B326" s="55">
        <v>1.0612047867096799E-5</v>
      </c>
      <c r="C326" s="55">
        <v>7.9568295846215494E-8</v>
      </c>
      <c r="D326" s="56">
        <v>9.9179016460424607E-6</v>
      </c>
      <c r="E326" s="56">
        <v>7.4054006836907004E-8</v>
      </c>
      <c r="R326" t="s">
        <v>35</v>
      </c>
      <c r="T326">
        <v>0.14799999999999999</v>
      </c>
      <c r="V326" s="42">
        <v>0.14580755872286699</v>
      </c>
      <c r="W326" s="13"/>
      <c r="X326">
        <v>140008.70000000001</v>
      </c>
      <c r="Y326">
        <v>149807.79999999999</v>
      </c>
      <c r="Z326">
        <v>10.19</v>
      </c>
    </row>
    <row r="327" spans="1:30" x14ac:dyDescent="0.25">
      <c r="A327">
        <v>156</v>
      </c>
      <c r="B327" s="56">
        <f>B342</f>
        <v>1.0859621378950427E-5</v>
      </c>
      <c r="C327" s="90">
        <v>8.0513834955659095E-8</v>
      </c>
      <c r="D327" s="56">
        <f>D342</f>
        <v>1.0717693836225371E-5</v>
      </c>
      <c r="E327" s="90">
        <v>7.4616988103234306E-8</v>
      </c>
      <c r="F327" t="s">
        <v>302</v>
      </c>
      <c r="R327" t="s">
        <v>35</v>
      </c>
      <c r="S327" t="s">
        <v>15</v>
      </c>
      <c r="T327">
        <v>0.20469999999999999</v>
      </c>
      <c r="U327">
        <v>5.9999999999999995E-4</v>
      </c>
      <c r="V327" s="42">
        <v>0.20296869839340301</v>
      </c>
      <c r="W327" s="42">
        <v>5.7573093352979599E-4</v>
      </c>
      <c r="X327">
        <v>189949.3</v>
      </c>
      <c r="Y327">
        <v>204256.2</v>
      </c>
      <c r="Z327">
        <v>10.19</v>
      </c>
      <c r="AA327">
        <v>10.19</v>
      </c>
      <c r="AB327" s="55">
        <f>B352</f>
        <v>1.102E-5</v>
      </c>
      <c r="AC327" s="55">
        <f>D352</f>
        <v>1.0271E-5</v>
      </c>
    </row>
    <row r="328" spans="1:30" x14ac:dyDescent="0.25">
      <c r="A328">
        <v>157</v>
      </c>
      <c r="B328" s="55">
        <v>1.05061675257603E-5</v>
      </c>
      <c r="C328" s="55">
        <v>7.8394749256456798E-8</v>
      </c>
      <c r="D328" s="56">
        <v>9.8216630922117606E-6</v>
      </c>
      <c r="E328" s="56">
        <v>7.3003497599414298E-8</v>
      </c>
      <c r="R328" t="s">
        <v>35</v>
      </c>
      <c r="T328">
        <v>0.1565</v>
      </c>
      <c r="V328" s="42">
        <v>0.15617340731214499</v>
      </c>
      <c r="W328" s="13"/>
      <c r="X328">
        <v>151473.60000000001</v>
      </c>
      <c r="Y328">
        <v>162030.29999999999</v>
      </c>
      <c r="Z328">
        <v>10.19</v>
      </c>
    </row>
    <row r="329" spans="1:30" x14ac:dyDescent="0.25">
      <c r="A329">
        <v>158</v>
      </c>
      <c r="B329" s="55">
        <f>B343</f>
        <v>1.1252968521052586E-5</v>
      </c>
      <c r="C329" s="55">
        <v>8.2453061122813795E-8</v>
      </c>
      <c r="D329" s="55">
        <f>D343</f>
        <v>1.1074298776092218E-5</v>
      </c>
      <c r="E329" s="55">
        <v>8.0800108291421901E-8</v>
      </c>
      <c r="F329" t="s">
        <v>302</v>
      </c>
      <c r="R329" t="s">
        <v>35</v>
      </c>
      <c r="S329" t="s">
        <v>15</v>
      </c>
      <c r="T329">
        <v>0.24840000000000001</v>
      </c>
      <c r="U329">
        <v>1E-3</v>
      </c>
      <c r="V329" s="42">
        <v>0.24946148182435801</v>
      </c>
      <c r="W329">
        <v>9.7186025469135704E-4</v>
      </c>
      <c r="X329">
        <v>226117.6</v>
      </c>
      <c r="Y329">
        <v>239825.3</v>
      </c>
      <c r="Z329">
        <v>10.19</v>
      </c>
      <c r="AA329">
        <v>10.19</v>
      </c>
      <c r="AB329">
        <f>B353</f>
        <v>4.4904474959116052E-5</v>
      </c>
      <c r="AC329" s="55">
        <f>D353</f>
        <v>1.0606000000000001E-6</v>
      </c>
    </row>
    <row r="330" spans="1:30" x14ac:dyDescent="0.25">
      <c r="A330">
        <v>160</v>
      </c>
      <c r="B330" s="55">
        <f>B344</f>
        <v>1.1675881480120483E-5</v>
      </c>
      <c r="C330" s="55">
        <v>8.7312208879413304E-8</v>
      </c>
      <c r="D330" s="55">
        <f>D344</f>
        <v>1.1455450765870417E-5</v>
      </c>
      <c r="E330" s="55">
        <v>8.5800448165746704E-8</v>
      </c>
      <c r="F330" t="s">
        <v>302</v>
      </c>
      <c r="R330" t="s">
        <v>35</v>
      </c>
      <c r="S330" t="s">
        <v>15</v>
      </c>
      <c r="T330">
        <v>0.21859999999999999</v>
      </c>
      <c r="U330">
        <v>2.3400000000000001E-2</v>
      </c>
      <c r="V330" s="42">
        <v>0.22231848775771201</v>
      </c>
      <c r="W330" s="42">
        <v>2.3029648841635799E-2</v>
      </c>
      <c r="X330">
        <v>224639.7</v>
      </c>
      <c r="Y330">
        <v>233891.7</v>
      </c>
      <c r="Z330">
        <v>10.19</v>
      </c>
      <c r="AA330">
        <v>10.19</v>
      </c>
      <c r="AB330">
        <f>B354</f>
        <v>7.6656083066137958E-6</v>
      </c>
      <c r="AC330">
        <f>D354</f>
        <v>6.494842035019293E-6</v>
      </c>
    </row>
    <row r="331" spans="1:30" ht="15.75" thickBot="1" x14ac:dyDescent="0.3">
      <c r="C331" t="s">
        <v>334</v>
      </c>
      <c r="E331" t="s">
        <v>334</v>
      </c>
      <c r="Q331" s="64"/>
      <c r="R331" s="64"/>
      <c r="S331" s="64"/>
      <c r="T331" s="64"/>
      <c r="U331" s="64"/>
      <c r="V331" s="64"/>
      <c r="W331" s="64"/>
      <c r="X331" s="64"/>
      <c r="Y331" s="64"/>
    </row>
    <row r="332" spans="1:30" x14ac:dyDescent="0.25">
      <c r="A332" t="s">
        <v>140</v>
      </c>
      <c r="B332">
        <v>-1609.4008102724899</v>
      </c>
      <c r="C332" s="92">
        <f>C324/B324</f>
        <v>0.94745528368044618</v>
      </c>
      <c r="D332">
        <v>-1502.2415723179299</v>
      </c>
      <c r="E332" s="92">
        <f>E324/D324</f>
        <v>0.97607339377627822</v>
      </c>
      <c r="F332" t="s">
        <v>302</v>
      </c>
      <c r="Q332" t="s">
        <v>325</v>
      </c>
      <c r="R332" t="s">
        <v>326</v>
      </c>
    </row>
    <row r="333" spans="1:30" x14ac:dyDescent="0.25">
      <c r="A333" t="s">
        <v>141</v>
      </c>
      <c r="B333">
        <v>343150.76811818499</v>
      </c>
      <c r="C333" s="92">
        <f t="shared" ref="C333:E338" si="22">C325/B325</f>
        <v>7.7108836266857411E-2</v>
      </c>
      <c r="D333">
        <v>327653.33952669601</v>
      </c>
      <c r="E333" s="92">
        <f t="shared" si="22"/>
        <v>7.9433156026276625E-2</v>
      </c>
      <c r="F333" t="s">
        <v>302</v>
      </c>
      <c r="Q333" t="s">
        <v>14</v>
      </c>
      <c r="X333" t="s">
        <v>14</v>
      </c>
      <c r="Y333">
        <v>10.19</v>
      </c>
    </row>
    <row r="334" spans="1:30" x14ac:dyDescent="0.25">
      <c r="C334" s="92">
        <f t="shared" si="22"/>
        <v>7.4979209331425172E-3</v>
      </c>
      <c r="E334" s="92">
        <f t="shared" si="22"/>
        <v>7.4667010704282154E-3</v>
      </c>
      <c r="Q334" t="s">
        <v>15</v>
      </c>
      <c r="X334" t="s">
        <v>15</v>
      </c>
      <c r="Y334">
        <v>10.19</v>
      </c>
    </row>
    <row r="335" spans="1:30" x14ac:dyDescent="0.25">
      <c r="A335">
        <v>155</v>
      </c>
      <c r="B335">
        <f>1/($A$335*B332+B333)</f>
        <v>1.0673082751831787E-5</v>
      </c>
      <c r="C335" s="92">
        <f t="shared" si="22"/>
        <v>7.4140554395130016E-3</v>
      </c>
      <c r="D335">
        <f>1/($A$335*D332+D333)</f>
        <v>1.054786721203355E-5</v>
      </c>
      <c r="E335" s="92">
        <f t="shared" si="22"/>
        <v>6.9620376587948346E-3</v>
      </c>
      <c r="Q335" t="s">
        <v>35</v>
      </c>
      <c r="X335" t="s">
        <v>35</v>
      </c>
      <c r="Y335">
        <v>10.19</v>
      </c>
    </row>
    <row r="336" spans="1:30" x14ac:dyDescent="0.25">
      <c r="C336" s="92">
        <f t="shared" si="22"/>
        <v>7.461783667949232E-3</v>
      </c>
      <c r="E336" s="92">
        <f t="shared" si="22"/>
        <v>7.432905905447271E-3</v>
      </c>
    </row>
    <row r="337" spans="1:30" x14ac:dyDescent="0.25">
      <c r="A337" t="s">
        <v>140</v>
      </c>
      <c r="B337" s="55"/>
      <c r="C337" s="92">
        <f t="shared" si="22"/>
        <v>7.3272275638696319E-3</v>
      </c>
      <c r="D337" s="55"/>
      <c r="E337" s="92">
        <f t="shared" si="22"/>
        <v>7.2961828035430516E-3</v>
      </c>
      <c r="F337" t="s">
        <v>308</v>
      </c>
    </row>
    <row r="338" spans="1:30" x14ac:dyDescent="0.25">
      <c r="A338" t="s">
        <v>141</v>
      </c>
      <c r="B338" s="55"/>
      <c r="C338" s="92">
        <f t="shared" si="22"/>
        <v>7.4779971883127006E-3</v>
      </c>
      <c r="D338" s="55"/>
      <c r="E338" s="92">
        <f t="shared" si="22"/>
        <v>7.4899233490989866E-3</v>
      </c>
      <c r="F338" t="s">
        <v>308</v>
      </c>
    </row>
    <row r="339" spans="1:30" x14ac:dyDescent="0.25">
      <c r="B339" s="55"/>
      <c r="C339" s="92"/>
      <c r="D339" s="55"/>
      <c r="E339" s="55"/>
      <c r="Q339" s="42"/>
      <c r="R339" s="42"/>
      <c r="S339" s="42"/>
      <c r="T339" s="42"/>
      <c r="U339" s="42"/>
      <c r="V339" s="42"/>
      <c r="W339" s="42"/>
      <c r="X339" s="42"/>
      <c r="Y339" s="42"/>
    </row>
    <row r="340" spans="1:30" x14ac:dyDescent="0.25">
      <c r="A340">
        <v>152</v>
      </c>
      <c r="B340">
        <f t="shared" ref="B340:D341" si="23">1/($A340*B$332+B$333)</f>
        <v>1.0150033228050299E-5</v>
      </c>
      <c r="C340" s="92"/>
      <c r="D340">
        <f t="shared" si="23"/>
        <v>1.006921370737483E-5</v>
      </c>
      <c r="Q340" s="42"/>
      <c r="R340" s="42"/>
      <c r="S340" s="42"/>
      <c r="T340" s="42"/>
      <c r="U340" s="42"/>
      <c r="V340" s="42"/>
      <c r="W340" s="42"/>
      <c r="X340" s="42"/>
      <c r="Y340" s="42"/>
    </row>
    <row r="341" spans="1:30" x14ac:dyDescent="0.25">
      <c r="A341">
        <v>154</v>
      </c>
      <c r="B341">
        <f t="shared" si="23"/>
        <v>1.0492844352011717E-5</v>
      </c>
      <c r="D341">
        <f t="shared" si="23"/>
        <v>1.0383338595297007E-5</v>
      </c>
      <c r="Q341" s="42"/>
      <c r="R341" s="42"/>
      <c r="S341" s="42"/>
      <c r="T341" s="42"/>
      <c r="U341" s="42"/>
      <c r="V341" s="42"/>
      <c r="W341" s="42"/>
      <c r="X341" s="42"/>
      <c r="Y341" s="42"/>
    </row>
    <row r="342" spans="1:30" x14ac:dyDescent="0.25">
      <c r="A342">
        <v>156</v>
      </c>
      <c r="B342">
        <f>1/($A342*B$332+B$333)</f>
        <v>1.0859621378950427E-5</v>
      </c>
      <c r="D342">
        <f>1/($A342*D$332+D$333)</f>
        <v>1.0717693836225371E-5</v>
      </c>
      <c r="F342" t="s">
        <v>302</v>
      </c>
      <c r="Q342" s="42"/>
      <c r="R342" s="42"/>
      <c r="S342" s="42"/>
      <c r="T342" s="42"/>
      <c r="U342" s="42"/>
      <c r="V342" s="42"/>
      <c r="W342" s="42"/>
      <c r="X342" s="42"/>
      <c r="Y342" s="42"/>
    </row>
    <row r="343" spans="1:30" x14ac:dyDescent="0.25">
      <c r="A343">
        <v>158</v>
      </c>
      <c r="B343">
        <f t="shared" ref="B343" si="24">1/($A343*B$332+B$333)</f>
        <v>1.1252968521052586E-5</v>
      </c>
      <c r="D343">
        <f>1/($A343*D$332+D$333)</f>
        <v>1.1074298776092218E-5</v>
      </c>
      <c r="F343" t="s">
        <v>302</v>
      </c>
      <c r="Q343" s="42"/>
      <c r="R343" s="42"/>
      <c r="S343" s="42"/>
      <c r="T343" s="42"/>
      <c r="U343" s="42"/>
      <c r="V343" s="42"/>
      <c r="W343" s="42"/>
      <c r="X343" s="42"/>
      <c r="Y343" s="42"/>
    </row>
    <row r="344" spans="1:30" x14ac:dyDescent="0.25">
      <c r="A344">
        <v>160</v>
      </c>
      <c r="B344">
        <f>1/($A344*B$332+B$333)</f>
        <v>1.1675881480120483E-5</v>
      </c>
      <c r="D344">
        <f>1/($A344*D$332+D$333)</f>
        <v>1.1455450765870417E-5</v>
      </c>
      <c r="F344" t="s">
        <v>302</v>
      </c>
      <c r="Q344" s="42"/>
      <c r="R344" s="42"/>
      <c r="S344" s="42"/>
      <c r="T344" s="42"/>
      <c r="U344" s="42"/>
      <c r="V344" s="42"/>
      <c r="W344" s="42"/>
      <c r="X344" s="42"/>
      <c r="Y344" s="42"/>
    </row>
    <row r="345" spans="1:30" x14ac:dyDescent="0.25">
      <c r="Q345" s="13"/>
      <c r="R345" s="13"/>
      <c r="S345" s="13"/>
      <c r="T345" s="13"/>
      <c r="U345" s="13"/>
      <c r="V345" s="13"/>
      <c r="W345" s="13"/>
      <c r="X345" s="13"/>
      <c r="Y345" s="13"/>
    </row>
    <row r="346" spans="1:30" x14ac:dyDescent="0.25">
      <c r="A346">
        <v>156</v>
      </c>
      <c r="B346">
        <f>($A346*B$337+B$338)</f>
        <v>0</v>
      </c>
      <c r="D346">
        <f>($A346*D$337+D$338)</f>
        <v>0</v>
      </c>
      <c r="F346" t="s">
        <v>307</v>
      </c>
      <c r="J346">
        <v>1.1013500864335813E-5</v>
      </c>
      <c r="K346">
        <v>1.0242075440956102E-5</v>
      </c>
      <c r="L346" t="s">
        <v>310</v>
      </c>
    </row>
    <row r="347" spans="1:30" x14ac:dyDescent="0.25">
      <c r="A347">
        <v>158</v>
      </c>
      <c r="B347">
        <f t="shared" ref="B347" si="25">($A347*B$337+B$338)</f>
        <v>0</v>
      </c>
      <c r="D347">
        <f>($A347*D$337+D$338)</f>
        <v>0</v>
      </c>
      <c r="F347" t="s">
        <v>307</v>
      </c>
      <c r="J347">
        <v>1.1239224410523449E-5</v>
      </c>
      <c r="K347">
        <v>1.0596821052923017E-5</v>
      </c>
      <c r="L347" t="s">
        <v>310</v>
      </c>
    </row>
    <row r="348" spans="1:30" x14ac:dyDescent="0.25">
      <c r="A348">
        <v>160</v>
      </c>
      <c r="B348">
        <f>($A348*B$337+B$338)</f>
        <v>0</v>
      </c>
      <c r="D348">
        <f>($A348*D$337+D$338)</f>
        <v>0</v>
      </c>
      <c r="F348" t="s">
        <v>307</v>
      </c>
    </row>
    <row r="349" spans="1:30" ht="15.75" thickBot="1" x14ac:dyDescent="0.3"/>
    <row r="350" spans="1:30" ht="15.75" thickBot="1" x14ac:dyDescent="0.3">
      <c r="A350" s="64"/>
      <c r="B350" s="93" t="s">
        <v>329</v>
      </c>
      <c r="C350" s="94">
        <f>((MAX(B324:B330,D324:D330)-MIN(B324:B330,D324:D330))/AVERAGE(MAX(B324:B330,D324:D330),MIN(B324:B330,D324:D330)))</f>
        <v>0.17250513254384756</v>
      </c>
      <c r="D350" s="72" t="s">
        <v>331</v>
      </c>
      <c r="E350" s="95">
        <f>C350/G350</f>
        <v>2.1563141567980944E-2</v>
      </c>
      <c r="F350" s="72" t="s">
        <v>330</v>
      </c>
      <c r="G350" s="73">
        <f>160-152</f>
        <v>8</v>
      </c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</row>
    <row r="351" spans="1:30" ht="30.75" thickBot="1" x14ac:dyDescent="0.3">
      <c r="A351" t="s">
        <v>0</v>
      </c>
      <c r="B351" s="39" t="s">
        <v>226</v>
      </c>
      <c r="C351" s="77" t="s">
        <v>332</v>
      </c>
      <c r="D351" s="39" t="s">
        <v>227</v>
      </c>
      <c r="E351" s="77" t="s">
        <v>332</v>
      </c>
      <c r="R351" t="s">
        <v>315</v>
      </c>
      <c r="S351" t="s">
        <v>317</v>
      </c>
      <c r="T351" t="s">
        <v>316</v>
      </c>
      <c r="U351" t="s">
        <v>318</v>
      </c>
      <c r="V351" t="s">
        <v>337</v>
      </c>
      <c r="W351" t="s">
        <v>342</v>
      </c>
      <c r="X351" t="s">
        <v>319</v>
      </c>
      <c r="Y351" t="s">
        <v>320</v>
      </c>
      <c r="Z351" t="s">
        <v>343</v>
      </c>
      <c r="AA351" t="s">
        <v>344</v>
      </c>
      <c r="AB351" s="39" t="s">
        <v>346</v>
      </c>
      <c r="AC351" s="39" t="s">
        <v>345</v>
      </c>
    </row>
    <row r="352" spans="1:30" x14ac:dyDescent="0.25">
      <c r="A352">
        <v>156</v>
      </c>
      <c r="B352" s="55">
        <v>1.102E-5</v>
      </c>
      <c r="C352" s="55">
        <v>2.7739999999999999E-5</v>
      </c>
      <c r="D352" s="55">
        <v>1.0271E-5</v>
      </c>
      <c r="E352" s="55">
        <v>2.5820999999999999E-5</v>
      </c>
      <c r="F352" t="s">
        <v>124</v>
      </c>
      <c r="N352" s="65" t="s">
        <v>225</v>
      </c>
      <c r="R352" t="s">
        <v>15</v>
      </c>
      <c r="S352" t="s">
        <v>35</v>
      </c>
      <c r="T352">
        <v>5.9999999999999995E-4</v>
      </c>
      <c r="U352">
        <v>0.20469999999999999</v>
      </c>
      <c r="V352" s="42">
        <v>5.7573093352979599E-4</v>
      </c>
      <c r="W352" s="13">
        <v>0.20296869839340301</v>
      </c>
      <c r="X352">
        <v>189949.3</v>
      </c>
      <c r="Y352">
        <v>204256.2</v>
      </c>
      <c r="Z352">
        <v>10.19</v>
      </c>
      <c r="AA352">
        <v>10.19</v>
      </c>
      <c r="AB352">
        <f>B327</f>
        <v>1.0859621378950427E-5</v>
      </c>
      <c r="AC352">
        <f>D327</f>
        <v>1.0717693836225371E-5</v>
      </c>
    </row>
    <row r="353" spans="1:29" ht="15.75" thickBot="1" x14ac:dyDescent="0.3">
      <c r="A353">
        <v>158</v>
      </c>
      <c r="B353">
        <f>B360</f>
        <v>4.4904474959116052E-5</v>
      </c>
      <c r="C353" s="55">
        <v>2.5820999999999999E-5</v>
      </c>
      <c r="D353" s="55">
        <v>1.0606000000000001E-6</v>
      </c>
      <c r="E353" s="55">
        <v>1.9246000000000002E-6</v>
      </c>
      <c r="F353" t="s">
        <v>124</v>
      </c>
      <c r="N353" s="66" t="s">
        <v>15</v>
      </c>
      <c r="R353" t="s">
        <v>15</v>
      </c>
      <c r="S353" t="s">
        <v>35</v>
      </c>
      <c r="T353">
        <v>1E-3</v>
      </c>
      <c r="U353">
        <v>0.24840000000000001</v>
      </c>
      <c r="V353" s="42">
        <v>9.7186025469135704E-4</v>
      </c>
      <c r="W353" s="13">
        <v>0.24946148182435801</v>
      </c>
      <c r="X353">
        <v>226117.6</v>
      </c>
      <c r="Y353">
        <v>239825.3</v>
      </c>
      <c r="Z353">
        <v>10.19</v>
      </c>
      <c r="AA353">
        <v>10.19</v>
      </c>
      <c r="AB353">
        <f>B329</f>
        <v>1.1252968521052586E-5</v>
      </c>
      <c r="AC353">
        <f>D329</f>
        <v>1.1074298776092218E-5</v>
      </c>
    </row>
    <row r="354" spans="1:29" x14ac:dyDescent="0.25">
      <c r="A354">
        <v>160</v>
      </c>
      <c r="B354">
        <f>B361</f>
        <v>7.6656083066137958E-6</v>
      </c>
      <c r="C354" s="55">
        <v>3.6997999999999998E-7</v>
      </c>
      <c r="D354">
        <f t="shared" ref="D354" si="26">D361</f>
        <v>6.494842035019293E-6</v>
      </c>
      <c r="E354" s="55">
        <v>2.7589999999999998E-7</v>
      </c>
      <c r="F354" t="s">
        <v>124</v>
      </c>
      <c r="R354" t="s">
        <v>15</v>
      </c>
      <c r="S354" t="s">
        <v>35</v>
      </c>
      <c r="T354">
        <v>2.3400000000000001E-2</v>
      </c>
      <c r="U354">
        <v>0.21859999999999999</v>
      </c>
      <c r="V354" s="42">
        <v>2.3029648841635799E-2</v>
      </c>
      <c r="W354" s="13">
        <v>0.22231848775771201</v>
      </c>
      <c r="X354">
        <v>224639.7</v>
      </c>
      <c r="Y354">
        <v>233891.7</v>
      </c>
      <c r="Z354">
        <v>10.19</v>
      </c>
      <c r="AA354">
        <v>10.19</v>
      </c>
      <c r="AB354">
        <f>B330</f>
        <v>1.1675881480120483E-5</v>
      </c>
      <c r="AC354">
        <f>D330</f>
        <v>1.1455450765870417E-5</v>
      </c>
    </row>
    <row r="355" spans="1:29" ht="15.75" thickBot="1" x14ac:dyDescent="0.3">
      <c r="C355" t="s">
        <v>334</v>
      </c>
      <c r="E355" t="s">
        <v>334</v>
      </c>
      <c r="Q355" s="64"/>
      <c r="R355" s="64"/>
      <c r="S355" s="64"/>
      <c r="T355" s="64"/>
      <c r="U355" s="64"/>
      <c r="V355" s="64"/>
      <c r="W355" s="64"/>
      <c r="X355" s="64"/>
      <c r="Y355" s="64"/>
    </row>
    <row r="356" spans="1:29" x14ac:dyDescent="0.25">
      <c r="A356" t="s">
        <v>140</v>
      </c>
      <c r="B356">
        <v>54091.647893956397</v>
      </c>
      <c r="C356" s="92">
        <f>C352/B352</f>
        <v>2.5172413793103448</v>
      </c>
      <c r="D356">
        <v>-442222.74296730198</v>
      </c>
      <c r="E356" s="92">
        <f>E352/D352</f>
        <v>2.5139713757180409</v>
      </c>
      <c r="F356" t="s">
        <v>302</v>
      </c>
      <c r="Q356" t="s">
        <v>325</v>
      </c>
      <c r="R356" t="s">
        <v>326</v>
      </c>
    </row>
    <row r="357" spans="1:29" x14ac:dyDescent="0.25">
      <c r="A357" t="s">
        <v>141</v>
      </c>
      <c r="B357">
        <v>-8524210.8718126304</v>
      </c>
      <c r="C357" s="92">
        <f t="shared" ref="C357:E358" si="27">C353/B353</f>
        <v>0.57502064156209631</v>
      </c>
      <c r="D357">
        <v>70909607.207578897</v>
      </c>
      <c r="E357" s="92">
        <f t="shared" si="27"/>
        <v>1.81463322647558</v>
      </c>
      <c r="F357" t="s">
        <v>302</v>
      </c>
      <c r="Q357" t="s">
        <v>15</v>
      </c>
      <c r="X357" t="s">
        <v>15</v>
      </c>
      <c r="Y357">
        <v>10.19</v>
      </c>
    </row>
    <row r="358" spans="1:29" x14ac:dyDescent="0.25">
      <c r="C358" s="92">
        <f t="shared" si="27"/>
        <v>4.826492369572101E-2</v>
      </c>
      <c r="E358" s="92">
        <f t="shared" si="27"/>
        <v>4.2479863022439224E-2</v>
      </c>
      <c r="Q358" t="s">
        <v>35</v>
      </c>
      <c r="X358" t="s">
        <v>35</v>
      </c>
      <c r="Y358">
        <v>10.19</v>
      </c>
    </row>
    <row r="359" spans="1:29" x14ac:dyDescent="0.25">
      <c r="A359">
        <v>156</v>
      </c>
      <c r="B359">
        <f>1/($A359*B$356+B$357)</f>
        <v>-1.1639573570985297E-5</v>
      </c>
      <c r="D359">
        <f>1/($A359*D$356+D$357)</f>
        <v>5.2005885067422163E-7</v>
      </c>
      <c r="F359" t="s">
        <v>302</v>
      </c>
    </row>
    <row r="360" spans="1:29" x14ac:dyDescent="0.25">
      <c r="A360">
        <v>158</v>
      </c>
      <c r="B360">
        <f>1/($A360*B$356+B$357)</f>
        <v>4.4904474959116052E-5</v>
      </c>
      <c r="D360">
        <f t="shared" ref="D360:D361" si="28">1/($A360*D$356+D$357)</f>
        <v>9.6300721537816183E-7</v>
      </c>
      <c r="F360" t="s">
        <v>302</v>
      </c>
    </row>
    <row r="361" spans="1:29" x14ac:dyDescent="0.25">
      <c r="A361">
        <v>160</v>
      </c>
      <c r="B361">
        <f>1/($A361*B$356+B$357)</f>
        <v>7.6656083066137958E-6</v>
      </c>
      <c r="D361">
        <f t="shared" si="28"/>
        <v>6.494842035019293E-6</v>
      </c>
      <c r="F361" t="s">
        <v>302</v>
      </c>
    </row>
    <row r="363" spans="1:29" x14ac:dyDescent="0.25">
      <c r="A363">
        <v>156</v>
      </c>
      <c r="B363">
        <f>MassSpecRept!CB15</f>
        <v>1.1013500864335813E-5</v>
      </c>
      <c r="D363">
        <f>MassSpecRept!CB25</f>
        <v>1.0242075440956102E-5</v>
      </c>
      <c r="F363" t="s">
        <v>311</v>
      </c>
    </row>
    <row r="364" spans="1:29" x14ac:dyDescent="0.25">
      <c r="A364">
        <v>158</v>
      </c>
      <c r="B364">
        <f>MassSpecRept!CD15</f>
        <v>1.1239224410523449E-5</v>
      </c>
      <c r="D364">
        <f>MassSpecRept!CD25</f>
        <v>1.0596821052923017E-5</v>
      </c>
      <c r="F364" t="s">
        <v>311</v>
      </c>
    </row>
    <row r="365" spans="1:29" x14ac:dyDescent="0.25">
      <c r="A365">
        <v>160</v>
      </c>
      <c r="B365">
        <f>MassSpecRept!CF15</f>
        <v>7.0736300617396258E-6</v>
      </c>
      <c r="D365">
        <f>MassSpecRept!CF25</f>
        <v>7.9388920172871642E-6</v>
      </c>
      <c r="F365" t="s">
        <v>309</v>
      </c>
    </row>
    <row r="371" spans="1:30" ht="15.75" thickBot="1" x14ac:dyDescent="0.3"/>
    <row r="372" spans="1:30" ht="15.75" thickBot="1" x14ac:dyDescent="0.3">
      <c r="A372" s="64"/>
      <c r="B372" s="93" t="s">
        <v>329</v>
      </c>
      <c r="C372" s="94">
        <f>((MAX(B352:B354,D352:D354)-MIN(B352:B354,D352:D354))/AVERAGE(MAX(B352:B354,D352:D354),MIN(B352:B354,D352:D354)))</f>
        <v>1.9077038381037466</v>
      </c>
      <c r="D372" s="72" t="s">
        <v>331</v>
      </c>
      <c r="E372" s="95">
        <f>C372/G372</f>
        <v>0.47692595952593664</v>
      </c>
      <c r="F372" s="72" t="s">
        <v>330</v>
      </c>
      <c r="G372" s="73">
        <f>160-156</f>
        <v>4</v>
      </c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  <c r="AD372" s="64"/>
    </row>
    <row r="373" spans="1:30" ht="30.75" thickBot="1" x14ac:dyDescent="0.3">
      <c r="A373" t="s">
        <v>0</v>
      </c>
      <c r="B373" s="39" t="s">
        <v>235</v>
      </c>
      <c r="C373" s="77" t="s">
        <v>332</v>
      </c>
      <c r="D373" s="39" t="s">
        <v>236</v>
      </c>
      <c r="E373" s="77" t="s">
        <v>332</v>
      </c>
      <c r="R373" t="s">
        <v>315</v>
      </c>
      <c r="S373" t="s">
        <v>316</v>
      </c>
      <c r="T373" t="s">
        <v>317</v>
      </c>
      <c r="U373" t="s">
        <v>318</v>
      </c>
      <c r="X373" t="s">
        <v>319</v>
      </c>
      <c r="Y373" t="s">
        <v>320</v>
      </c>
    </row>
    <row r="374" spans="1:30" x14ac:dyDescent="0.25">
      <c r="A374">
        <v>239</v>
      </c>
      <c r="B374">
        <v>1.2664053229061313E-5</v>
      </c>
      <c r="C374" s="55">
        <v>6.3639000000000005E-8</v>
      </c>
      <c r="D374">
        <v>1.1392976279520019E-5</v>
      </c>
      <c r="E374" s="55">
        <v>5.7251000000000001E-8</v>
      </c>
      <c r="N374" s="65" t="s">
        <v>233</v>
      </c>
      <c r="R374" t="s">
        <v>234</v>
      </c>
      <c r="S374">
        <v>6.0549850000000003</v>
      </c>
      <c r="X374">
        <v>478123.8</v>
      </c>
      <c r="Y374">
        <v>531466.5</v>
      </c>
    </row>
    <row r="375" spans="1:30" ht="15.75" thickBot="1" x14ac:dyDescent="0.3">
      <c r="A375">
        <v>240</v>
      </c>
      <c r="B375">
        <v>1.2700478278198484E-5</v>
      </c>
      <c r="C375" s="55">
        <v>6.3944999999999995E-8</v>
      </c>
      <c r="D375">
        <v>1.1571422865048787E-5</v>
      </c>
      <c r="E375" s="55">
        <v>5.8251000000000003E-8</v>
      </c>
      <c r="N375" s="66" t="s">
        <v>234</v>
      </c>
      <c r="R375" t="s">
        <v>234</v>
      </c>
      <c r="S375">
        <v>0.12746199999999999</v>
      </c>
      <c r="X375">
        <v>10036</v>
      </c>
      <c r="Y375">
        <v>11015.24</v>
      </c>
    </row>
    <row r="376" spans="1:30" x14ac:dyDescent="0.25">
      <c r="A376">
        <v>241</v>
      </c>
      <c r="B376">
        <f>(U381+V381)/X376</f>
        <v>1.2019945595711185E-5</v>
      </c>
      <c r="C376" s="55">
        <v>9.2353000000000006E-8</v>
      </c>
      <c r="D376">
        <f>(U381+V381)/Y376</f>
        <v>1.3080529030626879E-5</v>
      </c>
      <c r="E376" s="55">
        <v>1.0300999999999999E-7</v>
      </c>
      <c r="R376" t="s">
        <v>234</v>
      </c>
      <c r="S376">
        <v>2.3511100000000001E-4</v>
      </c>
      <c r="X376">
        <v>29.6</v>
      </c>
      <c r="Y376">
        <v>27.2</v>
      </c>
    </row>
    <row r="377" spans="1:30" x14ac:dyDescent="0.25">
      <c r="A377">
        <v>242</v>
      </c>
      <c r="B377">
        <v>1.1232142857142857E-5</v>
      </c>
      <c r="C377" s="55">
        <v>1.6026000000000001E-7</v>
      </c>
      <c r="D377">
        <v>1.3104166666666667E-5</v>
      </c>
      <c r="E377" s="55">
        <v>2.0017E-7</v>
      </c>
      <c r="R377" t="s">
        <v>234</v>
      </c>
      <c r="S377" s="55">
        <v>6.2898791031619906E-5</v>
      </c>
      <c r="X377">
        <v>5.6</v>
      </c>
      <c r="Y377">
        <v>4.8</v>
      </c>
    </row>
    <row r="378" spans="1:30" ht="15.75" thickBot="1" x14ac:dyDescent="0.3">
      <c r="C378" t="s">
        <v>334</v>
      </c>
      <c r="Q378" s="64"/>
      <c r="R378" s="64"/>
      <c r="S378" s="64"/>
      <c r="T378" s="64"/>
      <c r="U378" s="64"/>
      <c r="V378" s="64"/>
      <c r="W378" s="64"/>
      <c r="X378" s="64"/>
      <c r="Y378" s="64"/>
    </row>
    <row r="379" spans="1:30" x14ac:dyDescent="0.25">
      <c r="C379" s="92">
        <f>C374/B374</f>
        <v>5.0251683918985761E-3</v>
      </c>
      <c r="D379" s="92"/>
      <c r="E379" s="92">
        <f t="shared" ref="E379" si="29">E374/D374</f>
        <v>5.0251135959015585E-3</v>
      </c>
      <c r="Q379" t="s">
        <v>325</v>
      </c>
      <c r="R379" t="s">
        <v>326</v>
      </c>
    </row>
    <row r="380" spans="1:30" ht="45" x14ac:dyDescent="0.25">
      <c r="C380" s="92">
        <f t="shared" ref="C380:E382" si="30">C375/B375</f>
        <v>5.0348497591439015E-3</v>
      </c>
      <c r="D380" s="92"/>
      <c r="E380" s="92">
        <f t="shared" si="30"/>
        <v>5.0340395195430801E-3</v>
      </c>
      <c r="Q380" t="s">
        <v>234</v>
      </c>
      <c r="R380" s="25" t="s">
        <v>108</v>
      </c>
      <c r="S380" s="25" t="s">
        <v>109</v>
      </c>
      <c r="T380" s="25" t="s">
        <v>110</v>
      </c>
      <c r="U380" s="25" t="s">
        <v>111</v>
      </c>
      <c r="V380" s="25" t="s">
        <v>112</v>
      </c>
      <c r="W380" s="25" t="s">
        <v>113</v>
      </c>
    </row>
    <row r="381" spans="1:30" ht="15.75" thickBot="1" x14ac:dyDescent="0.3">
      <c r="C381" s="92">
        <f t="shared" si="30"/>
        <v>7.6833126460199878E-3</v>
      </c>
      <c r="D381" s="97"/>
      <c r="E381" s="92">
        <f t="shared" si="30"/>
        <v>7.875063750006699E-3</v>
      </c>
      <c r="R381" s="34">
        <v>7.8243700939372397E-5</v>
      </c>
      <c r="S381" s="34">
        <v>6.0549848484448203</v>
      </c>
      <c r="T381" s="34">
        <v>0.127461758557805</v>
      </c>
      <c r="U381" s="34">
        <v>2.35110829157913E-4</v>
      </c>
      <c r="V381" s="34">
        <v>1.2067956047513809E-4</v>
      </c>
      <c r="W381" s="98">
        <v>6.2898791031619906E-5</v>
      </c>
    </row>
    <row r="382" spans="1:30" x14ac:dyDescent="0.25">
      <c r="C382" s="92">
        <f t="shared" si="30"/>
        <v>1.4267980922098571E-2</v>
      </c>
      <c r="D382" s="97"/>
      <c r="E382" s="92">
        <f>E377/D377</f>
        <v>1.5275294117647059E-2</v>
      </c>
    </row>
    <row r="384" spans="1:30" x14ac:dyDescent="0.25">
      <c r="T384" s="55"/>
    </row>
    <row r="386" spans="1:30" ht="15.75" thickBot="1" x14ac:dyDescent="0.3">
      <c r="A386" s="64"/>
      <c r="B386" s="64" t="s">
        <v>329</v>
      </c>
      <c r="C386" s="64">
        <f>((MAX(B374:B377,D374:D377)-MIN(B374:B377,D374:D377))/AVERAGE(MAX(B374:B377,D374:D377),MIN(B374:B377,D374:D377)))</f>
        <v>0.15384615384615394</v>
      </c>
      <c r="D386" s="64" t="s">
        <v>331</v>
      </c>
      <c r="E386" s="64">
        <f>C386/G386</f>
        <v>5.1282051282051315E-2</v>
      </c>
      <c r="F386" s="64" t="s">
        <v>330</v>
      </c>
      <c r="G386" s="64">
        <f>242-239</f>
        <v>3</v>
      </c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  <c r="AD386" s="64"/>
    </row>
    <row r="387" spans="1:30" ht="45.75" thickBot="1" x14ac:dyDescent="0.3">
      <c r="A387" t="s">
        <v>0</v>
      </c>
      <c r="B387" s="39" t="s">
        <v>228</v>
      </c>
      <c r="C387" s="77" t="s">
        <v>332</v>
      </c>
      <c r="D387" s="39" t="s">
        <v>229</v>
      </c>
      <c r="E387" s="77" t="s">
        <v>332</v>
      </c>
      <c r="F387" s="39" t="s">
        <v>230</v>
      </c>
      <c r="G387" s="77" t="s">
        <v>332</v>
      </c>
      <c r="H387" s="39" t="s">
        <v>232</v>
      </c>
      <c r="R387" t="s">
        <v>315</v>
      </c>
      <c r="S387" t="s">
        <v>316</v>
      </c>
      <c r="T387" t="s">
        <v>317</v>
      </c>
      <c r="U387" t="s">
        <v>318</v>
      </c>
      <c r="X387" t="s">
        <v>319</v>
      </c>
      <c r="Y387" t="s">
        <v>320</v>
      </c>
    </row>
    <row r="388" spans="1:30" x14ac:dyDescent="0.25">
      <c r="A388">
        <v>234</v>
      </c>
      <c r="B388" s="55">
        <f>(T393*H388)/X388</f>
        <v>1.2300000000000001E-5</v>
      </c>
      <c r="C388" s="55">
        <v>8.4124000000000006E-8</v>
      </c>
      <c r="D388" s="55">
        <f>(H388*T393)/Y388</f>
        <v>1.2915000000000001E-5</v>
      </c>
      <c r="E388" s="55">
        <v>8.9296999999999996E-8</v>
      </c>
      <c r="F388" s="75">
        <f>V394/Z388</f>
        <v>1.0628654580303529E-5</v>
      </c>
      <c r="G388" s="55">
        <v>8.3700000000000002E-8</v>
      </c>
      <c r="H388">
        <v>5.3999999999999998E-5</v>
      </c>
      <c r="I388" t="s">
        <v>239</v>
      </c>
      <c r="N388" s="65" t="s">
        <v>231</v>
      </c>
      <c r="R388" t="s">
        <v>16</v>
      </c>
      <c r="S388" s="83">
        <v>5.5000000000000002E-5</v>
      </c>
      <c r="X388">
        <v>50.4</v>
      </c>
      <c r="Y388">
        <v>48</v>
      </c>
      <c r="Z388">
        <v>27.2</v>
      </c>
    </row>
    <row r="389" spans="1:30" ht="15.75" thickBot="1" x14ac:dyDescent="0.3">
      <c r="A389">
        <v>235</v>
      </c>
      <c r="B389">
        <f>(H389*T393)/X389</f>
        <v>1.2606889223193904E-5</v>
      </c>
      <c r="C389" s="55">
        <v>6.4347E-8</v>
      </c>
      <c r="D389">
        <f>(H389*T393)/Y389</f>
        <v>1.1036371994916034E-5</v>
      </c>
      <c r="E389" s="55">
        <v>5.6308999999999998E-8</v>
      </c>
      <c r="F389" s="75">
        <f>(W394)/Z389</f>
        <v>1.0764373795201335E-5</v>
      </c>
      <c r="G389" s="55">
        <v>5.4393000000000003E-8</v>
      </c>
      <c r="H389">
        <v>7.11E-3</v>
      </c>
      <c r="I389" t="s">
        <v>60</v>
      </c>
      <c r="J389" s="52"/>
      <c r="N389" s="66" t="s">
        <v>16</v>
      </c>
      <c r="R389" t="s">
        <v>16</v>
      </c>
      <c r="S389">
        <v>7.1999999999999998E-3</v>
      </c>
      <c r="X389">
        <v>6474.46</v>
      </c>
      <c r="Y389">
        <v>7395.8</v>
      </c>
      <c r="Z389">
        <v>3530.9</v>
      </c>
    </row>
    <row r="390" spans="1:30" x14ac:dyDescent="0.25">
      <c r="A390">
        <v>238</v>
      </c>
      <c r="B390" s="101">
        <f>(H390*T393)/X390</f>
        <v>1.2939959590692826E-5</v>
      </c>
      <c r="C390" s="55">
        <v>6.5028000000000005E-8</v>
      </c>
      <c r="D390">
        <f>(H390*T393)/Y390</f>
        <v>1.1102984244887701E-5</v>
      </c>
      <c r="E390" s="55">
        <v>5.5795999999999999E-8</v>
      </c>
      <c r="F390" s="75">
        <f>(X394/Z390)*(S390/H390)</f>
        <v>1.1013537303406163E-5</v>
      </c>
      <c r="G390" s="55">
        <v>5.5342E-8</v>
      </c>
      <c r="H390">
        <v>0.99268900000000004</v>
      </c>
      <c r="I390" t="s">
        <v>221</v>
      </c>
      <c r="R390" t="s">
        <v>16</v>
      </c>
      <c r="S390">
        <v>0.99274499999999999</v>
      </c>
      <c r="X390">
        <v>880688.2</v>
      </c>
      <c r="Y390" s="37">
        <v>1026397</v>
      </c>
      <c r="Z390">
        <v>481945.2</v>
      </c>
    </row>
    <row r="391" spans="1:30" ht="15.75" thickBot="1" x14ac:dyDescent="0.3">
      <c r="B391" s="55">
        <v>1.2986999999999999E-5</v>
      </c>
      <c r="C391" t="s">
        <v>334</v>
      </c>
      <c r="D391" s="55">
        <v>1.1143E-5</v>
      </c>
      <c r="E391" t="s">
        <v>334</v>
      </c>
      <c r="G391" t="s">
        <v>334</v>
      </c>
      <c r="Q391" s="64"/>
      <c r="R391" s="64"/>
      <c r="S391" s="64"/>
      <c r="T391" s="64"/>
      <c r="U391" s="64"/>
      <c r="V391" s="64"/>
      <c r="W391" s="64"/>
      <c r="X391" s="64"/>
      <c r="Y391" s="64"/>
      <c r="Z391" s="64"/>
    </row>
    <row r="392" spans="1:30" x14ac:dyDescent="0.25">
      <c r="C392" s="92">
        <f>C388/B388</f>
        <v>6.8393495934959353E-3</v>
      </c>
      <c r="D392" s="92"/>
      <c r="E392" s="92">
        <f t="shared" ref="E392:E394" si="31">E388/D388</f>
        <v>6.9142082849399916E-3</v>
      </c>
      <c r="F392" s="92"/>
      <c r="G392" s="92">
        <f t="shared" ref="G392:G394" si="32">G388/F388</f>
        <v>7.874938391083712E-3</v>
      </c>
      <c r="Q392" t="s">
        <v>325</v>
      </c>
      <c r="R392" t="s">
        <v>326</v>
      </c>
      <c r="T392" t="s">
        <v>16</v>
      </c>
      <c r="U392" t="s">
        <v>16</v>
      </c>
    </row>
    <row r="393" spans="1:30" ht="45" x14ac:dyDescent="0.25">
      <c r="C393" s="92">
        <f t="shared" ref="C393:C394" si="33">C389/B389</f>
        <v>5.1041140174069004E-3</v>
      </c>
      <c r="D393" s="92"/>
      <c r="E393" s="92">
        <f t="shared" si="31"/>
        <v>5.1021295789901834E-3</v>
      </c>
      <c r="F393" s="92"/>
      <c r="G393" s="92">
        <f t="shared" si="32"/>
        <v>5.053057524279576E-3</v>
      </c>
      <c r="Q393" t="s">
        <v>16</v>
      </c>
      <c r="T393">
        <v>11.48</v>
      </c>
      <c r="U393">
        <v>11.48</v>
      </c>
      <c r="V393" s="25" t="s">
        <v>116</v>
      </c>
      <c r="W393" s="25" t="s">
        <v>117</v>
      </c>
      <c r="X393" s="25" t="s">
        <v>118</v>
      </c>
    </row>
    <row r="394" spans="1:30" x14ac:dyDescent="0.25">
      <c r="C394" s="92">
        <f t="shared" si="33"/>
        <v>5.0253634521990262E-3</v>
      </c>
      <c r="D394" s="92"/>
      <c r="E394" s="92">
        <f t="shared" si="31"/>
        <v>5.0253156060894996E-3</v>
      </c>
      <c r="F394" s="92"/>
      <c r="G394" s="92">
        <f t="shared" si="32"/>
        <v>5.024906937291105E-3</v>
      </c>
      <c r="N394">
        <v>5.3999999999999998E-5</v>
      </c>
      <c r="V394">
        <v>2.8909940458425598E-4</v>
      </c>
      <c r="W394" s="99">
        <v>3.8007927433476398E-2</v>
      </c>
      <c r="X394">
        <v>5.3076220225349102</v>
      </c>
    </row>
    <row r="395" spans="1:30" x14ac:dyDescent="0.25">
      <c r="N395">
        <v>7.11E-3</v>
      </c>
    </row>
    <row r="396" spans="1:30" ht="15.75" thickBot="1" x14ac:dyDescent="0.3">
      <c r="N396">
        <v>0.99268900000000004</v>
      </c>
    </row>
    <row r="397" spans="1:30" ht="15.75" thickBot="1" x14ac:dyDescent="0.3">
      <c r="A397" s="64"/>
      <c r="B397" s="93" t="s">
        <v>329</v>
      </c>
      <c r="C397" s="94">
        <f>((MAX(B388:B390,D388:D390,F388:F390)-MIN(B388:B390,D388:D390,F388:F390))/AVERAGE(MAX(B388:B390,D388:D390,F388:F390),MIN(B388:B390,D388:D390,F388:F390)))</f>
        <v>0.19613414633717413</v>
      </c>
      <c r="D397" s="72" t="s">
        <v>331</v>
      </c>
      <c r="E397" s="95">
        <f>C397/G397</f>
        <v>4.9033536584293533E-2</v>
      </c>
      <c r="F397" s="72" t="s">
        <v>330</v>
      </c>
      <c r="G397" s="73">
        <f>238-234</f>
        <v>4</v>
      </c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  <c r="AD397" s="64"/>
    </row>
    <row r="401" spans="5:5" x14ac:dyDescent="0.25">
      <c r="E401" s="75">
        <f>AVERAGE(B390,D390,F390)</f>
        <v>1.1685493712995563E-5</v>
      </c>
    </row>
  </sheetData>
  <pageMargins left="0.25" right="0.25" top="0.75" bottom="0.75" header="0.3" footer="0.3"/>
  <pageSetup scale="36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A20" sqref="A20"/>
    </sheetView>
  </sheetViews>
  <sheetFormatPr defaultRowHeight="15" x14ac:dyDescent="0.25"/>
  <cols>
    <col min="1" max="1" width="21.7109375" bestFit="1" customWidth="1"/>
    <col min="2" max="2" width="32.7109375" bestFit="1" customWidth="1"/>
    <col min="3" max="3" width="21.7109375" bestFit="1" customWidth="1"/>
    <col min="4" max="4" width="28.5703125" bestFit="1" customWidth="1"/>
  </cols>
  <sheetData>
    <row r="1" spans="1:4" x14ac:dyDescent="0.25">
      <c r="A1" s="110" t="s">
        <v>356</v>
      </c>
      <c r="B1" s="110" t="s">
        <v>357</v>
      </c>
      <c r="C1" s="110" t="s">
        <v>356</v>
      </c>
      <c r="D1" s="110" t="s">
        <v>357</v>
      </c>
    </row>
    <row r="2" spans="1:4" x14ac:dyDescent="0.25">
      <c r="A2" s="110" t="s">
        <v>360</v>
      </c>
      <c r="B2" s="110" t="s">
        <v>361</v>
      </c>
      <c r="C2" s="112" t="s">
        <v>385</v>
      </c>
      <c r="D2" s="110" t="s">
        <v>386</v>
      </c>
    </row>
    <row r="3" spans="1:4" x14ac:dyDescent="0.25">
      <c r="A3" s="110" t="s">
        <v>358</v>
      </c>
      <c r="B3" s="110" t="s">
        <v>359</v>
      </c>
      <c r="C3" s="112" t="s">
        <v>393</v>
      </c>
      <c r="D3" s="110" t="s">
        <v>394</v>
      </c>
    </row>
    <row r="4" spans="1:4" x14ac:dyDescent="0.25">
      <c r="A4" s="111" t="s">
        <v>411</v>
      </c>
      <c r="B4" s="110" t="s">
        <v>362</v>
      </c>
      <c r="C4" s="112" t="s">
        <v>387</v>
      </c>
      <c r="D4" s="110" t="s">
        <v>388</v>
      </c>
    </row>
    <row r="5" spans="1:4" x14ac:dyDescent="0.25">
      <c r="A5" s="112" t="s">
        <v>363</v>
      </c>
      <c r="B5" s="110" t="s">
        <v>364</v>
      </c>
      <c r="C5" s="112" t="s">
        <v>389</v>
      </c>
      <c r="D5" s="110" t="s">
        <v>390</v>
      </c>
    </row>
    <row r="6" spans="1:4" x14ac:dyDescent="0.25">
      <c r="A6" s="110" t="s">
        <v>367</v>
      </c>
      <c r="B6" s="110" t="s">
        <v>368</v>
      </c>
      <c r="C6" s="113" t="s">
        <v>391</v>
      </c>
      <c r="D6" s="110" t="s">
        <v>392</v>
      </c>
    </row>
    <row r="7" spans="1:4" x14ac:dyDescent="0.25">
      <c r="A7" s="110" t="s">
        <v>365</v>
      </c>
      <c r="B7" s="110" t="s">
        <v>366</v>
      </c>
      <c r="C7" s="112" t="s">
        <v>395</v>
      </c>
      <c r="D7" s="110" t="s">
        <v>396</v>
      </c>
    </row>
    <row r="8" spans="1:4" x14ac:dyDescent="0.25">
      <c r="A8" s="110" t="s">
        <v>369</v>
      </c>
      <c r="B8" s="110" t="s">
        <v>370</v>
      </c>
      <c r="C8" s="112" t="s">
        <v>397</v>
      </c>
      <c r="D8" s="110" t="s">
        <v>398</v>
      </c>
    </row>
    <row r="9" spans="1:4" x14ac:dyDescent="0.25">
      <c r="A9" s="110" t="s">
        <v>373</v>
      </c>
      <c r="B9" s="110" t="s">
        <v>374</v>
      </c>
      <c r="C9" s="112" t="s">
        <v>399</v>
      </c>
      <c r="D9" s="110" t="s">
        <v>400</v>
      </c>
    </row>
    <row r="10" spans="1:4" x14ac:dyDescent="0.25">
      <c r="A10" s="110" t="s">
        <v>371</v>
      </c>
      <c r="B10" s="110" t="s">
        <v>372</v>
      </c>
      <c r="C10" s="112" t="s">
        <v>401</v>
      </c>
      <c r="D10" s="110" t="s">
        <v>402</v>
      </c>
    </row>
    <row r="11" spans="1:4" x14ac:dyDescent="0.25">
      <c r="A11" s="112" t="s">
        <v>379</v>
      </c>
      <c r="B11" s="110" t="s">
        <v>380</v>
      </c>
      <c r="C11" s="112" t="s">
        <v>403</v>
      </c>
      <c r="D11" s="110" t="s">
        <v>404</v>
      </c>
    </row>
    <row r="12" spans="1:4" x14ac:dyDescent="0.25">
      <c r="A12" s="110" t="s">
        <v>375</v>
      </c>
      <c r="B12" s="110" t="s">
        <v>376</v>
      </c>
      <c r="C12" s="112" t="s">
        <v>405</v>
      </c>
      <c r="D12" s="110" t="s">
        <v>406</v>
      </c>
    </row>
    <row r="13" spans="1:4" x14ac:dyDescent="0.25">
      <c r="A13" s="112" t="s">
        <v>377</v>
      </c>
      <c r="B13" s="110" t="s">
        <v>378</v>
      </c>
      <c r="C13" s="112" t="s">
        <v>407</v>
      </c>
      <c r="D13" s="110" t="s">
        <v>408</v>
      </c>
    </row>
    <row r="14" spans="1:4" x14ac:dyDescent="0.25">
      <c r="A14" s="112" t="s">
        <v>383</v>
      </c>
      <c r="B14" s="110" t="s">
        <v>384</v>
      </c>
      <c r="C14" s="112" t="s">
        <v>409</v>
      </c>
      <c r="D14" s="110" t="s">
        <v>410</v>
      </c>
    </row>
    <row r="15" spans="1:4" x14ac:dyDescent="0.25">
      <c r="A15" s="112" t="s">
        <v>381</v>
      </c>
      <c r="B15" s="114" t="s">
        <v>382</v>
      </c>
      <c r="C15" s="115"/>
    </row>
  </sheetData>
  <mergeCells count="1">
    <mergeCell ref="B15:C1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A19" workbookViewId="0">
      <selection activeCell="K37" sqref="K37:L38"/>
    </sheetView>
  </sheetViews>
  <sheetFormatPr defaultRowHeight="15" x14ac:dyDescent="0.25"/>
  <sheetData>
    <row r="1" spans="1:19" x14ac:dyDescent="0.25">
      <c r="L1">
        <f>C4*D4*144</f>
        <v>43.11430650215658</v>
      </c>
      <c r="M1">
        <f>C4*D4</f>
        <v>0.29940490626497623</v>
      </c>
      <c r="N1">
        <f>G4*H4*144</f>
        <v>348.44224611421436</v>
      </c>
      <c r="O1">
        <f>G4*H4</f>
        <v>2.4197378202375996</v>
      </c>
      <c r="P1">
        <v>0</v>
      </c>
      <c r="Q1">
        <v>0</v>
      </c>
      <c r="R1">
        <v>0</v>
      </c>
      <c r="S1">
        <v>0</v>
      </c>
    </row>
    <row r="2" spans="1:19" x14ac:dyDescent="0.25">
      <c r="E2" t="s">
        <v>245</v>
      </c>
      <c r="I2" t="s">
        <v>245</v>
      </c>
      <c r="L2">
        <f>C7*D7*148</f>
        <v>166.7490059716678</v>
      </c>
      <c r="M2">
        <f>C7*D7</f>
        <v>1.1266824727815392</v>
      </c>
      <c r="N2">
        <f>G7*H7*148</f>
        <v>88.156525891354576</v>
      </c>
      <c r="O2">
        <f>G7*H7</f>
        <v>0.59565220196861202</v>
      </c>
      <c r="P2">
        <v>0</v>
      </c>
      <c r="Q2">
        <v>0</v>
      </c>
      <c r="R2">
        <v>0</v>
      </c>
      <c r="S2">
        <v>0</v>
      </c>
    </row>
    <row r="3" spans="1:19" x14ac:dyDescent="0.25">
      <c r="A3" t="s">
        <v>240</v>
      </c>
      <c r="B3" t="s">
        <v>241</v>
      </c>
      <c r="C3" t="s">
        <v>242</v>
      </c>
      <c r="D3" t="s">
        <v>243</v>
      </c>
      <c r="E3" t="s">
        <v>244</v>
      </c>
      <c r="F3" t="s">
        <v>246</v>
      </c>
      <c r="G3" t="s">
        <v>247</v>
      </c>
      <c r="H3" t="s">
        <v>248</v>
      </c>
      <c r="I3" t="s">
        <v>249</v>
      </c>
      <c r="L3">
        <f>C10*D10*150</f>
        <v>112.46641000580668</v>
      </c>
      <c r="M3">
        <f>C10*D10</f>
        <v>0.74977606670537789</v>
      </c>
      <c r="N3">
        <f>G10*H10*150</f>
        <v>88.969584198619899</v>
      </c>
      <c r="O3">
        <f>G10*H10</f>
        <v>0.59313056132413267</v>
      </c>
      <c r="P3">
        <v>0</v>
      </c>
      <c r="Q3">
        <v>0</v>
      </c>
      <c r="R3">
        <v>0</v>
      </c>
      <c r="S3">
        <v>0</v>
      </c>
    </row>
    <row r="4" spans="1:19" x14ac:dyDescent="0.25">
      <c r="A4">
        <v>252207.2</v>
      </c>
      <c r="C4">
        <v>10.19</v>
      </c>
      <c r="D4" s="42">
        <v>2.9382228289006499E-2</v>
      </c>
      <c r="G4">
        <v>10.19</v>
      </c>
      <c r="H4" s="42">
        <v>0.23746200394873401</v>
      </c>
      <c r="L4">
        <f>C13*D13*152</f>
        <v>418.6056559966799</v>
      </c>
      <c r="M4">
        <f>C13*D13</f>
        <v>2.7539845789255257</v>
      </c>
      <c r="N4">
        <v>0</v>
      </c>
      <c r="O4">
        <v>0</v>
      </c>
      <c r="P4">
        <f>J13*K13*152</f>
        <v>2.9927166941604724</v>
      </c>
      <c r="Q4">
        <f>J13*K13</f>
        <v>1.9688925619476792E-2</v>
      </c>
      <c r="R4">
        <v>0</v>
      </c>
      <c r="S4">
        <v>0</v>
      </c>
    </row>
    <row r="5" spans="1:19" x14ac:dyDescent="0.25">
      <c r="A5">
        <v>261595.6</v>
      </c>
      <c r="L5">
        <f>C16*D16*154</f>
        <v>365.44913778252811</v>
      </c>
      <c r="M5">
        <f>D16*C16</f>
        <v>2.3730463492371956</v>
      </c>
      <c r="N5">
        <v>0</v>
      </c>
      <c r="O5">
        <v>0</v>
      </c>
      <c r="P5">
        <f>J16*K16*154</f>
        <v>33.485159987307398</v>
      </c>
      <c r="Q5">
        <f>J16*K16</f>
        <v>0.21743610381368442</v>
      </c>
      <c r="R5">
        <v>0</v>
      </c>
      <c r="S5">
        <v>0</v>
      </c>
    </row>
    <row r="6" spans="1:19" x14ac:dyDescent="0.25">
      <c r="A6" t="s">
        <v>250</v>
      </c>
      <c r="B6" t="s">
        <v>241</v>
      </c>
      <c r="C6" t="s">
        <v>251</v>
      </c>
      <c r="D6" t="s">
        <v>252</v>
      </c>
      <c r="E6" t="s">
        <v>253</v>
      </c>
      <c r="F6" t="s">
        <v>246</v>
      </c>
      <c r="G6" t="s">
        <v>247</v>
      </c>
      <c r="H6" t="s">
        <v>254</v>
      </c>
      <c r="I6" t="s">
        <v>255</v>
      </c>
      <c r="L6">
        <v>0</v>
      </c>
      <c r="M6">
        <v>0</v>
      </c>
      <c r="N6">
        <v>0</v>
      </c>
      <c r="O6">
        <v>0</v>
      </c>
      <c r="P6">
        <f>J19*K19*156</f>
        <v>322.64716171408912</v>
      </c>
      <c r="Q6">
        <f>J19*K19</f>
        <v>2.0682510366287765</v>
      </c>
      <c r="R6">
        <f>N19*O19*156</f>
        <v>0.91520492117630481</v>
      </c>
      <c r="S6">
        <f>N19*O19</f>
        <v>5.8666982126686206E-3</v>
      </c>
    </row>
    <row r="7" spans="1:19" x14ac:dyDescent="0.25">
      <c r="A7">
        <v>159080.6</v>
      </c>
      <c r="C7">
        <v>10.19</v>
      </c>
      <c r="D7" s="42">
        <v>0.110567465434891</v>
      </c>
      <c r="G7">
        <v>10.19</v>
      </c>
      <c r="H7" s="42">
        <v>5.8454583117626302E-2</v>
      </c>
      <c r="L7">
        <v>0</v>
      </c>
      <c r="M7">
        <v>0</v>
      </c>
      <c r="N7">
        <v>0</v>
      </c>
      <c r="O7">
        <v>0</v>
      </c>
      <c r="P7">
        <f>J22*K22*158</f>
        <v>401.63797496685288</v>
      </c>
      <c r="Q7">
        <f>J22*K22</f>
        <v>2.542012499790208</v>
      </c>
      <c r="R7">
        <f>N22*O22*158</f>
        <v>1.5647144472581787</v>
      </c>
      <c r="S7">
        <f>N22*O22</f>
        <v>9.9032559953049284E-3</v>
      </c>
    </row>
    <row r="8" spans="1:19" x14ac:dyDescent="0.25">
      <c r="A8">
        <v>166099.1</v>
      </c>
      <c r="L8">
        <v>0</v>
      </c>
      <c r="M8">
        <v>0</v>
      </c>
      <c r="N8">
        <v>0</v>
      </c>
      <c r="O8">
        <v>0</v>
      </c>
      <c r="P8">
        <f>J25*K25*160</f>
        <v>362.46806244017364</v>
      </c>
      <c r="Q8">
        <f>J25*K25</f>
        <v>2.2654253902510852</v>
      </c>
      <c r="R8">
        <f>N25*O25*160</f>
        <v>37.547539471403006</v>
      </c>
      <c r="S8">
        <f>N25*O25</f>
        <v>0.23467212169626878</v>
      </c>
    </row>
    <row r="9" spans="1:19" x14ac:dyDescent="0.25">
      <c r="A9" t="s">
        <v>256</v>
      </c>
      <c r="B9" t="s">
        <v>241</v>
      </c>
      <c r="C9" t="s">
        <v>251</v>
      </c>
      <c r="D9" t="s">
        <v>257</v>
      </c>
      <c r="E9" t="s">
        <v>258</v>
      </c>
      <c r="F9" t="s">
        <v>246</v>
      </c>
      <c r="G9" t="s">
        <v>247</v>
      </c>
      <c r="H9" t="s">
        <v>259</v>
      </c>
      <c r="I9" t="s">
        <v>260</v>
      </c>
    </row>
    <row r="10" spans="1:19" x14ac:dyDescent="0.25">
      <c r="A10">
        <v>123524.2</v>
      </c>
      <c r="C10">
        <v>10.19</v>
      </c>
      <c r="D10" s="42">
        <v>7.3579594377367802E-2</v>
      </c>
      <c r="G10">
        <v>10.19</v>
      </c>
      <c r="H10" s="42">
        <v>5.8207120836519403E-2</v>
      </c>
    </row>
    <row r="11" spans="1:19" x14ac:dyDescent="0.25">
      <c r="A11">
        <v>130299.7</v>
      </c>
      <c r="L11" t="s">
        <v>245</v>
      </c>
    </row>
    <row r="12" spans="1:19" x14ac:dyDescent="0.25">
      <c r="A12" t="s">
        <v>261</v>
      </c>
      <c r="B12" t="s">
        <v>241</v>
      </c>
      <c r="C12" t="s">
        <v>251</v>
      </c>
      <c r="D12" t="s">
        <v>262</v>
      </c>
      <c r="E12" t="s">
        <v>263</v>
      </c>
      <c r="F12" t="s">
        <v>246</v>
      </c>
      <c r="J12" t="s">
        <v>265</v>
      </c>
      <c r="K12" t="s">
        <v>264</v>
      </c>
      <c r="L12" t="s">
        <v>266</v>
      </c>
    </row>
    <row r="13" spans="1:19" x14ac:dyDescent="0.25">
      <c r="A13">
        <v>254124.3</v>
      </c>
      <c r="C13">
        <v>10.19</v>
      </c>
      <c r="D13" s="42">
        <v>0.270263452298874</v>
      </c>
      <c r="H13" s="42"/>
      <c r="J13">
        <v>10.19</v>
      </c>
      <c r="K13" s="42">
        <v>1.93218112065523E-3</v>
      </c>
      <c r="R13" s="42"/>
    </row>
    <row r="14" spans="1:19" x14ac:dyDescent="0.25">
      <c r="A14">
        <v>264231.8</v>
      </c>
      <c r="H14" s="42"/>
      <c r="R14" s="42"/>
    </row>
    <row r="15" spans="1:19" x14ac:dyDescent="0.25">
      <c r="A15" t="s">
        <v>267</v>
      </c>
      <c r="B15" t="s">
        <v>241</v>
      </c>
      <c r="C15" t="s">
        <v>251</v>
      </c>
      <c r="D15" t="s">
        <v>268</v>
      </c>
      <c r="E15" t="s">
        <v>269</v>
      </c>
      <c r="F15" t="s">
        <v>246</v>
      </c>
      <c r="H15" s="42"/>
      <c r="J15" t="s">
        <v>265</v>
      </c>
      <c r="K15" t="s">
        <v>270</v>
      </c>
      <c r="L15" t="s">
        <v>271</v>
      </c>
      <c r="R15" s="42"/>
    </row>
    <row r="16" spans="1:19" x14ac:dyDescent="0.25">
      <c r="A16">
        <v>236974.6</v>
      </c>
      <c r="C16">
        <v>10.19</v>
      </c>
      <c r="D16" s="42">
        <v>0.23287991651002901</v>
      </c>
      <c r="H16" s="42"/>
      <c r="J16">
        <v>10.19</v>
      </c>
      <c r="K16" s="42">
        <v>2.1338184868860102E-2</v>
      </c>
      <c r="R16" s="42"/>
    </row>
    <row r="17" spans="1:20" x14ac:dyDescent="0.25">
      <c r="A17">
        <v>246588.6</v>
      </c>
      <c r="H17" s="42"/>
      <c r="P17" t="s">
        <v>245</v>
      </c>
      <c r="R17" s="42"/>
    </row>
    <row r="18" spans="1:20" x14ac:dyDescent="0.25">
      <c r="A18" t="s">
        <v>272</v>
      </c>
      <c r="B18" t="s">
        <v>241</v>
      </c>
      <c r="H18" s="42"/>
      <c r="J18" t="s">
        <v>265</v>
      </c>
      <c r="K18" t="s">
        <v>273</v>
      </c>
      <c r="L18" t="s">
        <v>274</v>
      </c>
      <c r="M18" t="s">
        <v>246</v>
      </c>
      <c r="N18" t="s">
        <v>275</v>
      </c>
      <c r="O18" t="s">
        <v>276</v>
      </c>
      <c r="P18" t="s">
        <v>277</v>
      </c>
      <c r="R18" s="42"/>
    </row>
    <row r="19" spans="1:20" x14ac:dyDescent="0.25">
      <c r="A19">
        <v>189949.3</v>
      </c>
      <c r="H19" s="42"/>
      <c r="J19">
        <v>10.19</v>
      </c>
      <c r="K19" s="42">
        <v>0.20296869839340301</v>
      </c>
      <c r="N19">
        <v>10.19</v>
      </c>
      <c r="O19" s="42">
        <v>5.7573093352979599E-4</v>
      </c>
      <c r="R19" s="42"/>
    </row>
    <row r="20" spans="1:20" x14ac:dyDescent="0.25">
      <c r="A20">
        <v>204256.2</v>
      </c>
    </row>
    <row r="21" spans="1:20" x14ac:dyDescent="0.25">
      <c r="A21" t="s">
        <v>278</v>
      </c>
      <c r="B21" t="s">
        <v>241</v>
      </c>
      <c r="J21" t="s">
        <v>265</v>
      </c>
      <c r="K21" t="s">
        <v>279</v>
      </c>
      <c r="L21" t="s">
        <v>280</v>
      </c>
      <c r="M21" t="s">
        <v>246</v>
      </c>
      <c r="N21" t="s">
        <v>275</v>
      </c>
      <c r="O21" t="s">
        <v>281</v>
      </c>
      <c r="P21" t="s">
        <v>282</v>
      </c>
    </row>
    <row r="22" spans="1:20" x14ac:dyDescent="0.25">
      <c r="A22">
        <v>226117.6</v>
      </c>
      <c r="J22">
        <v>10.19</v>
      </c>
      <c r="K22" s="42">
        <v>0.24946148182435801</v>
      </c>
      <c r="N22">
        <v>10.19</v>
      </c>
      <c r="O22" s="42">
        <v>9.7186025469135704E-4</v>
      </c>
    </row>
    <row r="23" spans="1:20" x14ac:dyDescent="0.25">
      <c r="A23">
        <v>239825.3</v>
      </c>
    </row>
    <row r="24" spans="1:20" x14ac:dyDescent="0.25">
      <c r="A24" t="s">
        <v>283</v>
      </c>
      <c r="B24" t="s">
        <v>241</v>
      </c>
      <c r="J24" t="s">
        <v>265</v>
      </c>
      <c r="K24" t="s">
        <v>284</v>
      </c>
      <c r="L24" t="s">
        <v>285</v>
      </c>
      <c r="M24" t="s">
        <v>246</v>
      </c>
      <c r="N24" t="s">
        <v>275</v>
      </c>
      <c r="O24" t="s">
        <v>286</v>
      </c>
      <c r="P24" t="s">
        <v>287</v>
      </c>
    </row>
    <row r="25" spans="1:20" x14ac:dyDescent="0.25">
      <c r="A25">
        <v>224639.7</v>
      </c>
      <c r="J25">
        <v>10.19</v>
      </c>
      <c r="K25" s="42">
        <v>0.22231848775771201</v>
      </c>
      <c r="N25">
        <v>10.19</v>
      </c>
      <c r="O25" s="42">
        <v>2.3029648841635799E-2</v>
      </c>
    </row>
    <row r="26" spans="1:20" ht="15.75" thickBot="1" x14ac:dyDescent="0.3">
      <c r="A26" s="64">
        <v>233891.7</v>
      </c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</row>
    <row r="27" spans="1:20" ht="15.75" thickBot="1" x14ac:dyDescent="0.3"/>
    <row r="28" spans="1:20" ht="15.75" thickBot="1" x14ac:dyDescent="0.3">
      <c r="F28" s="71" t="s">
        <v>298</v>
      </c>
      <c r="G28" s="72"/>
      <c r="H28" s="72" t="s">
        <v>301</v>
      </c>
      <c r="I28" s="72"/>
      <c r="J28" s="72" t="s">
        <v>299</v>
      </c>
      <c r="K28" s="72"/>
      <c r="L28" s="72"/>
      <c r="M28" s="72" t="s">
        <v>241</v>
      </c>
      <c r="N28" s="73" t="s">
        <v>300</v>
      </c>
    </row>
    <row r="30" spans="1:20" x14ac:dyDescent="0.25">
      <c r="K30" t="s">
        <v>288</v>
      </c>
      <c r="L30" t="s">
        <v>289</v>
      </c>
      <c r="N30" t="s">
        <v>237</v>
      </c>
      <c r="O30" t="s">
        <v>238</v>
      </c>
    </row>
    <row r="31" spans="1:20" x14ac:dyDescent="0.25">
      <c r="A31">
        <f>C4*D4*144</f>
        <v>43.11430650215658</v>
      </c>
      <c r="B31">
        <f>C4*D4</f>
        <v>0.29940490626497623</v>
      </c>
      <c r="C31">
        <f>G4*H4*144</f>
        <v>348.44224611421436</v>
      </c>
      <c r="D31">
        <f>H4*G4</f>
        <v>2.4197378202375996</v>
      </c>
      <c r="E31">
        <v>0</v>
      </c>
      <c r="F31">
        <v>0</v>
      </c>
      <c r="G31">
        <v>0</v>
      </c>
      <c r="H31">
        <v>0</v>
      </c>
      <c r="J31" t="s">
        <v>290</v>
      </c>
      <c r="K31">
        <v>-221.11303456460601</v>
      </c>
      <c r="L31">
        <v>-73.735476000216806</v>
      </c>
      <c r="N31">
        <v>252207.2</v>
      </c>
      <c r="O31">
        <v>261595.6</v>
      </c>
    </row>
    <row r="32" spans="1:20" x14ac:dyDescent="0.25">
      <c r="A32">
        <f>C7*D7*148</f>
        <v>166.7490059716678</v>
      </c>
      <c r="B32">
        <f>C7*D7</f>
        <v>1.1266824727815392</v>
      </c>
      <c r="C32">
        <f>G7*H7*148</f>
        <v>88.156525891354576</v>
      </c>
      <c r="D32">
        <f>G7*H7</f>
        <v>0.59565220196861202</v>
      </c>
      <c r="E32">
        <v>0</v>
      </c>
      <c r="F32">
        <v>0</v>
      </c>
      <c r="G32">
        <v>0</v>
      </c>
      <c r="H32">
        <v>0</v>
      </c>
      <c r="J32" t="s">
        <v>291</v>
      </c>
      <c r="K32">
        <v>125179.959286905</v>
      </c>
      <c r="L32">
        <v>106443.053680517</v>
      </c>
      <c r="N32">
        <v>159080.6</v>
      </c>
      <c r="O32">
        <v>166099.1</v>
      </c>
    </row>
    <row r="33" spans="1:15" x14ac:dyDescent="0.25">
      <c r="A33">
        <f>C10*D10*150</f>
        <v>112.46641000580668</v>
      </c>
      <c r="B33">
        <f>D10*C10</f>
        <v>0.74977606670537789</v>
      </c>
      <c r="C33">
        <f>G10*H10*150</f>
        <v>88.969584198619899</v>
      </c>
      <c r="D33">
        <f>G10*H10</f>
        <v>0.59313056132413267</v>
      </c>
      <c r="E33">
        <v>0</v>
      </c>
      <c r="F33">
        <v>0</v>
      </c>
      <c r="G33">
        <v>0</v>
      </c>
      <c r="H33">
        <v>0</v>
      </c>
      <c r="J33" t="s">
        <v>292</v>
      </c>
      <c r="K33">
        <v>-122.56322937112201</v>
      </c>
      <c r="L33">
        <v>475.97459724354701</v>
      </c>
      <c r="N33">
        <v>123524.2</v>
      </c>
      <c r="O33">
        <v>130299.7</v>
      </c>
    </row>
    <row r="34" spans="1:15" x14ac:dyDescent="0.25">
      <c r="A34">
        <f>C13*D13*152</f>
        <v>418.6056559966799</v>
      </c>
      <c r="B34">
        <f>D13*C13</f>
        <v>2.7539845789255257</v>
      </c>
      <c r="C34">
        <v>0</v>
      </c>
      <c r="D34">
        <v>0</v>
      </c>
      <c r="E34">
        <f>J13*K13*152</f>
        <v>2.9927166941604724</v>
      </c>
      <c r="F34">
        <f>K13*J13</f>
        <v>1.9688925619476792E-2</v>
      </c>
      <c r="G34">
        <v>0</v>
      </c>
      <c r="H34">
        <v>0</v>
      </c>
      <c r="J34" t="s">
        <v>293</v>
      </c>
      <c r="K34">
        <v>110328.91494473</v>
      </c>
      <c r="L34">
        <v>27711.855030863499</v>
      </c>
      <c r="N34">
        <v>254124.3</v>
      </c>
      <c r="O34">
        <v>264231.8</v>
      </c>
    </row>
    <row r="35" spans="1:15" x14ac:dyDescent="0.25">
      <c r="A35">
        <f>C16*D16*154</f>
        <v>365.44913778252811</v>
      </c>
      <c r="B35">
        <f>D16*C16</f>
        <v>2.3730463492371956</v>
      </c>
      <c r="C35">
        <v>0</v>
      </c>
      <c r="D35">
        <v>0</v>
      </c>
      <c r="E35">
        <f>J16*K16*154</f>
        <v>33.485159987307398</v>
      </c>
      <c r="F35">
        <f>K16*J16</f>
        <v>0.21743610381368442</v>
      </c>
      <c r="G35">
        <v>0</v>
      </c>
      <c r="H35">
        <v>0</v>
      </c>
      <c r="J35" t="s">
        <v>294</v>
      </c>
      <c r="K35">
        <v>-1609.4008102724899</v>
      </c>
      <c r="L35">
        <v>-1502.2415723179299</v>
      </c>
      <c r="N35">
        <v>236974.6</v>
      </c>
      <c r="O35">
        <v>246588.6</v>
      </c>
    </row>
    <row r="36" spans="1:15" x14ac:dyDescent="0.25">
      <c r="A36">
        <v>0</v>
      </c>
      <c r="B36">
        <v>0</v>
      </c>
      <c r="C36">
        <v>0</v>
      </c>
      <c r="D36">
        <v>0</v>
      </c>
      <c r="E36">
        <f>J19*K19*156</f>
        <v>322.64716171408912</v>
      </c>
      <c r="F36">
        <f>K19*J19</f>
        <v>2.0682510366287765</v>
      </c>
      <c r="G36">
        <f>N19*O19*156</f>
        <v>0.91520492117630481</v>
      </c>
      <c r="H36">
        <f>O19*N19</f>
        <v>5.8666982126686206E-3</v>
      </c>
      <c r="J36" t="s">
        <v>295</v>
      </c>
      <c r="K36">
        <v>343150.76811818499</v>
      </c>
      <c r="L36">
        <v>327653.33952669601</v>
      </c>
      <c r="N36">
        <v>189949.3</v>
      </c>
      <c r="O36">
        <v>204256.2</v>
      </c>
    </row>
    <row r="37" spans="1:15" x14ac:dyDescent="0.25">
      <c r="A37">
        <v>0</v>
      </c>
      <c r="B37">
        <v>0</v>
      </c>
      <c r="C37">
        <v>0</v>
      </c>
      <c r="D37">
        <v>0</v>
      </c>
      <c r="E37">
        <f>J22*K22*158</f>
        <v>401.63797496685288</v>
      </c>
      <c r="F37">
        <f>K22*J22</f>
        <v>2.542012499790208</v>
      </c>
      <c r="G37">
        <f>N22*O22*158</f>
        <v>1.5647144472581787</v>
      </c>
      <c r="H37">
        <f>O22*N22</f>
        <v>9.9032559953049284E-3</v>
      </c>
      <c r="J37" t="s">
        <v>296</v>
      </c>
      <c r="K37">
        <v>54091.647893956397</v>
      </c>
      <c r="L37">
        <v>-442222.74296730198</v>
      </c>
      <c r="N37">
        <v>226117.6</v>
      </c>
      <c r="O37">
        <v>239825.3</v>
      </c>
    </row>
    <row r="38" spans="1:15" x14ac:dyDescent="0.25">
      <c r="A38">
        <v>0</v>
      </c>
      <c r="B38">
        <v>0</v>
      </c>
      <c r="C38">
        <v>0</v>
      </c>
      <c r="D38">
        <v>0</v>
      </c>
      <c r="E38">
        <f>J25*K25*160</f>
        <v>362.46806244017364</v>
      </c>
      <c r="F38">
        <f>K25*J25</f>
        <v>2.2654253902510852</v>
      </c>
      <c r="G38">
        <f>N25*O25*160</f>
        <v>37.547539471403006</v>
      </c>
      <c r="H38">
        <f>O25*N25</f>
        <v>0.23467212169626878</v>
      </c>
      <c r="J38" t="s">
        <v>297</v>
      </c>
      <c r="K38">
        <v>-8524210.8718126304</v>
      </c>
      <c r="L38">
        <v>70909607.207578897</v>
      </c>
      <c r="N38">
        <v>224639.7</v>
      </c>
      <c r="O38">
        <v>233891.7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zoomScale="85" zoomScaleNormal="85" workbookViewId="0">
      <selection activeCell="B23" sqref="B23"/>
    </sheetView>
  </sheetViews>
  <sheetFormatPr defaultRowHeight="15" x14ac:dyDescent="0.25"/>
  <cols>
    <col min="1" max="1" width="85" bestFit="1" customWidth="1"/>
    <col min="4" max="4" width="12" bestFit="1" customWidth="1"/>
  </cols>
  <sheetData>
    <row r="1" spans="1:16" ht="15.75" thickBot="1" x14ac:dyDescent="0.3">
      <c r="A1" t="s">
        <v>46</v>
      </c>
    </row>
    <row r="2" spans="1:16" ht="15.75" thickBot="1" x14ac:dyDescent="0.3">
      <c r="A2" s="4" t="s">
        <v>47</v>
      </c>
      <c r="B2" s="5" t="s">
        <v>48</v>
      </c>
      <c r="C2" s="6" t="s">
        <v>7</v>
      </c>
      <c r="D2" s="7" t="s">
        <v>33</v>
      </c>
      <c r="E2" s="7" t="s">
        <v>13</v>
      </c>
      <c r="F2" s="7" t="s">
        <v>26</v>
      </c>
      <c r="G2" s="7" t="s">
        <v>34</v>
      </c>
      <c r="H2" s="7" t="s">
        <v>14</v>
      </c>
      <c r="I2" s="7" t="s">
        <v>27</v>
      </c>
      <c r="J2" s="7" t="s">
        <v>35</v>
      </c>
      <c r="K2" s="7" t="s">
        <v>28</v>
      </c>
      <c r="L2" s="7" t="s">
        <v>15</v>
      </c>
      <c r="M2" s="7" t="s">
        <v>49</v>
      </c>
      <c r="N2" s="7" t="s">
        <v>50</v>
      </c>
      <c r="O2" s="7" t="s">
        <v>51</v>
      </c>
      <c r="P2" s="7" t="s">
        <v>52</v>
      </c>
    </row>
    <row r="3" spans="1:16" ht="15.75" thickBot="1" x14ac:dyDescent="0.3">
      <c r="A3" s="4"/>
      <c r="B3" s="9" t="s">
        <v>53</v>
      </c>
      <c r="C3" s="10" t="s">
        <v>54</v>
      </c>
      <c r="D3" s="11" t="s">
        <v>55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1:16" x14ac:dyDescent="0.25">
      <c r="A4" s="4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</row>
    <row r="5" spans="1:16" ht="15.75" thickBot="1" x14ac:dyDescent="0.3">
      <c r="A5" s="4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</row>
    <row r="6" spans="1:16" ht="15.75" thickBot="1" x14ac:dyDescent="0.3">
      <c r="A6" s="4" t="s">
        <v>56</v>
      </c>
      <c r="B6" s="14" t="s">
        <v>57</v>
      </c>
      <c r="C6" s="15" t="s">
        <v>58</v>
      </c>
      <c r="D6" s="15" t="s">
        <v>59</v>
      </c>
      <c r="E6" s="15" t="s">
        <v>60</v>
      </c>
      <c r="F6" s="15" t="s">
        <v>61</v>
      </c>
      <c r="G6" s="15" t="s">
        <v>62</v>
      </c>
      <c r="H6" s="15" t="s">
        <v>63</v>
      </c>
      <c r="I6" s="15" t="s">
        <v>64</v>
      </c>
      <c r="J6" s="16" t="s">
        <v>65</v>
      </c>
      <c r="K6" s="15" t="s">
        <v>66</v>
      </c>
      <c r="L6" s="16" t="s">
        <v>67</v>
      </c>
      <c r="M6" s="16" t="s">
        <v>68</v>
      </c>
      <c r="N6" s="15" t="s">
        <v>69</v>
      </c>
      <c r="O6" s="15" t="s">
        <v>70</v>
      </c>
      <c r="P6" s="15" t="s">
        <v>2</v>
      </c>
    </row>
    <row r="7" spans="1:16" ht="15.75" thickBot="1" x14ac:dyDescent="0.3">
      <c r="A7" s="18"/>
      <c r="B7" s="19" t="s">
        <v>71</v>
      </c>
      <c r="C7" s="20" t="s">
        <v>4</v>
      </c>
      <c r="D7" s="21" t="s">
        <v>18</v>
      </c>
      <c r="E7" s="21" t="s">
        <v>19</v>
      </c>
      <c r="F7" s="15" t="s">
        <v>21</v>
      </c>
      <c r="G7" s="15" t="s">
        <v>30</v>
      </c>
      <c r="H7" s="15" t="s">
        <v>23</v>
      </c>
      <c r="I7" s="21" t="s">
        <v>25</v>
      </c>
      <c r="J7" s="15" t="s">
        <v>33</v>
      </c>
      <c r="K7" s="21" t="s">
        <v>27</v>
      </c>
      <c r="L7" s="15" t="s">
        <v>49</v>
      </c>
      <c r="M7" s="15" t="s">
        <v>52</v>
      </c>
      <c r="N7" s="21" t="s">
        <v>72</v>
      </c>
      <c r="O7" s="21" t="s">
        <v>73</v>
      </c>
      <c r="P7" s="21" t="s">
        <v>74</v>
      </c>
    </row>
    <row r="8" spans="1:16" ht="30.75" thickBot="1" x14ac:dyDescent="0.3">
      <c r="A8" s="18"/>
      <c r="B8" s="19" t="s">
        <v>54</v>
      </c>
      <c r="C8" s="20" t="s">
        <v>16</v>
      </c>
      <c r="D8" s="22" t="s">
        <v>75</v>
      </c>
      <c r="E8" s="23"/>
      <c r="F8" s="24" t="s">
        <v>76</v>
      </c>
      <c r="G8" s="25" t="s">
        <v>77</v>
      </c>
      <c r="H8" s="25" t="s">
        <v>78</v>
      </c>
      <c r="I8" s="23"/>
      <c r="J8" s="26"/>
      <c r="K8" s="23"/>
      <c r="L8" s="26"/>
      <c r="M8" s="26"/>
      <c r="N8" s="23"/>
      <c r="O8" s="23"/>
      <c r="P8" s="23"/>
    </row>
    <row r="9" spans="1:16" ht="15.75" thickBot="1" x14ac:dyDescent="0.3">
      <c r="A9" s="18"/>
      <c r="B9" s="27"/>
      <c r="C9" s="27"/>
      <c r="D9" s="28"/>
      <c r="E9" s="29"/>
      <c r="F9" s="17"/>
      <c r="G9" s="30">
        <v>40.988118938903796</v>
      </c>
      <c r="H9" s="30">
        <v>20.606008214871654</v>
      </c>
      <c r="I9" s="29"/>
      <c r="J9" s="26"/>
      <c r="K9" s="29"/>
      <c r="L9" s="26"/>
      <c r="M9" s="26"/>
      <c r="N9" s="29"/>
      <c r="O9" s="29"/>
      <c r="P9" s="29"/>
    </row>
    <row r="10" spans="1:16" ht="15.75" thickBot="1" x14ac:dyDescent="0.3">
      <c r="A10" s="18"/>
      <c r="B10" s="27"/>
      <c r="C10" s="27"/>
      <c r="D10" s="28"/>
      <c r="E10" s="29"/>
      <c r="F10" s="17"/>
      <c r="G10" s="30"/>
      <c r="H10" s="30"/>
      <c r="I10" s="29"/>
      <c r="J10" s="26"/>
      <c r="K10" s="29"/>
      <c r="L10" s="26"/>
      <c r="M10" s="26"/>
      <c r="N10" s="29"/>
      <c r="O10" s="29"/>
      <c r="P10" s="29"/>
    </row>
    <row r="11" spans="1:16" ht="15.75" thickBot="1" x14ac:dyDescent="0.3">
      <c r="A11" s="4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</row>
    <row r="12" spans="1:16" ht="15.75" thickBot="1" x14ac:dyDescent="0.3">
      <c r="A12" s="4" t="s">
        <v>79</v>
      </c>
      <c r="B12" s="5" t="s">
        <v>29</v>
      </c>
      <c r="C12" s="6" t="s">
        <v>20</v>
      </c>
      <c r="D12" s="6" t="s">
        <v>10</v>
      </c>
      <c r="E12" s="6" t="s">
        <v>11</v>
      </c>
      <c r="F12" s="6" t="s">
        <v>23</v>
      </c>
      <c r="G12" s="6" t="s">
        <v>31</v>
      </c>
      <c r="H12" s="6" t="s">
        <v>80</v>
      </c>
      <c r="I12" s="6" t="s">
        <v>81</v>
      </c>
      <c r="J12" s="6" t="s">
        <v>82</v>
      </c>
      <c r="K12" s="6" t="s">
        <v>83</v>
      </c>
      <c r="L12" s="31" t="s">
        <v>84</v>
      </c>
      <c r="M12" s="32"/>
      <c r="N12" s="32"/>
      <c r="O12" s="32"/>
      <c r="P12" s="32"/>
    </row>
    <row r="13" spans="1:16" ht="15.75" thickBot="1" x14ac:dyDescent="0.3">
      <c r="A13" s="4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</row>
    <row r="14" spans="1:16" ht="15.75" thickBot="1" x14ac:dyDescent="0.3">
      <c r="A14" s="4" t="s">
        <v>85</v>
      </c>
      <c r="B14" s="5" t="s">
        <v>59</v>
      </c>
      <c r="C14" s="6" t="s">
        <v>86</v>
      </c>
      <c r="D14" s="6" t="s">
        <v>87</v>
      </c>
      <c r="E14" s="6" t="s">
        <v>88</v>
      </c>
      <c r="F14" s="6" t="s">
        <v>89</v>
      </c>
      <c r="G14" s="6" t="s">
        <v>17</v>
      </c>
      <c r="H14" s="6" t="s">
        <v>8</v>
      </c>
      <c r="I14" s="6" t="s">
        <v>9</v>
      </c>
      <c r="J14" s="6" t="s">
        <v>19</v>
      </c>
      <c r="K14" s="6" t="s">
        <v>90</v>
      </c>
      <c r="L14" s="6" t="s">
        <v>91</v>
      </c>
      <c r="M14" s="33" t="s">
        <v>92</v>
      </c>
      <c r="N14" s="31" t="s">
        <v>93</v>
      </c>
      <c r="O14" s="32"/>
      <c r="P14" s="32"/>
    </row>
    <row r="15" spans="1:16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 ht="45.75" thickBot="1" x14ac:dyDescent="0.3">
      <c r="A17" s="34"/>
      <c r="B17" s="25" t="s">
        <v>94</v>
      </c>
      <c r="C17" s="25" t="s">
        <v>95</v>
      </c>
      <c r="D17" s="25" t="s">
        <v>96</v>
      </c>
      <c r="E17" s="25" t="s">
        <v>97</v>
      </c>
      <c r="F17" s="25" t="s">
        <v>98</v>
      </c>
      <c r="G17" s="25" t="s">
        <v>99</v>
      </c>
      <c r="H17" s="25" t="s">
        <v>100</v>
      </c>
      <c r="I17" s="25" t="s">
        <v>101</v>
      </c>
      <c r="J17" s="25" t="s">
        <v>102</v>
      </c>
      <c r="K17" s="25" t="s">
        <v>103</v>
      </c>
      <c r="L17" s="25" t="s">
        <v>104</v>
      </c>
      <c r="M17" s="25" t="s">
        <v>105</v>
      </c>
      <c r="N17" s="25" t="s">
        <v>106</v>
      </c>
      <c r="O17" s="8"/>
      <c r="P17" s="8"/>
    </row>
    <row r="18" spans="1:16" ht="15.75" thickBot="1" x14ac:dyDescent="0.3">
      <c r="A18" s="35" t="s">
        <v>107</v>
      </c>
      <c r="B18" s="34">
        <v>504.02195217313891</v>
      </c>
      <c r="C18" s="34">
        <v>500.69669378220647</v>
      </c>
      <c r="D18" s="34">
        <v>500.62441386645293</v>
      </c>
      <c r="E18" s="34">
        <v>501.1041892272176</v>
      </c>
      <c r="F18" s="34">
        <v>1995.8512224883168</v>
      </c>
      <c r="G18" s="34">
        <v>254.81954424236693</v>
      </c>
      <c r="H18" s="34">
        <v>253.16107094523008</v>
      </c>
      <c r="I18" s="34">
        <v>2.1211268533635823</v>
      </c>
      <c r="J18" s="34">
        <v>2.1306026434272893</v>
      </c>
      <c r="K18" s="34">
        <v>8.5213121719884644</v>
      </c>
      <c r="L18" s="34">
        <v>1.0594926032726757</v>
      </c>
      <c r="M18" s="34">
        <v>8.5159720170791235</v>
      </c>
      <c r="N18" s="34">
        <v>1.0584173604110692</v>
      </c>
      <c r="O18" s="8"/>
      <c r="P18" s="8"/>
    </row>
    <row r="20" spans="1:16" ht="45" x14ac:dyDescent="0.25">
      <c r="B20" s="25" t="s">
        <v>108</v>
      </c>
      <c r="C20" s="25" t="s">
        <v>109</v>
      </c>
      <c r="D20" s="25" t="s">
        <v>110</v>
      </c>
      <c r="E20" s="25" t="s">
        <v>111</v>
      </c>
      <c r="F20" s="25" t="s">
        <v>112</v>
      </c>
      <c r="G20" s="25" t="s">
        <v>113</v>
      </c>
    </row>
    <row r="21" spans="1:16" ht="15.75" thickBot="1" x14ac:dyDescent="0.3">
      <c r="A21" s="36" t="s">
        <v>114</v>
      </c>
      <c r="B21" s="34">
        <v>7.824370093937237E-5</v>
      </c>
      <c r="C21" s="34">
        <v>6.0549848484448212</v>
      </c>
      <c r="D21" s="34">
        <v>0.12746175855780453</v>
      </c>
      <c r="E21" s="34">
        <v>2.3511082915791324E-4</v>
      </c>
      <c r="F21" s="34">
        <v>1.2067956047513809E-4</v>
      </c>
      <c r="G21" s="34">
        <v>6.289879103161992E-5</v>
      </c>
    </row>
    <row r="22" spans="1:16" x14ac:dyDescent="0.25">
      <c r="A22" s="36"/>
    </row>
    <row r="23" spans="1:16" ht="45" x14ac:dyDescent="0.25">
      <c r="A23" s="36"/>
      <c r="B23" s="25" t="s">
        <v>115</v>
      </c>
      <c r="C23" s="25" t="s">
        <v>116</v>
      </c>
      <c r="D23" s="25" t="s">
        <v>117</v>
      </c>
      <c r="E23" s="25" t="s">
        <v>118</v>
      </c>
    </row>
    <row r="24" spans="1:16" x14ac:dyDescent="0.25">
      <c r="A24" s="36" t="s">
        <v>119</v>
      </c>
      <c r="B24">
        <v>2.274926592948924</v>
      </c>
      <c r="C24">
        <v>2.8909940458425609E-4</v>
      </c>
      <c r="D24">
        <v>3.8007927433476432E-2</v>
      </c>
      <c r="E24">
        <v>5.3076220225349093</v>
      </c>
    </row>
    <row r="26" spans="1:16" x14ac:dyDescent="0.25">
      <c r="D26">
        <f>C24/C28</f>
        <v>5.4078522685105931E-5</v>
      </c>
    </row>
    <row r="27" spans="1:16" x14ac:dyDescent="0.25">
      <c r="A27" s="100" t="s">
        <v>336</v>
      </c>
      <c r="D27">
        <f>D24/C28</f>
        <v>7.1097087483833919E-3</v>
      </c>
    </row>
    <row r="28" spans="1:16" x14ac:dyDescent="0.25">
      <c r="C28">
        <f>C24+D24+E24</f>
        <v>5.34591904937297</v>
      </c>
      <c r="D28">
        <f>E24/C28</f>
        <v>0.99283621272893152</v>
      </c>
    </row>
  </sheetData>
  <pageMargins left="0.7" right="0.7" top="0.75" bottom="0.75" header="0.3" footer="0.3"/>
  <pageSetup scale="8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MassSpecRept</vt:lpstr>
      <vt:lpstr>Response_Functions</vt:lpstr>
      <vt:lpstr>List of Elements</vt:lpstr>
      <vt:lpstr>Equation</vt:lpstr>
      <vt:lpstr>Standards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M. Guthrie</dc:creator>
  <cp:lastModifiedBy>Mendoza, Paul Michael</cp:lastModifiedBy>
  <cp:lastPrinted>2015-10-07T19:05:31Z</cp:lastPrinted>
  <dcterms:created xsi:type="dcterms:W3CDTF">2015-02-26T00:05:32Z</dcterms:created>
  <dcterms:modified xsi:type="dcterms:W3CDTF">2015-12-03T21:31:17Z</dcterms:modified>
</cp:coreProperties>
</file>