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Mass_Spec\Instrument_Response\"/>
    </mc:Choice>
  </mc:AlternateContent>
  <bookViews>
    <workbookView xWindow="0" yWindow="0" windowWidth="8760" windowHeight="9780"/>
  </bookViews>
  <sheets>
    <sheet name="Contamina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G57" i="1"/>
  <c r="G55" i="1"/>
  <c r="G53" i="1"/>
  <c r="F61" i="1"/>
  <c r="F60" i="1"/>
  <c r="F59" i="1"/>
  <c r="F58" i="1"/>
  <c r="F57" i="1"/>
  <c r="F55" i="1"/>
  <c r="F53" i="1"/>
  <c r="D91" i="1" l="1"/>
  <c r="C91" i="1"/>
  <c r="D77" i="1"/>
  <c r="D75" i="1"/>
  <c r="D73" i="1"/>
  <c r="D72" i="1"/>
  <c r="D71" i="1"/>
  <c r="D70" i="1"/>
  <c r="D67" i="1"/>
  <c r="C77" i="1"/>
  <c r="C75" i="1"/>
  <c r="C73" i="1"/>
  <c r="C72" i="1"/>
  <c r="C71" i="1"/>
  <c r="C70" i="1"/>
  <c r="C67" i="1"/>
  <c r="J83" i="1"/>
  <c r="J81" i="1"/>
  <c r="J80" i="1"/>
  <c r="J79" i="1"/>
  <c r="J78" i="1"/>
  <c r="J77" i="1"/>
  <c r="J75" i="1"/>
  <c r="I83" i="1"/>
  <c r="I81" i="1"/>
  <c r="I80" i="1"/>
  <c r="I79" i="1"/>
  <c r="I78" i="1"/>
  <c r="I77" i="1"/>
  <c r="I75" i="1"/>
  <c r="J73" i="1"/>
  <c r="J71" i="1"/>
  <c r="J69" i="1"/>
  <c r="J68" i="1"/>
  <c r="J67" i="1"/>
  <c r="J66" i="1"/>
  <c r="J65" i="1"/>
  <c r="I73" i="1"/>
  <c r="I71" i="1"/>
  <c r="I69" i="1"/>
  <c r="I68" i="1"/>
  <c r="I67" i="1"/>
  <c r="I66" i="1"/>
  <c r="I65" i="1"/>
  <c r="J61" i="1"/>
  <c r="J62" i="1"/>
  <c r="I61" i="1"/>
  <c r="I62" i="1"/>
  <c r="D65" i="1"/>
  <c r="D63" i="1"/>
  <c r="D61" i="1"/>
  <c r="D59" i="1"/>
  <c r="C65" i="1"/>
  <c r="C63" i="1"/>
  <c r="C61" i="1"/>
  <c r="C59" i="1"/>
  <c r="G46" i="1"/>
  <c r="G44" i="1"/>
  <c r="F44" i="1"/>
  <c r="F46" i="1"/>
  <c r="D47" i="1"/>
  <c r="D45" i="1"/>
  <c r="D43" i="1"/>
  <c r="D42" i="1"/>
  <c r="D41" i="1"/>
  <c r="D40" i="1"/>
  <c r="D39" i="1"/>
  <c r="D38" i="1"/>
  <c r="D37" i="1"/>
  <c r="C47" i="1"/>
  <c r="C45" i="1"/>
  <c r="C43" i="1"/>
  <c r="C42" i="1"/>
  <c r="C41" i="1"/>
  <c r="C40" i="1"/>
  <c r="C39" i="1"/>
  <c r="C38" i="1"/>
  <c r="C37" i="1"/>
  <c r="C35" i="1"/>
  <c r="G32" i="1"/>
  <c r="G30" i="1"/>
  <c r="F32" i="1"/>
  <c r="F30" i="1"/>
  <c r="D33" i="1"/>
  <c r="D31" i="1"/>
  <c r="D29" i="1"/>
  <c r="D28" i="1"/>
  <c r="D27" i="1"/>
  <c r="D25" i="1"/>
  <c r="C33" i="1"/>
  <c r="C31" i="1"/>
  <c r="C29" i="1"/>
  <c r="C28" i="1"/>
  <c r="C27" i="1"/>
  <c r="C25" i="1"/>
  <c r="F23" i="1"/>
  <c r="F21" i="1"/>
  <c r="F20" i="1"/>
  <c r="J39" i="1"/>
  <c r="J37" i="1"/>
  <c r="J36" i="1"/>
  <c r="J35" i="1"/>
  <c r="J34" i="1"/>
  <c r="J33" i="1"/>
  <c r="J31" i="1"/>
  <c r="J29" i="1"/>
  <c r="I39" i="1"/>
  <c r="I37" i="1"/>
  <c r="I36" i="1"/>
  <c r="I35" i="1"/>
  <c r="I34" i="1"/>
  <c r="I33" i="1"/>
  <c r="I31" i="1"/>
  <c r="I29" i="1"/>
  <c r="J27" i="1"/>
  <c r="J25" i="1"/>
  <c r="J24" i="1"/>
  <c r="J23" i="1"/>
  <c r="J22" i="1"/>
  <c r="J21" i="1"/>
  <c r="J19" i="1"/>
  <c r="I27" i="1"/>
  <c r="I25" i="1"/>
  <c r="I24" i="1"/>
  <c r="I23" i="1"/>
  <c r="I22" i="1"/>
  <c r="I21" i="1"/>
  <c r="I19" i="1"/>
  <c r="G19" i="1" l="1"/>
  <c r="F19" i="1"/>
  <c r="D19" i="1"/>
  <c r="C19" i="1"/>
  <c r="G18" i="1"/>
  <c r="F18" i="1"/>
  <c r="G17" i="1"/>
  <c r="F17" i="1"/>
  <c r="G15" i="1"/>
  <c r="F15" i="1"/>
  <c r="C16" i="1"/>
  <c r="D17" i="1"/>
  <c r="C17" i="1"/>
  <c r="D15" i="1"/>
  <c r="C15" i="1"/>
  <c r="D14" i="1"/>
  <c r="C14" i="1"/>
  <c r="D13" i="1"/>
  <c r="C13" i="1"/>
  <c r="D8" i="1"/>
  <c r="C8" i="1"/>
</calcChain>
</file>

<file path=xl/sharedStrings.xml><?xml version="1.0" encoding="utf-8"?>
<sst xmlns="http://schemas.openxmlformats.org/spreadsheetml/2006/main" count="209" uniqueCount="204">
  <si>
    <t>Mass</t>
  </si>
  <si>
    <t>±</t>
  </si>
  <si>
    <t>Isotopes from Fission</t>
  </si>
  <si>
    <t>Rb 85</t>
  </si>
  <si>
    <t>Y 89</t>
  </si>
  <si>
    <t>Zr 90</t>
  </si>
  <si>
    <t>Zr 91</t>
  </si>
  <si>
    <t>Zr 92</t>
  </si>
  <si>
    <t>Nb 93</t>
  </si>
  <si>
    <t>Zr 94</t>
  </si>
  <si>
    <t>Zr 96</t>
  </si>
  <si>
    <t>Pd 102</t>
  </si>
  <si>
    <t>Pd 104</t>
  </si>
  <si>
    <t>Pd 105</t>
  </si>
  <si>
    <t>Pd 106</t>
  </si>
  <si>
    <t>Pd 108</t>
  </si>
  <si>
    <t>Mo 92</t>
  </si>
  <si>
    <t>Mo 94</t>
  </si>
  <si>
    <t>Mo 95</t>
  </si>
  <si>
    <t>Mo 96</t>
  </si>
  <si>
    <t>Mo 97</t>
  </si>
  <si>
    <t>Mo 98</t>
  </si>
  <si>
    <t>Mo 100</t>
  </si>
  <si>
    <t>Rh 103</t>
  </si>
  <si>
    <t>Ag 107</t>
  </si>
  <si>
    <t>Ag 109</t>
  </si>
  <si>
    <t>Isotope</t>
  </si>
  <si>
    <t>Ru 96</t>
  </si>
  <si>
    <t>Ru 98</t>
  </si>
  <si>
    <t>Ru 99</t>
  </si>
  <si>
    <t>Ru 100</t>
  </si>
  <si>
    <t>Ru 101</t>
  </si>
  <si>
    <t>Ru 102</t>
  </si>
  <si>
    <t>Ru 104</t>
  </si>
  <si>
    <t>Cd 106</t>
  </si>
  <si>
    <t>Cd 108</t>
  </si>
  <si>
    <t>Cd 110</t>
  </si>
  <si>
    <t>Cd 111</t>
  </si>
  <si>
    <t>Cd 112</t>
  </si>
  <si>
    <t>Cd 113</t>
  </si>
  <si>
    <t>Cd 114</t>
  </si>
  <si>
    <t>Cd 116</t>
  </si>
  <si>
    <t>Pd 110</t>
  </si>
  <si>
    <t>Sn 112</t>
  </si>
  <si>
    <t>Sn 114</t>
  </si>
  <si>
    <t>Sn 115</t>
  </si>
  <si>
    <t>Sn 116</t>
  </si>
  <si>
    <t>Sn 117</t>
  </si>
  <si>
    <t>Sn 118</t>
  </si>
  <si>
    <t>Sn 119</t>
  </si>
  <si>
    <t>Sn 120</t>
  </si>
  <si>
    <t>In 113</t>
  </si>
  <si>
    <t>In 115</t>
  </si>
  <si>
    <t>Sb 121</t>
  </si>
  <si>
    <t>Sn 122</t>
  </si>
  <si>
    <t>Sn 124</t>
  </si>
  <si>
    <t>Xe 128</t>
  </si>
  <si>
    <t>Xe 129</t>
  </si>
  <si>
    <t>Xe 130</t>
  </si>
  <si>
    <t>Xe 131</t>
  </si>
  <si>
    <t>Xe 132</t>
  </si>
  <si>
    <t>Sb 123</t>
  </si>
  <si>
    <t>Xe 124</t>
  </si>
  <si>
    <t>Xe 126</t>
  </si>
  <si>
    <t>I 127</t>
  </si>
  <si>
    <t>Ba 130</t>
  </si>
  <si>
    <t>Ba 132</t>
  </si>
  <si>
    <t>Te 120</t>
  </si>
  <si>
    <t>Te 122</t>
  </si>
  <si>
    <t>Te 123</t>
  </si>
  <si>
    <t>Te 124</t>
  </si>
  <si>
    <t>Te 125</t>
  </si>
  <si>
    <t>Te 126</t>
  </si>
  <si>
    <t>Te 128</t>
  </si>
  <si>
    <t>Te 130</t>
  </si>
  <si>
    <t>Ba 134</t>
  </si>
  <si>
    <t>Ba 135</t>
  </si>
  <si>
    <t>Ba 136</t>
  </si>
  <si>
    <t>Ba 137</t>
  </si>
  <si>
    <t>Ba 138</t>
  </si>
  <si>
    <t>Pr 141</t>
  </si>
  <si>
    <t>Xe 134</t>
  </si>
  <si>
    <t>Ce 136</t>
  </si>
  <si>
    <t>Ce 142</t>
  </si>
  <si>
    <t>Sm 144</t>
  </si>
  <si>
    <t>Cs 133</t>
  </si>
  <si>
    <t>Xe 136</t>
  </si>
  <si>
    <t>Sm 147</t>
  </si>
  <si>
    <t>Sm 148</t>
  </si>
  <si>
    <t>Sm 149</t>
  </si>
  <si>
    <t>Sm 150</t>
  </si>
  <si>
    <t>Eu 151</t>
  </si>
  <si>
    <t>La 138</t>
  </si>
  <si>
    <t>La 139</t>
  </si>
  <si>
    <t>Sm 152</t>
  </si>
  <si>
    <t>Sm 154</t>
  </si>
  <si>
    <t>Dy 156</t>
  </si>
  <si>
    <t>Dy 158</t>
  </si>
  <si>
    <t>Dy 160</t>
  </si>
  <si>
    <t>U 235</t>
  </si>
  <si>
    <t>U 238</t>
  </si>
  <si>
    <t>Eu 153</t>
  </si>
  <si>
    <t>Tb 159</t>
  </si>
  <si>
    <t>Nd 142</t>
  </si>
  <si>
    <t>Nd 143</t>
  </si>
  <si>
    <t>Nd 144</t>
  </si>
  <si>
    <t>Nd 145</t>
  </si>
  <si>
    <t>Nd 146</t>
  </si>
  <si>
    <t>Nd 148</t>
  </si>
  <si>
    <t>Nd 150</t>
  </si>
  <si>
    <t>Gd 152</t>
  </si>
  <si>
    <t>Gd 154</t>
  </si>
  <si>
    <t>Gd 155</t>
  </si>
  <si>
    <t>Gd 156</t>
  </si>
  <si>
    <t>Gd 157</t>
  </si>
  <si>
    <t>Gd 158</t>
  </si>
  <si>
    <t>Gd 160</t>
  </si>
  <si>
    <t>Contam 1 (ppb)</t>
  </si>
  <si>
    <t>Contam 2 (ppb)</t>
  </si>
  <si>
    <t>Contam 3 (ppb)</t>
  </si>
  <si>
    <t>Y 91 (58.51 d) -&gt; Zr 91 (stable)</t>
  </si>
  <si>
    <t>Sr 90 (28.79 yr) -&gt; Y 90 (64 h) -&gt; Zr 90 (stable)</t>
  </si>
  <si>
    <t>Sr 89 (50.53 d) -&gt; Y 89 (stable)</t>
  </si>
  <si>
    <t>Rb 85 (stable)</t>
  </si>
  <si>
    <t>Zr 92 (stable)</t>
  </si>
  <si>
    <t>Zr 93 (1.61 million years) -&gt; Nb 93 (stable)</t>
  </si>
  <si>
    <t>Zr 94 (stable)</t>
  </si>
  <si>
    <t>Zr 95 (64.032 d) -&gt; Nb 95 (34.991 d) -&gt; Mo 95 (stable)</t>
  </si>
  <si>
    <t>Zr 96 (~stable)</t>
  </si>
  <si>
    <t>Mo 97 (stable)</t>
  </si>
  <si>
    <t>Mo 98 (stable)</t>
  </si>
  <si>
    <t>Tc 99 (211100 years) -&gt; Ru 99 (stable)</t>
  </si>
  <si>
    <t>Mo 100 (~stable)</t>
  </si>
  <si>
    <t>Ru 101 (stable)</t>
  </si>
  <si>
    <t>Ru 102 (stable)</t>
  </si>
  <si>
    <t>Ru 103 (39.247 d) -&gt; Rh 103 (stable)</t>
  </si>
  <si>
    <t>Ru 104 (stable)</t>
  </si>
  <si>
    <t>Pd 105 (stable)</t>
  </si>
  <si>
    <t>Cd 111 (stable)</t>
  </si>
  <si>
    <t>Ru 106 (371.8 d) -&gt; Pd 106 (stable)</t>
  </si>
  <si>
    <t>Pd 107 (6500000 y) -&gt; Ag 107 (stable)</t>
  </si>
  <si>
    <t>Pd 108 (stable)</t>
  </si>
  <si>
    <t>Ag 109 (stable)</t>
  </si>
  <si>
    <t>Pd 110 (stable)</t>
  </si>
  <si>
    <t>Cd 112 (stable)</t>
  </si>
  <si>
    <t>Cd 113 (stable)</t>
  </si>
  <si>
    <t>Cd 114 (stable)</t>
  </si>
  <si>
    <t>In 115 (~stable)</t>
  </si>
  <si>
    <t>Cd 116 (~stable)</t>
  </si>
  <si>
    <t>Sn 117 (stable)</t>
  </si>
  <si>
    <t>Sn 118 (stable)</t>
  </si>
  <si>
    <t>Sn 119 (stable)</t>
  </si>
  <si>
    <t>Sn 120 (stable)</t>
  </si>
  <si>
    <t>Sn 122 (stable)</t>
  </si>
  <si>
    <t>Sn 123 (129.2 d) -&gt; Sb 123 (stable)</t>
  </si>
  <si>
    <t>Sn 124 (stable)</t>
  </si>
  <si>
    <t>Sb 125 (2.7586 y) -&gt; Te 125 (stable)</t>
  </si>
  <si>
    <t>Sn 126 (230000 y) -&gt; Sb 126 (12.35 d) -&gt; Te 126 (stable)</t>
  </si>
  <si>
    <t>I 127 (stable)</t>
  </si>
  <si>
    <t>Te 128 (stable)</t>
  </si>
  <si>
    <t>I 129 (15700000 y)</t>
  </si>
  <si>
    <t>Te 130 (~stable)</t>
  </si>
  <si>
    <t>Should be dead</t>
  </si>
  <si>
    <t>Barium (contamination check!)</t>
  </si>
  <si>
    <t>Ba mass %s</t>
  </si>
  <si>
    <t>Xe (5.2475 d) -&gt; Cs 133 (stable)</t>
  </si>
  <si>
    <t>Cs 134 (2.0652 y) -&gt; Ba 134 (stable)</t>
  </si>
  <si>
    <t>Cs 135 (2300000 y) -&gt; Ba 135 (stable)</t>
  </si>
  <si>
    <t>Cs 137 (30.08 y) -&gt; Ba 137 (stable)</t>
  </si>
  <si>
    <t>Ba 138 (stable) (fission + Background)</t>
  </si>
  <si>
    <t>La 139 (stable)</t>
  </si>
  <si>
    <t>Ce 140 (stable)</t>
  </si>
  <si>
    <t>Ce 141 (32.508) -&gt; Pr 141</t>
  </si>
  <si>
    <t>Ce 142 (stable)</t>
  </si>
  <si>
    <t>Sm 149 (stable)</t>
  </si>
  <si>
    <t>Sm 152 (stable)</t>
  </si>
  <si>
    <t>Sm 154 (stable)</t>
  </si>
  <si>
    <t>Nd 143 Stable</t>
  </si>
  <si>
    <t>Ce 144 (284.91 d) -&gt; Nd 144 (~stable)</t>
  </si>
  <si>
    <t>Nd 145 (stable)</t>
  </si>
  <si>
    <t>Nd 146 (stable)</t>
  </si>
  <si>
    <t>Pm 147 (2.6234 y) -&gt; Sm 147</t>
  </si>
  <si>
    <t>Nd 148 (stable)</t>
  </si>
  <si>
    <t>Gd 156 (stable)</t>
  </si>
  <si>
    <t>Gd 157 (stable)</t>
  </si>
  <si>
    <t>Gd 158 (stable)</t>
  </si>
  <si>
    <t>Gd 160 (stable)</t>
  </si>
  <si>
    <t>Nd 150 (~stable) should have Sm 150 (stable)</t>
  </si>
  <si>
    <t>Sm 151 (90 y) -&gt; Eu 151 (stable)</t>
  </si>
  <si>
    <t>Ru</t>
  </si>
  <si>
    <t>Mo</t>
  </si>
  <si>
    <t>Pd</t>
  </si>
  <si>
    <t>Cd</t>
  </si>
  <si>
    <t>Sn</t>
  </si>
  <si>
    <t>Ce</t>
  </si>
  <si>
    <t>Nd</t>
  </si>
  <si>
    <t>Sm</t>
  </si>
  <si>
    <t>Eu 153 (stable)</t>
  </si>
  <si>
    <t>Eu 155 (4.753 y) -&gt; Gd 155</t>
  </si>
  <si>
    <t>Tb 159 (stable)</t>
  </si>
  <si>
    <t>Interest</t>
  </si>
  <si>
    <t>Ce 140</t>
  </si>
  <si>
    <t>Ce 138</t>
  </si>
  <si>
    <t>Sn 121 (27.03 h) -&gt; Sb 121 (stable) [95% of the time] || Sn 121 (43.9 y) -&gt; Sb 121 (stable) [5% of the time]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</si>
</sst>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3" xfId="0" applyFont="1" applyBorder="1"/>
    <xf numFmtId="0" fontId="2" fillId="3" borderId="1" xfId="2" applyBorder="1" applyAlignment="1">
      <alignment horizontal="center"/>
    </xf>
    <xf numFmtId="0" fontId="2" fillId="0" borderId="2" xfId="2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1" fillId="2" borderId="1" xfId="1" applyBorder="1" applyAlignment="1">
      <alignment horizontal="center"/>
    </xf>
    <xf numFmtId="0" fontId="1" fillId="0" borderId="2" xfId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/>
    <xf numFmtId="165" fontId="0" fillId="0" borderId="2" xfId="0" applyNumberFormat="1" applyBorder="1" applyAlignment="1"/>
    <xf numFmtId="2" fontId="0" fillId="0" borderId="2" xfId="0" applyNumberFormat="1" applyBorder="1"/>
    <xf numFmtId="165" fontId="0" fillId="0" borderId="2" xfId="0" applyNumberFormat="1" applyBorder="1"/>
    <xf numFmtId="164" fontId="0" fillId="0" borderId="2" xfId="0" applyNumberFormat="1" applyBorder="1" applyAlignment="1"/>
    <xf numFmtId="165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0" borderId="3" xfId="0" applyFont="1" applyBorder="1"/>
    <xf numFmtId="2" fontId="0" fillId="5" borderId="2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Fill="1" applyBorder="1"/>
    <xf numFmtId="0" fontId="1" fillId="2" borderId="0" xfId="1"/>
    <xf numFmtId="0" fontId="0" fillId="0" borderId="1" xfId="0" applyFill="1" applyBorder="1"/>
    <xf numFmtId="0" fontId="0" fillId="0" borderId="2" xfId="0" applyFill="1" applyBorder="1"/>
    <xf numFmtId="165" fontId="0" fillId="0" borderId="2" xfId="0" applyNumberFormat="1" applyFill="1" applyBorder="1"/>
    <xf numFmtId="2" fontId="0" fillId="0" borderId="2" xfId="0" applyNumberFormat="1" applyFill="1" applyBorder="1"/>
    <xf numFmtId="164" fontId="0" fillId="0" borderId="2" xfId="0" applyNumberFormat="1" applyFill="1" applyBorder="1" applyAlignment="1"/>
    <xf numFmtId="0" fontId="0" fillId="0" borderId="3" xfId="0" applyFill="1" applyBorder="1"/>
    <xf numFmtId="2" fontId="0" fillId="0" borderId="2" xfId="0" applyNumberFormat="1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3" xfId="0" applyBorder="1" applyAlignment="1">
      <alignment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6"/>
  <sheetViews>
    <sheetView tabSelected="1" topLeftCell="A22" workbookViewId="0">
      <selection activeCell="N43" sqref="N43"/>
    </sheetView>
  </sheetViews>
  <sheetFormatPr defaultRowHeight="15" x14ac:dyDescent="0.25"/>
  <cols>
    <col min="1" max="1" width="5.42578125" bestFit="1" customWidth="1"/>
    <col min="2" max="2" width="7.7109375" bestFit="1" customWidth="1"/>
    <col min="3" max="3" width="9.28515625" bestFit="1" customWidth="1"/>
    <col min="4" max="4" width="5.5703125" bestFit="1" customWidth="1"/>
    <col min="5" max="5" width="7.7109375" bestFit="1" customWidth="1"/>
    <col min="6" max="6" width="9.28515625" bestFit="1" customWidth="1"/>
    <col min="7" max="7" width="6.5703125" bestFit="1" customWidth="1"/>
    <col min="8" max="8" width="7.7109375" bestFit="1" customWidth="1"/>
    <col min="9" max="9" width="9.28515625" bestFit="1" customWidth="1"/>
    <col min="10" max="10" width="5.5703125" bestFit="1" customWidth="1"/>
    <col min="11" max="11" width="47.140625" bestFit="1" customWidth="1"/>
    <col min="12" max="12" width="8" bestFit="1" customWidth="1"/>
  </cols>
  <sheetData>
    <row r="1" spans="1:12" ht="30.75" thickBot="1" x14ac:dyDescent="0.3">
      <c r="A1" s="1" t="s">
        <v>0</v>
      </c>
      <c r="B1" s="2" t="s">
        <v>26</v>
      </c>
      <c r="C1" s="3" t="s">
        <v>117</v>
      </c>
      <c r="D1" s="4" t="s">
        <v>1</v>
      </c>
      <c r="E1" s="4" t="s">
        <v>26</v>
      </c>
      <c r="F1" s="3" t="s">
        <v>118</v>
      </c>
      <c r="G1" s="4" t="s">
        <v>1</v>
      </c>
      <c r="H1" s="4" t="s">
        <v>26</v>
      </c>
      <c r="I1" s="5" t="s">
        <v>119</v>
      </c>
      <c r="J1" s="4" t="s">
        <v>1</v>
      </c>
      <c r="K1" s="6" t="s">
        <v>2</v>
      </c>
      <c r="L1" s="31" t="s">
        <v>200</v>
      </c>
    </row>
    <row r="2" spans="1:12" ht="15.75" thickBot="1" x14ac:dyDescent="0.3">
      <c r="A2" s="7">
        <v>66</v>
      </c>
      <c r="B2" s="8"/>
      <c r="C2" s="9"/>
      <c r="D2" s="9"/>
      <c r="E2" s="9"/>
      <c r="F2" s="9"/>
      <c r="G2" s="9"/>
      <c r="H2" s="9"/>
      <c r="I2" s="9"/>
      <c r="J2" s="2"/>
      <c r="K2" s="10"/>
    </row>
    <row r="3" spans="1:12" ht="15.75" thickBot="1" x14ac:dyDescent="0.3">
      <c r="A3" s="7">
        <v>70</v>
      </c>
      <c r="B3" s="8"/>
      <c r="C3" s="9"/>
      <c r="D3" s="9"/>
      <c r="E3" s="9"/>
      <c r="F3" s="9"/>
      <c r="G3" s="9"/>
      <c r="H3" s="9"/>
      <c r="I3" s="9"/>
      <c r="J3" s="2"/>
      <c r="K3" s="10"/>
    </row>
    <row r="4" spans="1:12" ht="15.75" thickBot="1" x14ac:dyDescent="0.3">
      <c r="A4" s="7">
        <v>71</v>
      </c>
      <c r="B4" s="8"/>
      <c r="C4" s="9"/>
      <c r="D4" s="9"/>
      <c r="E4" s="9"/>
      <c r="F4" s="9"/>
      <c r="G4" s="9"/>
      <c r="H4" s="9"/>
      <c r="I4" s="9"/>
      <c r="J4" s="2"/>
      <c r="K4" s="10"/>
    </row>
    <row r="5" spans="1:12" ht="15.75" thickBot="1" x14ac:dyDescent="0.3">
      <c r="A5" s="7">
        <v>72</v>
      </c>
      <c r="B5" s="8"/>
      <c r="C5" s="9"/>
      <c r="D5" s="9"/>
      <c r="E5" s="9"/>
      <c r="F5" s="9"/>
      <c r="G5" s="9"/>
      <c r="H5" s="9"/>
      <c r="I5" s="9"/>
      <c r="J5" s="2"/>
      <c r="K5" s="10"/>
    </row>
    <row r="6" spans="1:12" ht="15.75" thickBot="1" x14ac:dyDescent="0.3">
      <c r="A6" s="7">
        <v>73</v>
      </c>
      <c r="B6" s="8"/>
      <c r="C6" s="9"/>
      <c r="D6" s="9"/>
      <c r="E6" s="9"/>
      <c r="F6" s="9"/>
      <c r="G6" s="9"/>
      <c r="H6" s="9"/>
      <c r="I6" s="9"/>
      <c r="J6" s="2"/>
      <c r="K6" s="10"/>
    </row>
    <row r="7" spans="1:12" ht="15.75" thickBot="1" x14ac:dyDescent="0.3">
      <c r="A7" s="7">
        <v>74</v>
      </c>
      <c r="B7" s="8"/>
      <c r="C7" s="9"/>
      <c r="D7" s="9"/>
      <c r="E7" s="9"/>
      <c r="F7" s="9"/>
      <c r="G7" s="9"/>
      <c r="H7" s="9"/>
      <c r="I7" s="9"/>
      <c r="J7" s="2"/>
      <c r="K7" s="10"/>
    </row>
    <row r="8" spans="1:12" ht="15.75" thickBot="1" x14ac:dyDescent="0.3">
      <c r="A8" s="11">
        <v>85</v>
      </c>
      <c r="B8" s="12" t="s">
        <v>3</v>
      </c>
      <c r="C8" s="13">
        <f>0.26911*0.717006</f>
        <v>0.19295348466000001</v>
      </c>
      <c r="D8" s="13">
        <f>0.717006121758612*0.54689</f>
        <v>0.39212347792856733</v>
      </c>
      <c r="E8" s="9"/>
      <c r="F8" s="9"/>
      <c r="G8" s="9"/>
      <c r="H8" s="9"/>
      <c r="I8" s="9"/>
      <c r="J8" s="2"/>
      <c r="K8" s="6" t="s">
        <v>123</v>
      </c>
    </row>
    <row r="9" spans="1:12" ht="15.75" thickBot="1" x14ac:dyDescent="0.3">
      <c r="A9" s="7">
        <v>86</v>
      </c>
      <c r="B9" s="8"/>
      <c r="C9" s="14"/>
      <c r="D9" s="15"/>
      <c r="E9" s="15"/>
      <c r="F9" s="15"/>
      <c r="G9" s="9"/>
      <c r="H9" s="15"/>
      <c r="I9" s="15"/>
      <c r="J9" s="2"/>
      <c r="K9" s="10"/>
    </row>
    <row r="10" spans="1:12" ht="15.75" thickBot="1" x14ac:dyDescent="0.3">
      <c r="A10" s="7">
        <v>87</v>
      </c>
      <c r="B10" s="8"/>
      <c r="C10" s="14"/>
      <c r="D10" s="15"/>
      <c r="E10" s="15"/>
      <c r="F10" s="15"/>
      <c r="G10" s="9"/>
      <c r="H10" s="15"/>
      <c r="I10" s="15"/>
      <c r="J10" s="2"/>
      <c r="K10" s="10"/>
    </row>
    <row r="11" spans="1:12" ht="15.75" thickBot="1" x14ac:dyDescent="0.3">
      <c r="A11" s="7">
        <v>88</v>
      </c>
      <c r="B11" s="8"/>
      <c r="C11" s="14"/>
      <c r="D11" s="15"/>
      <c r="E11" s="15"/>
      <c r="F11" s="15"/>
      <c r="G11" s="9"/>
      <c r="H11" s="15"/>
      <c r="I11" s="15"/>
      <c r="J11" s="2"/>
      <c r="K11" s="10"/>
    </row>
    <row r="12" spans="1:12" ht="15.75" thickBot="1" x14ac:dyDescent="0.3">
      <c r="A12" s="11">
        <v>89</v>
      </c>
      <c r="B12" s="12" t="s">
        <v>4</v>
      </c>
      <c r="C12" s="13">
        <v>1.327105</v>
      </c>
      <c r="D12" s="13">
        <v>3.4128959999999999</v>
      </c>
      <c r="E12" s="9"/>
      <c r="F12" s="9"/>
      <c r="G12" s="9"/>
      <c r="H12" s="9"/>
      <c r="I12" s="9"/>
      <c r="J12" s="2"/>
      <c r="K12" s="10" t="s">
        <v>122</v>
      </c>
    </row>
    <row r="13" spans="1:12" ht="15.75" thickBot="1" x14ac:dyDescent="0.3">
      <c r="A13" s="11">
        <v>90</v>
      </c>
      <c r="B13" s="12" t="s">
        <v>5</v>
      </c>
      <c r="C13" s="13">
        <f>0.565*0.50706</f>
        <v>0.28648889999999994</v>
      </c>
      <c r="D13" s="13">
        <f>0.50706*1.925</f>
        <v>0.97609049999999997</v>
      </c>
      <c r="E13" s="9"/>
      <c r="F13" s="9"/>
      <c r="G13" s="9"/>
      <c r="H13" s="9"/>
      <c r="I13" s="9"/>
      <c r="J13" s="2"/>
      <c r="K13" s="10" t="s">
        <v>121</v>
      </c>
    </row>
    <row r="14" spans="1:12" ht="15.75" thickBot="1" x14ac:dyDescent="0.3">
      <c r="A14" s="16">
        <v>91</v>
      </c>
      <c r="B14" s="9" t="s">
        <v>6</v>
      </c>
      <c r="C14" s="13">
        <f>0.11181*0.565</f>
        <v>6.3172649999999997E-2</v>
      </c>
      <c r="D14" s="13">
        <f>0.11181*1.925</f>
        <v>0.21523425000000002</v>
      </c>
      <c r="E14" s="9"/>
      <c r="F14" s="9"/>
      <c r="G14" s="9"/>
      <c r="H14" s="9"/>
      <c r="I14" s="9"/>
      <c r="J14" s="2"/>
      <c r="K14" s="10" t="s">
        <v>120</v>
      </c>
    </row>
    <row r="15" spans="1:12" ht="15.75" thickBot="1" x14ac:dyDescent="0.3">
      <c r="A15" s="16">
        <v>92</v>
      </c>
      <c r="B15" s="9" t="s">
        <v>7</v>
      </c>
      <c r="C15" s="13">
        <f>0.17278*0.565</f>
        <v>9.7620699999999991E-2</v>
      </c>
      <c r="D15" s="13">
        <f>1.925*0.17278</f>
        <v>0.33260149999999999</v>
      </c>
      <c r="E15" s="9" t="s">
        <v>16</v>
      </c>
      <c r="F15" s="13">
        <f>6.189295*0.14217</f>
        <v>0.87993207014999997</v>
      </c>
      <c r="G15" s="17">
        <f>0.14217*25.91071</f>
        <v>3.6837256407000001</v>
      </c>
      <c r="H15" s="9"/>
      <c r="I15" s="18"/>
      <c r="J15" s="2"/>
      <c r="K15" s="10" t="s">
        <v>124</v>
      </c>
    </row>
    <row r="16" spans="1:12" ht="15.75" thickBot="1" x14ac:dyDescent="0.3">
      <c r="A16" s="16">
        <v>93</v>
      </c>
      <c r="B16" s="9" t="s">
        <v>8</v>
      </c>
      <c r="C16" s="13">
        <f>0.175122</f>
        <v>0.175122</v>
      </c>
      <c r="D16" s="13">
        <v>0.83487800000000001</v>
      </c>
      <c r="E16" s="9"/>
      <c r="F16" s="13"/>
      <c r="G16" s="17"/>
      <c r="H16" s="9"/>
      <c r="I16" s="18"/>
      <c r="J16" s="2"/>
      <c r="K16" s="10" t="s">
        <v>125</v>
      </c>
    </row>
    <row r="17" spans="1:12" ht="15.75" thickBot="1" x14ac:dyDescent="0.3">
      <c r="A17" s="16">
        <v>94</v>
      </c>
      <c r="B17" s="9" t="s">
        <v>9</v>
      </c>
      <c r="C17" s="13">
        <f>0.17891*0.565</f>
        <v>0.10108415</v>
      </c>
      <c r="D17" s="13">
        <f>0.17891*1.925</f>
        <v>0.34440175000000001</v>
      </c>
      <c r="E17" s="9" t="s">
        <v>17</v>
      </c>
      <c r="F17" s="13">
        <f>6.189295*0.090546</f>
        <v>0.56041590507000005</v>
      </c>
      <c r="G17" s="17">
        <f>0.090546*25.91071</f>
        <v>2.3461111476600003</v>
      </c>
      <c r="H17" s="9"/>
      <c r="I17" s="18"/>
      <c r="J17" s="2"/>
      <c r="K17" s="10" t="s">
        <v>126</v>
      </c>
    </row>
    <row r="18" spans="1:12" ht="15.75" thickBot="1" x14ac:dyDescent="0.3">
      <c r="A18" s="19">
        <v>95</v>
      </c>
      <c r="B18" s="15"/>
      <c r="C18" s="14"/>
      <c r="D18" s="15"/>
      <c r="E18" s="15" t="s">
        <v>18</v>
      </c>
      <c r="F18" s="14">
        <f>0.1575*6.189295</f>
        <v>0.97481396250000008</v>
      </c>
      <c r="G18" s="17">
        <f>0.1575*6.189295</f>
        <v>0.97481396250000008</v>
      </c>
      <c r="H18" s="15"/>
      <c r="I18" s="20"/>
      <c r="J18" s="2"/>
      <c r="K18" s="10" t="s">
        <v>127</v>
      </c>
    </row>
    <row r="19" spans="1:12" ht="15.75" thickBot="1" x14ac:dyDescent="0.3">
      <c r="A19" s="16">
        <v>96</v>
      </c>
      <c r="B19" s="9" t="s">
        <v>10</v>
      </c>
      <c r="C19" s="13">
        <f>0.565*0.029438</f>
        <v>1.6632469999999996E-2</v>
      </c>
      <c r="D19" s="13">
        <f>0.029438*1.925</f>
        <v>5.666815E-2</v>
      </c>
      <c r="E19" s="9" t="s">
        <v>19</v>
      </c>
      <c r="F19" s="13">
        <f>0.16675*6.189295</f>
        <v>1.03206494125</v>
      </c>
      <c r="G19" s="17">
        <f>0.16675*25.91071</f>
        <v>4.3206108925000004</v>
      </c>
      <c r="H19" s="9" t="s">
        <v>27</v>
      </c>
      <c r="I19" s="21">
        <f>0.081932*0.0525729363754666</f>
        <v>4.3074058231147303E-3</v>
      </c>
      <c r="J19" s="13">
        <f>1.058068*0.0525729363754666</f>
        <v>5.5625741644917195E-2</v>
      </c>
      <c r="K19" s="10" t="s">
        <v>128</v>
      </c>
    </row>
    <row r="20" spans="1:12" ht="15.75" thickBot="1" x14ac:dyDescent="0.3">
      <c r="A20" s="16">
        <v>97</v>
      </c>
      <c r="B20" s="9"/>
      <c r="C20" s="13"/>
      <c r="D20" s="9"/>
      <c r="E20" s="9" t="s">
        <v>20</v>
      </c>
      <c r="F20" s="13">
        <f>6.189295*0.09647</f>
        <v>0.5970812886500001</v>
      </c>
      <c r="G20" s="17">
        <v>9.647E-2</v>
      </c>
      <c r="H20" s="9"/>
      <c r="I20" s="21"/>
      <c r="J20" s="13"/>
      <c r="K20" s="10" t="s">
        <v>129</v>
      </c>
      <c r="L20" s="32" t="s">
        <v>190</v>
      </c>
    </row>
    <row r="21" spans="1:12" ht="15.75" thickBot="1" x14ac:dyDescent="0.3">
      <c r="A21" s="16">
        <v>98</v>
      </c>
      <c r="B21" s="9"/>
      <c r="C21" s="13"/>
      <c r="D21" s="9"/>
      <c r="E21" s="9" t="s">
        <v>21</v>
      </c>
      <c r="F21" s="13">
        <f>6.189295*0.24627</f>
        <v>1.5242376796500001</v>
      </c>
      <c r="G21" s="17">
        <v>0.24626999999999999</v>
      </c>
      <c r="H21" s="9" t="s">
        <v>28</v>
      </c>
      <c r="I21" s="21">
        <f>0.081932*0.0181153699223643</f>
        <v>1.4842284884791519E-3</v>
      </c>
      <c r="J21" s="13">
        <f>1.058068*0.0181153699223643</f>
        <v>1.9167293223016149E-2</v>
      </c>
      <c r="K21" s="10" t="s">
        <v>130</v>
      </c>
    </row>
    <row r="22" spans="1:12" ht="15.75" thickBot="1" x14ac:dyDescent="0.3">
      <c r="A22" s="16">
        <v>99</v>
      </c>
      <c r="B22" s="9"/>
      <c r="C22" s="13"/>
      <c r="D22" s="9"/>
      <c r="E22" s="9"/>
      <c r="F22" s="13"/>
      <c r="G22" s="17"/>
      <c r="H22" s="9" t="s">
        <v>29</v>
      </c>
      <c r="I22" s="21">
        <f>0.081932*0.124874137143464</f>
        <v>1.0231187804438293E-2</v>
      </c>
      <c r="J22" s="13">
        <f>1.058068*0.124874137143464</f>
        <v>0.13212532853911066</v>
      </c>
      <c r="K22" s="10" t="s">
        <v>131</v>
      </c>
    </row>
    <row r="23" spans="1:12" ht="15.75" thickBot="1" x14ac:dyDescent="0.3">
      <c r="A23" s="16">
        <v>100</v>
      </c>
      <c r="B23" s="9"/>
      <c r="C23" s="13"/>
      <c r="D23" s="9"/>
      <c r="E23" s="9" t="s">
        <v>22</v>
      </c>
      <c r="F23" s="13">
        <f>6.189295*0.10029</f>
        <v>0.62072439555000003</v>
      </c>
      <c r="G23" s="17">
        <v>0.10029</v>
      </c>
      <c r="H23" s="9" t="s">
        <v>30</v>
      </c>
      <c r="I23" s="21">
        <f>0.081932*0.124552897208452</f>
        <v>1.020486797408289E-2</v>
      </c>
      <c r="J23" s="13">
        <f>1.058068*0.124552897208452</f>
        <v>0.1317854348435524</v>
      </c>
      <c r="K23" s="10" t="s">
        <v>132</v>
      </c>
    </row>
    <row r="24" spans="1:12" ht="15.75" thickBot="1" x14ac:dyDescent="0.3">
      <c r="A24" s="16">
        <v>101</v>
      </c>
      <c r="B24" s="9"/>
      <c r="C24" s="13"/>
      <c r="D24" s="9"/>
      <c r="E24" s="9"/>
      <c r="F24" s="13"/>
      <c r="G24" s="17"/>
      <c r="H24" s="9" t="s">
        <v>31</v>
      </c>
      <c r="I24" s="21">
        <f>0.081932*0.170330991324477</f>
        <v>1.395555878119705E-2</v>
      </c>
      <c r="J24" s="13">
        <f>1.058068*0.170330991324477</f>
        <v>0.18022177132870673</v>
      </c>
      <c r="K24" s="10" t="s">
        <v>133</v>
      </c>
      <c r="L24" s="32" t="s">
        <v>189</v>
      </c>
    </row>
    <row r="25" spans="1:12" ht="15.75" thickBot="1" x14ac:dyDescent="0.3">
      <c r="A25" s="16">
        <v>102</v>
      </c>
      <c r="B25" s="9" t="s">
        <v>11</v>
      </c>
      <c r="C25" s="13">
        <f>0.03313*0.00976773948694327</f>
        <v>3.2360520920243053E-4</v>
      </c>
      <c r="D25" s="13">
        <f>0.20587*0.00976773948694327</f>
        <v>2.0108845281770109E-3</v>
      </c>
      <c r="E25" s="9"/>
      <c r="F25" s="9"/>
      <c r="G25" s="17"/>
      <c r="H25" s="9" t="s">
        <v>32</v>
      </c>
      <c r="I25" s="21">
        <f>0.081932*0.318120416422805</f>
        <v>2.606424195835326E-2</v>
      </c>
      <c r="J25" s="13">
        <f>1.058068*0.318120416422805</f>
        <v>0.33659303276364444</v>
      </c>
      <c r="K25" s="10" t="s">
        <v>134</v>
      </c>
    </row>
    <row r="26" spans="1:12" ht="15.75" thickBot="1" x14ac:dyDescent="0.3">
      <c r="A26" s="16">
        <v>103</v>
      </c>
      <c r="B26" s="9"/>
      <c r="C26" s="13"/>
      <c r="D26" s="9"/>
      <c r="E26" s="9" t="s">
        <v>23</v>
      </c>
      <c r="F26" s="13">
        <v>8.1932000000000005E-2</v>
      </c>
      <c r="G26" s="22">
        <v>1.058068</v>
      </c>
      <c r="H26" s="9"/>
      <c r="I26" s="18"/>
      <c r="J26" s="13"/>
      <c r="K26" s="10" t="s">
        <v>135</v>
      </c>
    </row>
    <row r="27" spans="1:12" ht="15.75" thickBot="1" x14ac:dyDescent="0.3">
      <c r="A27" s="16">
        <v>104</v>
      </c>
      <c r="B27" s="9" t="s">
        <v>12</v>
      </c>
      <c r="C27" s="13">
        <f>0.03313*0.10877107380527</f>
        <v>3.6035856751685949E-3</v>
      </c>
      <c r="D27" s="13">
        <f>0.20587*0.10877107380527</f>
        <v>2.2392700964290933E-2</v>
      </c>
      <c r="E27" s="9"/>
      <c r="F27" s="13"/>
      <c r="G27" s="17"/>
      <c r="H27" s="9" t="s">
        <v>33</v>
      </c>
      <c r="I27" s="21">
        <f>0.081932*0.191433251602971</f>
        <v>1.5684509170334621E-2</v>
      </c>
      <c r="J27" s="13">
        <f>1.058068*0.191433251602971</f>
        <v>0.20254939765705232</v>
      </c>
      <c r="K27" s="10" t="s">
        <v>136</v>
      </c>
    </row>
    <row r="28" spans="1:12" ht="15.75" thickBot="1" x14ac:dyDescent="0.3">
      <c r="A28" s="16">
        <v>105</v>
      </c>
      <c r="B28" s="9" t="s">
        <v>13</v>
      </c>
      <c r="C28" s="13">
        <f>0.03313*0.220130931240716</f>
        <v>7.2929377520049212E-3</v>
      </c>
      <c r="D28" s="13">
        <f>0.20587*0.220130931240716</f>
        <v>4.5318354814526202E-2</v>
      </c>
      <c r="E28" s="9"/>
      <c r="F28" s="23"/>
      <c r="G28" s="22"/>
      <c r="H28" s="2"/>
      <c r="I28" s="18"/>
      <c r="J28" s="13"/>
      <c r="K28" s="10" t="s">
        <v>137</v>
      </c>
      <c r="L28" s="32" t="s">
        <v>191</v>
      </c>
    </row>
    <row r="29" spans="1:12" ht="15.75" thickBot="1" x14ac:dyDescent="0.3">
      <c r="A29" s="16">
        <v>106</v>
      </c>
      <c r="B29" s="9" t="s">
        <v>14</v>
      </c>
      <c r="C29" s="13">
        <f>0.03313*0.271985459614882</f>
        <v>9.0108782770410411E-3</v>
      </c>
      <c r="D29" s="13">
        <f>0.20587*0.271985459614882</f>
        <v>5.599364657091576E-2</v>
      </c>
      <c r="E29" s="9"/>
      <c r="F29" s="13"/>
      <c r="G29" s="17"/>
      <c r="H29" s="9" t="s">
        <v>34</v>
      </c>
      <c r="I29" s="21">
        <f>0.1424*0.011776643001332</f>
        <v>1.6769939633896767E-3</v>
      </c>
      <c r="J29" s="13">
        <f>0.5876*0.011776643001332</f>
        <v>6.9199554275826839E-3</v>
      </c>
      <c r="K29" s="10" t="s">
        <v>139</v>
      </c>
    </row>
    <row r="30" spans="1:12" ht="15.75" thickBot="1" x14ac:dyDescent="0.3">
      <c r="A30" s="16">
        <v>107</v>
      </c>
      <c r="B30" s="9"/>
      <c r="C30" s="13"/>
      <c r="D30" s="9"/>
      <c r="E30" s="9" t="s">
        <v>24</v>
      </c>
      <c r="F30" s="13">
        <f>0.0055*0.513761761946943</f>
        <v>2.8256896907081865E-3</v>
      </c>
      <c r="G30" s="17">
        <f>0.0735*0.513761761946943</f>
        <v>3.7761489503100307E-2</v>
      </c>
      <c r="H30" s="9"/>
      <c r="I30" s="18"/>
      <c r="J30" s="13"/>
      <c r="K30" s="10" t="s">
        <v>140</v>
      </c>
    </row>
    <row r="31" spans="1:12" ht="15.75" thickBot="1" x14ac:dyDescent="0.3">
      <c r="A31" s="16">
        <v>108</v>
      </c>
      <c r="B31" s="9" t="s">
        <v>15</v>
      </c>
      <c r="C31" s="13">
        <f>0.03313*0.268301295324236</f>
        <v>8.8888219140919392E-3</v>
      </c>
      <c r="D31" s="23">
        <f>0.20587*0.268301295324236</f>
        <v>5.5235187668400472E-2</v>
      </c>
      <c r="E31" s="2"/>
      <c r="F31" s="13"/>
      <c r="G31" s="17"/>
      <c r="H31" s="9" t="s">
        <v>35</v>
      </c>
      <c r="I31" s="21">
        <f>0.1424*0.00854313641173304</f>
        <v>1.2165426250307849E-3</v>
      </c>
      <c r="J31" s="13">
        <f>0.5876*0.00854313641173304</f>
        <v>5.0199469555343339E-3</v>
      </c>
      <c r="K31" s="10" t="s">
        <v>141</v>
      </c>
    </row>
    <row r="32" spans="1:12" ht="15.75" thickBot="1" x14ac:dyDescent="0.3">
      <c r="A32" s="16">
        <v>109</v>
      </c>
      <c r="B32" s="9"/>
      <c r="C32" s="13"/>
      <c r="D32" s="9"/>
      <c r="E32" s="9" t="s">
        <v>25</v>
      </c>
      <c r="F32" s="13">
        <f>0.0055*0.486238238053057</f>
        <v>2.6743103092918131E-3</v>
      </c>
      <c r="G32" s="17">
        <f>0.0735*0.486238238053057</f>
        <v>3.5738510496899689E-2</v>
      </c>
      <c r="H32" s="9"/>
      <c r="I32" s="18"/>
      <c r="J32" s="13"/>
      <c r="K32" s="10" t="s">
        <v>142</v>
      </c>
    </row>
    <row r="33" spans="1:12" ht="15.75" thickBot="1" x14ac:dyDescent="0.3">
      <c r="A33" s="16">
        <v>110</v>
      </c>
      <c r="B33" s="9" t="s">
        <v>42</v>
      </c>
      <c r="C33" s="13">
        <f>0.03313*0.121043500527953</f>
        <v>4.0101711724910829E-3</v>
      </c>
      <c r="D33" s="23">
        <f>0.20587*0.121043500527953</f>
        <v>2.4919225453689683E-2</v>
      </c>
      <c r="E33" s="2"/>
      <c r="F33" s="13"/>
      <c r="G33" s="17"/>
      <c r="H33" s="9" t="s">
        <v>36</v>
      </c>
      <c r="I33" s="24">
        <f>0.1424*0.122112764422931</f>
        <v>1.7388857653825373E-2</v>
      </c>
      <c r="J33" s="13">
        <f>0.5876*0.122112764422931</f>
        <v>7.1753460374914257E-2</v>
      </c>
      <c r="K33" s="10" t="s">
        <v>143</v>
      </c>
    </row>
    <row r="34" spans="1:12" ht="15.75" thickBot="1" x14ac:dyDescent="0.3">
      <c r="A34" s="16">
        <v>111</v>
      </c>
      <c r="B34" s="9"/>
      <c r="C34" s="13"/>
      <c r="D34" s="2"/>
      <c r="E34" s="2"/>
      <c r="F34" s="23"/>
      <c r="G34" s="17"/>
      <c r="H34" s="9" t="s">
        <v>37</v>
      </c>
      <c r="I34" s="24">
        <f>0.1424*0.126283597717828</f>
        <v>1.7982784315018704E-2</v>
      </c>
      <c r="J34" s="13">
        <f>0.5876*0.126283597717828</f>
        <v>7.4204242018995725E-2</v>
      </c>
      <c r="K34" s="10" t="s">
        <v>138</v>
      </c>
    </row>
    <row r="35" spans="1:12" ht="15.75" thickBot="1" x14ac:dyDescent="0.3">
      <c r="A35" s="16">
        <v>112</v>
      </c>
      <c r="B35" s="9" t="s">
        <v>43</v>
      </c>
      <c r="C35" s="13">
        <f>1.48903*0.00914392849819158</f>
        <v>1.361558385166221E-2</v>
      </c>
      <c r="D35" s="13">
        <v>9.1439284981915808E-3</v>
      </c>
      <c r="E35" s="9"/>
      <c r="F35" s="9"/>
      <c r="G35" s="17"/>
      <c r="H35" s="9" t="s">
        <v>38</v>
      </c>
      <c r="I35" s="24">
        <f>0.1424*0.240207831162843</f>
        <v>3.4205595157588843E-2</v>
      </c>
      <c r="J35" s="13">
        <f>0.5876*0.240207831162843</f>
        <v>0.14114612159128656</v>
      </c>
      <c r="K35" s="10" t="s">
        <v>144</v>
      </c>
      <c r="L35" s="32" t="s">
        <v>192</v>
      </c>
    </row>
    <row r="36" spans="1:12" ht="15.75" thickBot="1" x14ac:dyDescent="0.3">
      <c r="A36" s="16">
        <v>113</v>
      </c>
      <c r="B36" s="9"/>
      <c r="C36" s="23"/>
      <c r="D36" s="2"/>
      <c r="E36" s="9" t="s">
        <v>51</v>
      </c>
      <c r="F36" s="9">
        <v>0</v>
      </c>
      <c r="G36" s="17">
        <v>0</v>
      </c>
      <c r="H36" s="9" t="s">
        <v>39</v>
      </c>
      <c r="I36" s="24">
        <f>0.1424*0.122735764026954</f>
        <v>1.7477572797438251E-2</v>
      </c>
      <c r="J36" s="13">
        <f>0.5876*0.122735764026954</f>
        <v>7.2119534942238175E-2</v>
      </c>
      <c r="K36" s="10" t="s">
        <v>145</v>
      </c>
    </row>
    <row r="37" spans="1:12" ht="15.75" thickBot="1" x14ac:dyDescent="0.3">
      <c r="A37" s="16">
        <v>114</v>
      </c>
      <c r="B37" s="9" t="s">
        <v>44</v>
      </c>
      <c r="C37" s="13">
        <f>1.48903*0.0063327239537578</f>
        <v>9.4296159488639775E-3</v>
      </c>
      <c r="D37" s="13">
        <f>9.71097*0.0063327239537578</f>
        <v>6.1496892333223384E-2</v>
      </c>
      <c r="E37" s="9"/>
      <c r="F37" s="9"/>
      <c r="G37" s="17"/>
      <c r="H37" s="9" t="s">
        <v>40</v>
      </c>
      <c r="I37" s="24">
        <f>0.1424*0.291112736872891</f>
        <v>4.1454453730699684E-2</v>
      </c>
      <c r="J37" s="13">
        <f>0.5876*0.291112736872891</f>
        <v>0.17105784418651077</v>
      </c>
      <c r="K37" s="10" t="s">
        <v>146</v>
      </c>
    </row>
    <row r="38" spans="1:12" ht="15.75" thickBot="1" x14ac:dyDescent="0.3">
      <c r="A38" s="16">
        <v>115</v>
      </c>
      <c r="B38" s="9" t="s">
        <v>45</v>
      </c>
      <c r="C38" s="13">
        <f>1.48903*0.0032909696932757</f>
        <v>4.9003526023783158E-3</v>
      </c>
      <c r="D38" s="13">
        <f>9.71097*0.0032909696932757</f>
        <v>3.1958507962309521E-2</v>
      </c>
      <c r="E38" s="9" t="s">
        <v>52</v>
      </c>
      <c r="F38" s="9">
        <v>0</v>
      </c>
      <c r="G38" s="17">
        <v>0</v>
      </c>
      <c r="H38" s="9"/>
      <c r="I38" s="18"/>
      <c r="J38" s="13"/>
      <c r="K38" s="10" t="s">
        <v>147</v>
      </c>
    </row>
    <row r="39" spans="1:12" ht="15.75" thickBot="1" x14ac:dyDescent="0.3">
      <c r="A39" s="16">
        <v>116</v>
      </c>
      <c r="B39" s="9" t="s">
        <v>46</v>
      </c>
      <c r="C39" s="13">
        <f>1.48903*0.141960221305636</f>
        <v>0.21138302833073117</v>
      </c>
      <c r="D39" s="13">
        <f>9.71097*0.141960221305636</f>
        <v>1.3785714502923918</v>
      </c>
      <c r="E39" s="9"/>
      <c r="F39" s="9"/>
      <c r="G39" s="17"/>
      <c r="H39" s="9" t="s">
        <v>41</v>
      </c>
      <c r="I39" s="24">
        <f>0.1424*0.0772275263834881</f>
        <v>1.0997199757008705E-2</v>
      </c>
      <c r="J39" s="13">
        <f>0.5876*0.0772275263834881</f>
        <v>4.5378894502937604E-2</v>
      </c>
      <c r="K39" s="10" t="s">
        <v>148</v>
      </c>
    </row>
    <row r="40" spans="1:12" ht="15.75" thickBot="1" x14ac:dyDescent="0.3">
      <c r="A40" s="16">
        <v>117</v>
      </c>
      <c r="B40" s="9" t="s">
        <v>47</v>
      </c>
      <c r="C40" s="13">
        <f>1.48903*0.0756308524929685</f>
        <v>0.11261660828760489</v>
      </c>
      <c r="D40" s="13">
        <f>9.71097*0.0756308524929685</f>
        <v>0.73444893963364222</v>
      </c>
      <c r="E40" s="9"/>
      <c r="F40" s="9"/>
      <c r="G40" s="17"/>
      <c r="H40" s="9"/>
      <c r="I40" s="18"/>
      <c r="J40" s="13"/>
      <c r="K40" s="10" t="s">
        <v>149</v>
      </c>
    </row>
    <row r="41" spans="1:12" ht="15.75" thickBot="1" x14ac:dyDescent="0.3">
      <c r="A41" s="16">
        <v>118</v>
      </c>
      <c r="B41" s="9" t="s">
        <v>48</v>
      </c>
      <c r="C41" s="13">
        <f>1.48903*0.240550436853003</f>
        <v>0.3581868169872271</v>
      </c>
      <c r="D41" s="13">
        <f>9.71097*0.240550436853003</f>
        <v>2.3359780757664064</v>
      </c>
      <c r="E41" s="9"/>
      <c r="F41" s="13"/>
      <c r="G41" s="22"/>
      <c r="H41" s="2"/>
      <c r="I41" s="18"/>
      <c r="J41" s="13"/>
      <c r="K41" s="10" t="s">
        <v>150</v>
      </c>
    </row>
    <row r="42" spans="1:12" ht="15.75" thickBot="1" x14ac:dyDescent="0.3">
      <c r="A42" s="16">
        <v>119</v>
      </c>
      <c r="B42" s="9" t="s">
        <v>49</v>
      </c>
      <c r="C42" s="13">
        <f>1.48903*0.0860398005534453</f>
        <v>0.12811584421809666</v>
      </c>
      <c r="D42" s="13">
        <f>9.71097*0.0860398005534453</f>
        <v>0.8355299219804907</v>
      </c>
      <c r="E42" s="9"/>
      <c r="F42" s="13"/>
      <c r="G42" s="17"/>
      <c r="H42" s="9"/>
      <c r="I42" s="18"/>
      <c r="J42" s="13"/>
      <c r="K42" s="10" t="s">
        <v>151</v>
      </c>
      <c r="L42" s="32" t="s">
        <v>193</v>
      </c>
    </row>
    <row r="43" spans="1:12" ht="15.75" thickBot="1" x14ac:dyDescent="0.3">
      <c r="A43" s="16">
        <v>120</v>
      </c>
      <c r="B43" s="9" t="s">
        <v>50</v>
      </c>
      <c r="C43" s="13">
        <f>1.48903*0.329071682034147</f>
        <v>0.48999760669930592</v>
      </c>
      <c r="D43" s="13">
        <f>9.71097*0.329071682034147</f>
        <v>3.1956052320831403</v>
      </c>
      <c r="E43" s="9"/>
      <c r="F43" s="13"/>
      <c r="G43" s="17"/>
      <c r="H43" s="9" t="s">
        <v>67</v>
      </c>
      <c r="I43" s="18">
        <v>0</v>
      </c>
      <c r="J43" s="13">
        <v>0</v>
      </c>
      <c r="K43" s="10" t="s">
        <v>152</v>
      </c>
    </row>
    <row r="44" spans="1:12" ht="45.75" thickBot="1" x14ac:dyDescent="0.3">
      <c r="A44" s="16">
        <v>121</v>
      </c>
      <c r="B44" s="9"/>
      <c r="C44" s="23"/>
      <c r="D44" s="2"/>
      <c r="E44" s="9" t="s">
        <v>53</v>
      </c>
      <c r="F44" s="13">
        <f>0.3091915*0.568078141734204</f>
        <v>0.17564493276001114</v>
      </c>
      <c r="G44" s="17">
        <f>1.9108085*0.568078141734204</f>
        <v>1.0854885418899216</v>
      </c>
      <c r="H44" s="9"/>
      <c r="I44" s="18"/>
      <c r="J44" s="13"/>
      <c r="K44" s="41" t="s">
        <v>203</v>
      </c>
    </row>
    <row r="45" spans="1:12" ht="15.75" thickBot="1" x14ac:dyDescent="0.3">
      <c r="A45" s="16">
        <v>122</v>
      </c>
      <c r="B45" s="9" t="s">
        <v>54</v>
      </c>
      <c r="C45" s="13">
        <f>1.48903*0.0475454806805812</f>
        <v>7.0796647097805823E-2</v>
      </c>
      <c r="D45" s="13">
        <f>9.71097*0.0475454806805812</f>
        <v>0.46171273652470357</v>
      </c>
      <c r="E45" s="9"/>
      <c r="F45" s="13"/>
      <c r="G45" s="22"/>
      <c r="H45" s="9" t="s">
        <v>68</v>
      </c>
      <c r="I45" s="18">
        <v>0</v>
      </c>
      <c r="J45" s="13">
        <v>0</v>
      </c>
      <c r="K45" s="10" t="s">
        <v>153</v>
      </c>
    </row>
    <row r="46" spans="1:12" ht="15.75" thickBot="1" x14ac:dyDescent="0.3">
      <c r="A46" s="16">
        <v>123</v>
      </c>
      <c r="B46" s="9"/>
      <c r="C46" s="23"/>
      <c r="D46" s="2"/>
      <c r="E46" s="9" t="s">
        <v>61</v>
      </c>
      <c r="F46" s="13">
        <f>0.3091915*0.431921858265796</f>
        <v>0.13354656723998887</v>
      </c>
      <c r="G46" s="17">
        <f>1.9108085*0.431921858265796</f>
        <v>0.82531995811007819</v>
      </c>
      <c r="H46" s="9" t="s">
        <v>69</v>
      </c>
      <c r="I46" s="18">
        <v>0</v>
      </c>
      <c r="J46" s="13">
        <v>0</v>
      </c>
      <c r="K46" s="10" t="s">
        <v>154</v>
      </c>
    </row>
    <row r="47" spans="1:12" ht="15.75" thickBot="1" x14ac:dyDescent="0.3">
      <c r="A47" s="16">
        <v>124</v>
      </c>
      <c r="B47" s="9" t="s">
        <v>55</v>
      </c>
      <c r="C47" s="13">
        <f>1.48903*0.0604339039349936</f>
        <v>8.998789597632352E-2</v>
      </c>
      <c r="D47" s="13">
        <f>9.71097*0.0604339039349936</f>
        <v>0.58687182809560479</v>
      </c>
      <c r="E47" s="9" t="s">
        <v>62</v>
      </c>
      <c r="F47" s="25">
        <v>0</v>
      </c>
      <c r="G47" s="26">
        <v>0</v>
      </c>
      <c r="H47" s="9" t="s">
        <v>70</v>
      </c>
      <c r="I47" s="18">
        <v>0</v>
      </c>
      <c r="J47" s="13">
        <v>0</v>
      </c>
      <c r="K47" s="10" t="s">
        <v>155</v>
      </c>
    </row>
    <row r="48" spans="1:12" ht="15.75" thickBot="1" x14ac:dyDescent="0.3">
      <c r="A48" s="16">
        <v>125</v>
      </c>
      <c r="B48" s="9"/>
      <c r="C48" s="13"/>
      <c r="D48" s="13"/>
      <c r="E48" s="9"/>
      <c r="F48" s="13"/>
      <c r="G48" s="17"/>
      <c r="H48" s="9" t="s">
        <v>71</v>
      </c>
      <c r="I48" s="18">
        <v>0</v>
      </c>
      <c r="J48" s="13">
        <v>0</v>
      </c>
      <c r="K48" s="10" t="s">
        <v>156</v>
      </c>
    </row>
    <row r="49" spans="1:12" ht="15.75" thickBot="1" x14ac:dyDescent="0.3">
      <c r="A49" s="16">
        <v>126</v>
      </c>
      <c r="B49" s="9"/>
      <c r="C49" s="13"/>
      <c r="D49" s="9"/>
      <c r="E49" s="9" t="s">
        <v>63</v>
      </c>
      <c r="F49" s="25">
        <v>0</v>
      </c>
      <c r="G49" s="26">
        <v>0</v>
      </c>
      <c r="H49" s="9" t="s">
        <v>72</v>
      </c>
      <c r="I49" s="18">
        <v>0</v>
      </c>
      <c r="J49" s="13">
        <v>0</v>
      </c>
      <c r="K49" s="10" t="s">
        <v>157</v>
      </c>
    </row>
    <row r="50" spans="1:12" ht="15.75" thickBot="1" x14ac:dyDescent="0.3">
      <c r="A50" s="16">
        <v>127</v>
      </c>
      <c r="B50" s="9"/>
      <c r="C50" s="13"/>
      <c r="D50" s="9"/>
      <c r="E50" s="9" t="s">
        <v>64</v>
      </c>
      <c r="F50" s="13">
        <v>0</v>
      </c>
      <c r="G50" s="17">
        <v>0</v>
      </c>
      <c r="H50" s="9"/>
      <c r="I50" s="18"/>
      <c r="J50" s="13"/>
      <c r="K50" s="10" t="s">
        <v>158</v>
      </c>
    </row>
    <row r="51" spans="1:12" ht="15.75" thickBot="1" x14ac:dyDescent="0.3">
      <c r="A51" s="16">
        <v>128</v>
      </c>
      <c r="B51" s="9" t="s">
        <v>56</v>
      </c>
      <c r="C51" s="25">
        <v>0</v>
      </c>
      <c r="D51" s="27">
        <v>0</v>
      </c>
      <c r="E51" s="15"/>
      <c r="F51" s="13"/>
      <c r="G51" s="17"/>
      <c r="H51" s="9" t="s">
        <v>73</v>
      </c>
      <c r="I51" s="18">
        <v>0</v>
      </c>
      <c r="J51" s="13">
        <v>0</v>
      </c>
      <c r="K51" s="10" t="s">
        <v>159</v>
      </c>
    </row>
    <row r="52" spans="1:12" ht="30.75" thickBot="1" x14ac:dyDescent="0.3">
      <c r="A52" s="16">
        <v>129</v>
      </c>
      <c r="B52" s="9" t="s">
        <v>57</v>
      </c>
      <c r="C52" s="25">
        <v>0</v>
      </c>
      <c r="D52" s="27">
        <v>0</v>
      </c>
      <c r="E52" s="15"/>
      <c r="F52" s="13"/>
      <c r="G52" s="17"/>
      <c r="H52" s="9"/>
      <c r="I52" s="18"/>
      <c r="J52" s="13"/>
      <c r="K52" s="10" t="s">
        <v>160</v>
      </c>
      <c r="L52" s="30" t="s">
        <v>164</v>
      </c>
    </row>
    <row r="53" spans="1:12" ht="15.75" thickBot="1" x14ac:dyDescent="0.3">
      <c r="A53" s="16">
        <v>130</v>
      </c>
      <c r="B53" s="9" t="s">
        <v>58</v>
      </c>
      <c r="C53" s="25">
        <v>0</v>
      </c>
      <c r="D53" s="27">
        <v>0</v>
      </c>
      <c r="E53" s="15" t="s">
        <v>65</v>
      </c>
      <c r="F53" s="13">
        <f>392.915*0.00100272199363868</f>
        <v>0.39398451213054198</v>
      </c>
      <c r="G53" s="17">
        <f>605.085*0.00100272199363868</f>
        <v>0.6067320375208608</v>
      </c>
      <c r="H53" s="9" t="s">
        <v>74</v>
      </c>
      <c r="I53" s="18">
        <v>0</v>
      </c>
      <c r="J53" s="13">
        <v>0</v>
      </c>
      <c r="K53" s="10" t="s">
        <v>161</v>
      </c>
      <c r="L53" s="17">
        <v>1.0027219936386801E-3</v>
      </c>
    </row>
    <row r="54" spans="1:12" ht="15.75" thickBot="1" x14ac:dyDescent="0.3">
      <c r="A54" s="16">
        <v>131</v>
      </c>
      <c r="B54" s="9" t="s">
        <v>59</v>
      </c>
      <c r="C54" s="25">
        <v>0</v>
      </c>
      <c r="D54" s="27">
        <v>0</v>
      </c>
      <c r="E54" s="15"/>
      <c r="F54" s="23"/>
      <c r="G54" s="22"/>
      <c r="H54" s="9"/>
      <c r="I54" s="18"/>
      <c r="J54" s="13"/>
      <c r="K54" s="10" t="s">
        <v>162</v>
      </c>
      <c r="L54" s="22"/>
    </row>
    <row r="55" spans="1:12" ht="15.75" thickBot="1" x14ac:dyDescent="0.3">
      <c r="A55" s="16">
        <v>132</v>
      </c>
      <c r="B55" s="9" t="s">
        <v>60</v>
      </c>
      <c r="C55" s="25">
        <v>0</v>
      </c>
      <c r="D55" s="27">
        <v>0</v>
      </c>
      <c r="E55" s="15" t="s">
        <v>66</v>
      </c>
      <c r="F55" s="13">
        <f>392.915*0.000970123992034817</f>
        <v>0.38117626833036011</v>
      </c>
      <c r="G55" s="17">
        <f>605.085*0.000970123992034817</f>
        <v>0.58700747572038725</v>
      </c>
      <c r="H55" s="9"/>
      <c r="I55" s="18"/>
      <c r="J55" s="13"/>
      <c r="K55" s="28" t="s">
        <v>163</v>
      </c>
      <c r="L55" s="17">
        <v>9.7012399203481696E-4</v>
      </c>
    </row>
    <row r="56" spans="1:12" ht="15.75" thickBot="1" x14ac:dyDescent="0.3">
      <c r="A56" s="16">
        <v>133</v>
      </c>
      <c r="B56" s="9"/>
      <c r="C56" s="13"/>
      <c r="D56" s="9"/>
      <c r="E56" s="15"/>
      <c r="F56" s="23"/>
      <c r="G56" s="22"/>
      <c r="H56" s="9" t="s">
        <v>85</v>
      </c>
      <c r="I56" s="18">
        <v>0</v>
      </c>
      <c r="J56" s="13">
        <v>0</v>
      </c>
      <c r="K56" s="10" t="s">
        <v>165</v>
      </c>
      <c r="L56" s="22"/>
    </row>
    <row r="57" spans="1:12" ht="15.75" thickBot="1" x14ac:dyDescent="0.3">
      <c r="A57" s="16">
        <v>134</v>
      </c>
      <c r="B57" s="9" t="s">
        <v>81</v>
      </c>
      <c r="C57" s="25">
        <v>0</v>
      </c>
      <c r="D57" s="27">
        <v>0</v>
      </c>
      <c r="E57" s="15" t="s">
        <v>75</v>
      </c>
      <c r="F57" s="13">
        <f>392.915*0.0235676489802497</f>
        <v>9.2600827990748122</v>
      </c>
      <c r="G57" s="17">
        <f>605.085*0.0235676489802497</f>
        <v>14.260430883214392</v>
      </c>
      <c r="H57" s="9"/>
      <c r="I57" s="18"/>
      <c r="J57" s="13"/>
      <c r="K57" s="10" t="s">
        <v>166</v>
      </c>
      <c r="L57" s="29">
        <v>2.3567648980249701E-2</v>
      </c>
    </row>
    <row r="58" spans="1:12" ht="15.75" thickBot="1" x14ac:dyDescent="0.3">
      <c r="A58" s="16">
        <v>135</v>
      </c>
      <c r="B58" s="9"/>
      <c r="C58" s="13"/>
      <c r="D58" s="9"/>
      <c r="E58" s="9" t="s">
        <v>76</v>
      </c>
      <c r="F58" s="13">
        <f>392.915*0.064757768142996</f>
        <v>25.444298469905274</v>
      </c>
      <c r="G58" s="17">
        <f>605.085*0.064757768142996</f>
        <v>39.183954136804736</v>
      </c>
      <c r="H58" s="9"/>
      <c r="I58" s="18"/>
      <c r="J58" s="13"/>
      <c r="K58" s="10" t="s">
        <v>167</v>
      </c>
      <c r="L58" s="29">
        <v>6.4757768142995997E-2</v>
      </c>
    </row>
    <row r="59" spans="1:12" ht="15.75" thickBot="1" x14ac:dyDescent="0.3">
      <c r="A59" s="16">
        <v>136</v>
      </c>
      <c r="B59" s="9" t="s">
        <v>82</v>
      </c>
      <c r="C59" s="13">
        <f>0.529*0.00179443258488391</f>
        <v>9.4925483740358849E-4</v>
      </c>
      <c r="D59" s="13">
        <f>1.651*0.00179443258488391</f>
        <v>2.9626081976433355E-3</v>
      </c>
      <c r="E59" s="9" t="s">
        <v>77</v>
      </c>
      <c r="F59" s="13">
        <f>392.915*0.0777265491321087</f>
        <v>30.539927052242493</v>
      </c>
      <c r="G59" s="17">
        <f>605.085*0.0777265491321087</f>
        <v>47.031168981602001</v>
      </c>
      <c r="H59" s="27" t="s">
        <v>86</v>
      </c>
      <c r="I59" s="27">
        <v>0</v>
      </c>
      <c r="J59" s="13">
        <v>0</v>
      </c>
      <c r="K59" s="28" t="s">
        <v>163</v>
      </c>
      <c r="L59" s="17">
        <v>7.7726549132108705E-2</v>
      </c>
    </row>
    <row r="60" spans="1:12" ht="15.75" thickBot="1" x14ac:dyDescent="0.3">
      <c r="A60" s="16">
        <v>137</v>
      </c>
      <c r="B60" s="9"/>
      <c r="C60" s="23"/>
      <c r="D60" s="2"/>
      <c r="E60" s="9" t="s">
        <v>78</v>
      </c>
      <c r="F60" s="13">
        <f>392.915*0.111975610146368</f>
        <v>43.996896860660186</v>
      </c>
      <c r="G60" s="17">
        <f>605.085*0.111975610146368</f>
        <v>67.754762065415093</v>
      </c>
      <c r="H60" s="9"/>
      <c r="I60" s="18"/>
      <c r="J60" s="13"/>
      <c r="K60" s="10" t="s">
        <v>168</v>
      </c>
      <c r="L60" s="17">
        <v>0.111975610146368</v>
      </c>
    </row>
    <row r="61" spans="1:12" ht="15.75" thickBot="1" x14ac:dyDescent="0.3">
      <c r="A61" s="16">
        <v>138</v>
      </c>
      <c r="B61" s="9" t="s">
        <v>202</v>
      </c>
      <c r="C61" s="13">
        <f>0.529*0.00247041531839642</f>
        <v>1.3068497034317062E-3</v>
      </c>
      <c r="D61" s="13">
        <f>1.651*0.00247041531839642</f>
        <v>4.0786556906724893E-3</v>
      </c>
      <c r="E61" s="9" t="s">
        <v>79</v>
      </c>
      <c r="F61" s="13">
        <f>392.915*0.719999577612604</f>
        <v>282.89863403765634</v>
      </c>
      <c r="G61" s="17">
        <f>605.085*0.719999577612604</f>
        <v>435.66094441972251</v>
      </c>
      <c r="H61" s="9" t="s">
        <v>92</v>
      </c>
      <c r="I61" s="24">
        <f>0.4640295*0.0009</f>
        <v>4.1762654999999996E-4</v>
      </c>
      <c r="J61" s="13">
        <f>0.4640295*0.0009</f>
        <v>4.1762654999999996E-4</v>
      </c>
      <c r="K61" s="10" t="s">
        <v>169</v>
      </c>
      <c r="L61" s="17">
        <v>0.71999957761260402</v>
      </c>
    </row>
    <row r="62" spans="1:12" ht="15.75" thickBot="1" x14ac:dyDescent="0.3">
      <c r="A62" s="16">
        <v>139</v>
      </c>
      <c r="B62" s="9"/>
      <c r="C62" s="23"/>
      <c r="D62" s="2"/>
      <c r="E62" s="2"/>
      <c r="F62" s="13"/>
      <c r="G62" s="17"/>
      <c r="H62" s="9" t="s">
        <v>93</v>
      </c>
      <c r="I62" s="24">
        <f>0.4640295*0.9991</f>
        <v>0.46361187344999999</v>
      </c>
      <c r="J62" s="13">
        <f>0.9359705*0.9991</f>
        <v>0.93512812654999999</v>
      </c>
      <c r="K62" s="10" t="s">
        <v>170</v>
      </c>
    </row>
    <row r="63" spans="1:12" ht="15.75" thickBot="1" x14ac:dyDescent="0.3">
      <c r="A63" s="16">
        <v>140</v>
      </c>
      <c r="B63" s="9" t="s">
        <v>201</v>
      </c>
      <c r="C63" s="13">
        <f>0.529*0.883172530576673</f>
        <v>0.46719826867506004</v>
      </c>
      <c r="D63" s="13">
        <f>1.651*0.883172530576673</f>
        <v>1.4581178479820871</v>
      </c>
      <c r="E63" s="9"/>
      <c r="F63" s="13"/>
      <c r="G63" s="17"/>
      <c r="H63" s="9"/>
      <c r="I63" s="24"/>
      <c r="J63" s="13"/>
      <c r="K63" s="10" t="s">
        <v>171</v>
      </c>
    </row>
    <row r="64" spans="1:12" ht="15.75" thickBot="1" x14ac:dyDescent="0.3">
      <c r="A64" s="16">
        <v>141</v>
      </c>
      <c r="B64" s="9"/>
      <c r="C64" s="23"/>
      <c r="D64" s="2"/>
      <c r="E64" s="9" t="s">
        <v>80</v>
      </c>
      <c r="F64" s="13">
        <v>5.4148000000000002E-2</v>
      </c>
      <c r="G64" s="17">
        <v>0.12585299999999999</v>
      </c>
      <c r="H64" s="2"/>
      <c r="I64" s="24"/>
      <c r="J64" s="23"/>
      <c r="K64" s="10" t="s">
        <v>172</v>
      </c>
      <c r="L64" s="32" t="s">
        <v>194</v>
      </c>
    </row>
    <row r="65" spans="1:12" ht="15.75" thickBot="1" x14ac:dyDescent="0.3">
      <c r="A65" s="16">
        <v>142</v>
      </c>
      <c r="B65" s="9" t="s">
        <v>83</v>
      </c>
      <c r="C65" s="13">
        <f>0.529*0.112562621520047</f>
        <v>5.9545626784104862E-2</v>
      </c>
      <c r="D65" s="13">
        <f>1.651*0.112562621520047</f>
        <v>0.18584088812959759</v>
      </c>
      <c r="E65" s="9"/>
      <c r="F65" s="13"/>
      <c r="G65" s="17"/>
      <c r="H65" s="9" t="s">
        <v>103</v>
      </c>
      <c r="I65" s="24">
        <f>2.261205*0.267609096117004</f>
        <v>0.60511902618525004</v>
      </c>
      <c r="J65" s="13">
        <f>2.798795*0.267609096117004</f>
        <v>0.74898300016679031</v>
      </c>
      <c r="K65" s="10" t="s">
        <v>173</v>
      </c>
    </row>
    <row r="66" spans="1:12" ht="15.75" thickBot="1" x14ac:dyDescent="0.3">
      <c r="A66" s="33">
        <v>143</v>
      </c>
      <c r="B66" s="34"/>
      <c r="C66" s="35"/>
      <c r="D66" s="34"/>
      <c r="E66" s="34"/>
      <c r="F66" s="35"/>
      <c r="G66" s="36"/>
      <c r="H66" s="15" t="s">
        <v>104</v>
      </c>
      <c r="I66" s="37">
        <f>2.261205*0.120878154352129</f>
        <v>0.27333028701180584</v>
      </c>
      <c r="J66" s="14">
        <f>2.798795*0.120878154352129</f>
        <v>0.33831317400996691</v>
      </c>
      <c r="K66" s="38" t="s">
        <v>177</v>
      </c>
    </row>
    <row r="67" spans="1:12" ht="15.75" thickBot="1" x14ac:dyDescent="0.3">
      <c r="A67" s="19">
        <v>144</v>
      </c>
      <c r="B67" s="15" t="s">
        <v>84</v>
      </c>
      <c r="C67" s="14">
        <f>0.0509335*0.0293822282890065</f>
        <v>1.4965397245581126E-3</v>
      </c>
      <c r="D67" s="14">
        <f>0.1190665*0.0293822282890065</f>
        <v>3.4984390845729926E-3</v>
      </c>
      <c r="E67" s="15"/>
      <c r="F67" s="14"/>
      <c r="G67" s="39"/>
      <c r="H67" s="15" t="s">
        <v>105</v>
      </c>
      <c r="I67" s="37">
        <f>2.261205*0.237462003948734</f>
        <v>0.53695027063889711</v>
      </c>
      <c r="J67" s="14">
        <f>2.798795*0.237462003948734</f>
        <v>0.66460746934169701</v>
      </c>
      <c r="K67" s="40" t="s">
        <v>178</v>
      </c>
    </row>
    <row r="68" spans="1:12" ht="15.75" thickBot="1" x14ac:dyDescent="0.3">
      <c r="A68" s="19">
        <v>145</v>
      </c>
      <c r="B68" s="15"/>
      <c r="C68" s="14"/>
      <c r="D68" s="15"/>
      <c r="E68" s="15"/>
      <c r="F68" s="14"/>
      <c r="G68" s="39"/>
      <c r="H68" s="15" t="s">
        <v>106</v>
      </c>
      <c r="I68" s="37">
        <f>2.261205*0.0833892553759057</f>
        <v>0.18856020120227485</v>
      </c>
      <c r="J68" s="14">
        <f>2.798795*0.0833892553759057</f>
        <v>0.23338943099980802</v>
      </c>
      <c r="K68" s="40" t="s">
        <v>179</v>
      </c>
      <c r="L68" s="32" t="s">
        <v>195</v>
      </c>
    </row>
    <row r="69" spans="1:12" ht="15.75" thickBot="1" x14ac:dyDescent="0.3">
      <c r="A69" s="19">
        <v>146</v>
      </c>
      <c r="B69" s="15"/>
      <c r="C69" s="14"/>
      <c r="D69" s="15"/>
      <c r="E69" s="15"/>
      <c r="F69" s="14"/>
      <c r="G69" s="39"/>
      <c r="H69" s="15" t="s">
        <v>107</v>
      </c>
      <c r="I69" s="37">
        <f>2.261205*0.173999786252081</f>
        <v>0.39344918667213685</v>
      </c>
      <c r="J69" s="14">
        <f>2.798795*0.173999786252081</f>
        <v>0.48698973176339311</v>
      </c>
      <c r="K69" s="38" t="s">
        <v>180</v>
      </c>
    </row>
    <row r="70" spans="1:12" ht="15.75" thickBot="1" x14ac:dyDescent="0.3">
      <c r="A70" s="19">
        <v>147</v>
      </c>
      <c r="B70" s="15" t="s">
        <v>87</v>
      </c>
      <c r="C70" s="14">
        <f>0.0509335*0.146459253276505</f>
        <v>7.4596823767588676E-3</v>
      </c>
      <c r="D70" s="14">
        <f>0.1190665*0.146459253276505</f>
        <v>1.7438390680246982E-2</v>
      </c>
      <c r="E70" s="15"/>
      <c r="F70" s="14"/>
      <c r="G70" s="39"/>
      <c r="H70" s="15"/>
      <c r="I70" s="37"/>
      <c r="J70" s="14"/>
      <c r="K70" s="38" t="s">
        <v>181</v>
      </c>
    </row>
    <row r="71" spans="1:12" ht="15.75" thickBot="1" x14ac:dyDescent="0.3">
      <c r="A71" s="19">
        <v>148</v>
      </c>
      <c r="B71" s="15" t="s">
        <v>88</v>
      </c>
      <c r="C71" s="14">
        <f>0.0509335*0.110567465434891</f>
        <v>5.6315880007280208E-3</v>
      </c>
      <c r="D71" s="14">
        <f>0.1190665*0.110567465434891</f>
        <v>1.3164881123203451E-2</v>
      </c>
      <c r="E71" s="15"/>
      <c r="F71" s="14"/>
      <c r="G71" s="39"/>
      <c r="H71" s="15" t="s">
        <v>108</v>
      </c>
      <c r="I71" s="37">
        <f>2.261205*0.0584545831176263</f>
        <v>0.13217779561849219</v>
      </c>
      <c r="J71" s="14">
        <f>2.798795*0.0584545831176263</f>
        <v>0.1636023949566969</v>
      </c>
      <c r="K71" s="38" t="s">
        <v>182</v>
      </c>
    </row>
    <row r="72" spans="1:12" ht="15.75" thickBot="1" x14ac:dyDescent="0.3">
      <c r="A72" s="19">
        <v>149</v>
      </c>
      <c r="B72" s="15" t="s">
        <v>89</v>
      </c>
      <c r="C72" s="14">
        <f>0.0509335*0.136868089813327</f>
        <v>6.9711708525070897E-3</v>
      </c>
      <c r="D72" s="14">
        <f>0.1190665*0.136868089813327</f>
        <v>1.6296404415758498E-2</v>
      </c>
      <c r="E72" s="15"/>
      <c r="F72" s="14"/>
      <c r="G72" s="39"/>
      <c r="H72" s="15"/>
      <c r="I72" s="37"/>
      <c r="J72" s="14"/>
      <c r="K72" s="38" t="s">
        <v>174</v>
      </c>
      <c r="L72" s="32" t="s">
        <v>196</v>
      </c>
    </row>
    <row r="73" spans="1:12" ht="15.75" thickBot="1" x14ac:dyDescent="0.3">
      <c r="A73" s="19">
        <v>150</v>
      </c>
      <c r="B73" s="15" t="s">
        <v>90</v>
      </c>
      <c r="C73" s="14">
        <f>0.0509335*0.0735795943773678</f>
        <v>3.7476662702196628E-3</v>
      </c>
      <c r="D73" s="14">
        <f>0.1190665*0.0735795943773678</f>
        <v>8.7608647739328641E-3</v>
      </c>
      <c r="E73" s="15"/>
      <c r="F73" s="14"/>
      <c r="G73" s="39"/>
      <c r="H73" s="15" t="s">
        <v>109</v>
      </c>
      <c r="I73" s="37">
        <f>2.261205*0.0582071208365194</f>
        <v>0.13161823267114187</v>
      </c>
      <c r="J73" s="14">
        <f>2.798795*0.0582071208365194</f>
        <v>0.16290979876164632</v>
      </c>
      <c r="K73" s="38" t="s">
        <v>187</v>
      </c>
    </row>
    <row r="74" spans="1:12" ht="15.75" thickBot="1" x14ac:dyDescent="0.3">
      <c r="A74" s="16">
        <v>151</v>
      </c>
      <c r="B74" s="9"/>
      <c r="C74" s="23"/>
      <c r="D74" s="2"/>
      <c r="E74" s="2" t="s">
        <v>91</v>
      </c>
      <c r="F74" s="13">
        <v>0</v>
      </c>
      <c r="G74" s="17">
        <v>0</v>
      </c>
      <c r="H74" s="9"/>
      <c r="I74" s="24"/>
      <c r="J74" s="13"/>
      <c r="K74" s="10" t="s">
        <v>188</v>
      </c>
    </row>
    <row r="75" spans="1:12" ht="15.75" thickBot="1" x14ac:dyDescent="0.3">
      <c r="A75" s="16">
        <v>152</v>
      </c>
      <c r="B75" s="9" t="s">
        <v>94</v>
      </c>
      <c r="C75" s="13">
        <f>0.0509335*0.270263452298874</f>
        <v>1.3765463547664699E-2</v>
      </c>
      <c r="D75" s="13">
        <f>0.1190665*0.270263452298874</f>
        <v>3.2179323343143884E-2</v>
      </c>
      <c r="E75" s="9"/>
      <c r="F75" s="13"/>
      <c r="G75" s="22"/>
      <c r="H75" s="9" t="s">
        <v>110</v>
      </c>
      <c r="I75" s="24">
        <f>0.2252515*0.00193218112065523</f>
        <v>4.352266956992715E-4</v>
      </c>
      <c r="J75" s="13">
        <f>0.4247485*0.00193218112065523</f>
        <v>8.2069103272662785E-4</v>
      </c>
      <c r="K75" s="10" t="s">
        <v>175</v>
      </c>
    </row>
    <row r="76" spans="1:12" ht="15.75" thickBot="1" x14ac:dyDescent="0.3">
      <c r="A76" s="16">
        <v>153</v>
      </c>
      <c r="B76" s="9"/>
      <c r="C76" s="23"/>
      <c r="D76" s="2"/>
      <c r="E76" s="2" t="s">
        <v>101</v>
      </c>
      <c r="F76" s="13">
        <v>0</v>
      </c>
      <c r="G76" s="17">
        <v>0</v>
      </c>
      <c r="H76" s="9"/>
      <c r="I76" s="24"/>
      <c r="J76" s="13"/>
      <c r="K76" s="10" t="s">
        <v>197</v>
      </c>
    </row>
    <row r="77" spans="1:12" ht="15.75" thickBot="1" x14ac:dyDescent="0.3">
      <c r="A77" s="16">
        <v>154</v>
      </c>
      <c r="B77" s="9" t="s">
        <v>95</v>
      </c>
      <c r="C77" s="13">
        <f>0.0509335*0.232879916510029</f>
        <v>1.1861389227563562E-2</v>
      </c>
      <c r="D77" s="13">
        <f>0.1190665*0.232879916510029</f>
        <v>2.772819657914137E-2</v>
      </c>
      <c r="E77" s="9"/>
      <c r="F77" s="13"/>
      <c r="G77" s="17"/>
      <c r="H77" s="9" t="s">
        <v>111</v>
      </c>
      <c r="I77" s="24">
        <f>0.2252515*0.0213381848688601</f>
        <v>4.8064581489880411E-3</v>
      </c>
      <c r="J77" s="13">
        <f>0.4247485*0.0213381848688601</f>
        <v>9.0633620157710235E-3</v>
      </c>
      <c r="K77" s="10" t="s">
        <v>176</v>
      </c>
    </row>
    <row r="78" spans="1:12" ht="15.75" thickBot="1" x14ac:dyDescent="0.3">
      <c r="A78" s="16">
        <v>155</v>
      </c>
      <c r="B78" s="9"/>
      <c r="C78" s="13"/>
      <c r="D78" s="9"/>
      <c r="E78" s="9"/>
      <c r="F78" s="13"/>
      <c r="G78" s="17"/>
      <c r="H78" s="9" t="s">
        <v>112</v>
      </c>
      <c r="I78" s="24">
        <f>0.2252515*0.145807558722867</f>
        <v>3.2843371313663876E-2</v>
      </c>
      <c r="J78" s="13">
        <f>0.4247485*0.145807558722867</f>
        <v>6.1931541856199666E-2</v>
      </c>
      <c r="K78" s="10" t="s">
        <v>198</v>
      </c>
    </row>
    <row r="79" spans="1:12" ht="15.75" thickBot="1" x14ac:dyDescent="0.3">
      <c r="A79" s="16">
        <v>156</v>
      </c>
      <c r="B79" s="9" t="s">
        <v>96</v>
      </c>
      <c r="C79" s="13">
        <v>0</v>
      </c>
      <c r="D79" s="9">
        <v>0</v>
      </c>
      <c r="E79" s="9"/>
      <c r="F79" s="13"/>
      <c r="G79" s="17"/>
      <c r="H79" s="9" t="s">
        <v>113</v>
      </c>
      <c r="I79" s="24">
        <f>0.2252515*0.202968698393403</f>
        <v>4.5719003766161614E-2</v>
      </c>
      <c r="J79" s="13">
        <f>0.4247485*0.202968698393403</f>
        <v>8.6210650189550334E-2</v>
      </c>
      <c r="K79" s="10" t="s">
        <v>183</v>
      </c>
    </row>
    <row r="80" spans="1:12" ht="15.75" thickBot="1" x14ac:dyDescent="0.3">
      <c r="A80" s="16">
        <v>157</v>
      </c>
      <c r="B80" s="9"/>
      <c r="C80" s="23"/>
      <c r="D80" s="2"/>
      <c r="E80" s="2"/>
      <c r="F80" s="13"/>
      <c r="G80" s="17"/>
      <c r="H80" s="9" t="s">
        <v>114</v>
      </c>
      <c r="I80" s="24">
        <f>0.2252515*0.156173407312145</f>
        <v>3.5178294257171623E-2</v>
      </c>
      <c r="J80" s="13">
        <f>0.4247485*0.156173407312145</f>
        <v>6.6334420495722607E-2</v>
      </c>
      <c r="K80" s="10" t="s">
        <v>184</v>
      </c>
    </row>
    <row r="81" spans="1:11" ht="15.75" thickBot="1" x14ac:dyDescent="0.3">
      <c r="A81" s="16">
        <v>158</v>
      </c>
      <c r="B81" s="9" t="s">
        <v>97</v>
      </c>
      <c r="C81" s="13">
        <v>0</v>
      </c>
      <c r="D81" s="9">
        <v>0</v>
      </c>
      <c r="E81" s="2"/>
      <c r="F81" s="13"/>
      <c r="G81" s="17"/>
      <c r="H81" s="9" t="s">
        <v>115</v>
      </c>
      <c r="I81" s="24">
        <f>0.2252515*0.249461481824358</f>
        <v>5.6191572973159375E-2</v>
      </c>
      <c r="J81" s="13">
        <f>0.4247485*0.249461481824358</f>
        <v>0.10595839021267332</v>
      </c>
      <c r="K81" s="10" t="s">
        <v>185</v>
      </c>
    </row>
    <row r="82" spans="1:11" ht="15.75" thickBot="1" x14ac:dyDescent="0.3">
      <c r="A82" s="16">
        <v>159</v>
      </c>
      <c r="B82" s="9"/>
      <c r="C82" s="23"/>
      <c r="D82" s="2"/>
      <c r="E82" s="2" t="s">
        <v>102</v>
      </c>
      <c r="F82" s="13">
        <v>1.4388E-2</v>
      </c>
      <c r="G82" s="17">
        <v>1.8112E-2</v>
      </c>
      <c r="H82" s="9"/>
      <c r="I82" s="24"/>
      <c r="J82" s="13"/>
      <c r="K82" s="10" t="s">
        <v>199</v>
      </c>
    </row>
    <row r="83" spans="1:11" ht="15.75" thickBot="1" x14ac:dyDescent="0.3">
      <c r="A83" s="16">
        <v>160</v>
      </c>
      <c r="B83" s="9" t="s">
        <v>98</v>
      </c>
      <c r="C83" s="13">
        <v>0</v>
      </c>
      <c r="D83" s="9">
        <v>0</v>
      </c>
      <c r="E83" s="9"/>
      <c r="F83" s="13"/>
      <c r="G83" s="17"/>
      <c r="H83" s="9" t="s">
        <v>116</v>
      </c>
      <c r="I83" s="24">
        <f>0.2252515*0.222318487757712</f>
        <v>5.0077572845156265E-2</v>
      </c>
      <c r="J83" s="13">
        <f>0.4247485*0.222318487757712</f>
        <v>9.4429444197356535E-2</v>
      </c>
      <c r="K83" s="10" t="s">
        <v>186</v>
      </c>
    </row>
    <row r="84" spans="1:11" ht="15.75" thickBot="1" x14ac:dyDescent="0.3">
      <c r="A84" s="16">
        <v>231</v>
      </c>
      <c r="B84" s="9"/>
      <c r="C84" s="13"/>
      <c r="D84" s="9"/>
      <c r="E84" s="9"/>
      <c r="F84" s="13"/>
      <c r="G84" s="17"/>
      <c r="H84" s="9"/>
      <c r="I84" s="24"/>
      <c r="J84" s="9"/>
      <c r="K84" s="10"/>
    </row>
    <row r="85" spans="1:11" ht="15.75" thickBot="1" x14ac:dyDescent="0.3">
      <c r="A85" s="16">
        <v>232</v>
      </c>
      <c r="B85" s="9"/>
      <c r="C85" s="13"/>
      <c r="D85" s="9"/>
      <c r="E85" s="9"/>
      <c r="F85" s="13"/>
      <c r="G85" s="17"/>
      <c r="H85" s="9"/>
      <c r="I85" s="24"/>
      <c r="J85" s="9"/>
      <c r="K85" s="10"/>
    </row>
    <row r="86" spans="1:11" ht="15.75" thickBot="1" x14ac:dyDescent="0.3">
      <c r="A86" s="16">
        <v>233</v>
      </c>
      <c r="B86" s="9"/>
      <c r="C86" s="13"/>
      <c r="D86" s="9"/>
      <c r="E86" s="9"/>
      <c r="F86" s="13"/>
      <c r="G86" s="17"/>
      <c r="H86" s="9"/>
      <c r="I86" s="18"/>
      <c r="J86" s="9"/>
      <c r="K86" s="10"/>
    </row>
    <row r="87" spans="1:11" ht="15.75" thickBot="1" x14ac:dyDescent="0.3">
      <c r="A87" s="16">
        <v>234</v>
      </c>
      <c r="B87" s="9"/>
      <c r="C87" s="13"/>
      <c r="D87" s="9"/>
      <c r="E87" s="9"/>
      <c r="F87" s="13"/>
      <c r="G87" s="17"/>
      <c r="H87" s="9"/>
      <c r="I87" s="18"/>
      <c r="J87" s="9"/>
      <c r="K87" s="10"/>
    </row>
    <row r="88" spans="1:11" ht="15.75" thickBot="1" x14ac:dyDescent="0.3">
      <c r="A88" s="16">
        <v>235</v>
      </c>
      <c r="B88" s="9" t="s">
        <v>99</v>
      </c>
      <c r="C88" s="13">
        <v>0</v>
      </c>
      <c r="D88" s="9">
        <v>0</v>
      </c>
      <c r="E88" s="9"/>
      <c r="F88" s="13"/>
      <c r="G88" s="17"/>
      <c r="H88" s="9"/>
      <c r="I88" s="18"/>
      <c r="J88" s="2"/>
      <c r="K88" s="10"/>
    </row>
    <row r="89" spans="1:11" ht="15.75" thickBot="1" x14ac:dyDescent="0.3">
      <c r="A89" s="16">
        <v>236</v>
      </c>
      <c r="B89" s="9"/>
      <c r="C89" s="13"/>
      <c r="D89" s="9"/>
      <c r="E89" s="9"/>
      <c r="F89" s="13"/>
      <c r="G89" s="17"/>
      <c r="H89" s="9"/>
      <c r="I89" s="18"/>
      <c r="J89" s="2"/>
      <c r="K89" s="10"/>
    </row>
    <row r="90" spans="1:11" ht="15.75" thickBot="1" x14ac:dyDescent="0.3">
      <c r="A90" s="16">
        <v>237</v>
      </c>
      <c r="B90" s="9"/>
      <c r="C90" s="13"/>
      <c r="D90" s="9"/>
      <c r="E90" s="9"/>
      <c r="F90" s="13"/>
      <c r="G90" s="17"/>
      <c r="H90" s="9"/>
      <c r="I90" s="18"/>
      <c r="J90" s="2"/>
      <c r="K90" s="10"/>
    </row>
    <row r="91" spans="1:11" ht="15.75" thickBot="1" x14ac:dyDescent="0.3">
      <c r="A91" s="16">
        <v>238</v>
      </c>
      <c r="B91" s="9" t="s">
        <v>100</v>
      </c>
      <c r="C91" s="13">
        <f>0.118933*0.99289</f>
        <v>0.11808738637000001</v>
      </c>
      <c r="D91" s="13">
        <f>0.477067*0.99289</f>
        <v>0.47367505363000006</v>
      </c>
      <c r="E91" s="9"/>
      <c r="F91" s="9"/>
      <c r="G91" s="17"/>
      <c r="H91" s="9"/>
      <c r="I91" s="9"/>
      <c r="J91" s="2"/>
      <c r="K91" s="10"/>
    </row>
    <row r="92" spans="1:11" ht="15.75" thickBot="1" x14ac:dyDescent="0.3">
      <c r="A92" s="16">
        <v>239</v>
      </c>
      <c r="B92" s="9"/>
      <c r="C92" s="13"/>
      <c r="D92" s="9"/>
      <c r="E92" s="9"/>
      <c r="F92" s="9"/>
      <c r="G92" s="17"/>
      <c r="H92" s="9"/>
      <c r="I92" s="9"/>
      <c r="J92" s="2"/>
      <c r="K92" s="10"/>
    </row>
    <row r="93" spans="1:11" ht="15.75" thickBot="1" x14ac:dyDescent="0.3">
      <c r="A93" s="16">
        <v>240</v>
      </c>
      <c r="B93" s="9"/>
      <c r="C93" s="13"/>
      <c r="D93" s="9"/>
      <c r="E93" s="9"/>
      <c r="F93" s="9"/>
      <c r="G93" s="17"/>
      <c r="H93" s="9"/>
      <c r="I93" s="9"/>
      <c r="J93" s="2"/>
      <c r="K93" s="10"/>
    </row>
    <row r="94" spans="1:11" ht="15.75" thickBot="1" x14ac:dyDescent="0.3">
      <c r="A94" s="16">
        <v>241</v>
      </c>
      <c r="B94" s="9"/>
      <c r="C94" s="9"/>
      <c r="D94" s="9"/>
      <c r="E94" s="9"/>
      <c r="F94" s="9"/>
      <c r="G94" s="17"/>
      <c r="H94" s="9"/>
      <c r="I94" s="9"/>
      <c r="J94" s="2"/>
      <c r="K94" s="10"/>
    </row>
    <row r="95" spans="1:11" ht="15.75" thickBot="1" x14ac:dyDescent="0.3">
      <c r="A95" s="16">
        <v>242</v>
      </c>
      <c r="B95" s="9"/>
      <c r="C95" s="9"/>
      <c r="D95" s="9"/>
      <c r="E95" s="9"/>
      <c r="F95" s="9"/>
      <c r="G95" s="9"/>
      <c r="H95" s="9"/>
      <c r="I95" s="9"/>
      <c r="J95" s="2"/>
      <c r="K95" s="10"/>
    </row>
    <row r="96" spans="1:11" ht="15.75" thickBot="1" x14ac:dyDescent="0.3">
      <c r="A96" s="16">
        <v>243</v>
      </c>
      <c r="B96" s="9"/>
      <c r="C96" s="9"/>
      <c r="D96" s="9"/>
      <c r="E96" s="9"/>
      <c r="F96" s="9"/>
      <c r="G96" s="9"/>
      <c r="H96" s="9"/>
      <c r="I96" s="9"/>
      <c r="J96" s="2"/>
      <c r="K96" s="10"/>
    </row>
  </sheetData>
  <pageMargins left="0.7" right="0.7" top="0.75" bottom="0.75" header="0.3" footer="0.3"/>
  <pageSetup scale="9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Contamination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2015-10-14T18:40:47Z</cp:lastPrinted>
  <dcterms:created xsi:type="dcterms:W3CDTF">2015-10-05T17:53:28Z</dcterms:created>
  <dcterms:modified xsi:type="dcterms:W3CDTF">2015-10-21T02:53:39Z</dcterms:modified>
</cp:coreProperties>
</file>