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Tests\"/>
    </mc:Choice>
  </mc:AlternateContent>
  <bookViews>
    <workbookView xWindow="0" yWindow="0" windowWidth="19200" windowHeight="9030" activeTab="2"/>
  </bookViews>
  <sheets>
    <sheet name="U_Pu_Calculations" sheetId="1" r:id="rId1"/>
    <sheet name="U_Pu_Results" sheetId="2" r:id="rId2"/>
    <sheet name="Totals" sheetId="3" r:id="rId3"/>
    <sheet name="Evap_calcs" sheetId="4" r:id="rId4"/>
    <sheet name="Sheet1" sheetId="6" r:id="rId5"/>
    <sheet name="Enrichmen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  <c r="AW6" i="1"/>
  <c r="AX6" i="1"/>
  <c r="AY6" i="1"/>
  <c r="AZ6" i="1"/>
  <c r="BA6" i="1" s="1"/>
  <c r="BB6" i="1"/>
  <c r="BC6" i="1"/>
  <c r="BD6" i="1"/>
  <c r="BE6" i="1"/>
  <c r="BF6" i="1"/>
  <c r="BG6" i="1" s="1"/>
  <c r="BH6" i="1"/>
  <c r="BI6" i="1"/>
  <c r="BJ6" i="1"/>
  <c r="AV7" i="1"/>
  <c r="AW7" i="1"/>
  <c r="AX7" i="1" s="1"/>
  <c r="AY7" i="1"/>
  <c r="AZ7" i="1"/>
  <c r="BA7" i="1"/>
  <c r="BB7" i="1"/>
  <c r="BC7" i="1"/>
  <c r="BD7" i="1" s="1"/>
  <c r="BE7" i="1"/>
  <c r="BF7" i="1"/>
  <c r="BG7" i="1"/>
  <c r="BH7" i="1"/>
  <c r="BI7" i="1"/>
  <c r="BJ7" i="1" s="1"/>
  <c r="AV8" i="1"/>
  <c r="AW8" i="1"/>
  <c r="AX8" i="1"/>
  <c r="AY8" i="1"/>
  <c r="AZ8" i="1"/>
  <c r="BA8" i="1" s="1"/>
  <c r="BB8" i="1"/>
  <c r="BC8" i="1"/>
  <c r="BD8" i="1"/>
  <c r="BE8" i="1"/>
  <c r="BF8" i="1"/>
  <c r="BG8" i="1" s="1"/>
  <c r="BH8" i="1"/>
  <c r="BI8" i="1"/>
  <c r="BJ8" i="1"/>
  <c r="AV9" i="1"/>
  <c r="AW9" i="1"/>
  <c r="AX9" i="1" s="1"/>
  <c r="AY9" i="1"/>
  <c r="AZ9" i="1"/>
  <c r="BA9" i="1"/>
  <c r="BB9" i="1"/>
  <c r="BC9" i="1"/>
  <c r="BD9" i="1" s="1"/>
  <c r="BE9" i="1"/>
  <c r="BF9" i="1"/>
  <c r="BG9" i="1"/>
  <c r="BH9" i="1"/>
  <c r="BI9" i="1"/>
  <c r="BJ9" i="1" s="1"/>
  <c r="AV10" i="1"/>
  <c r="AW10" i="1"/>
  <c r="AX10" i="1"/>
  <c r="AY10" i="1"/>
  <c r="AZ10" i="1"/>
  <c r="BA10" i="1" s="1"/>
  <c r="BB10" i="1"/>
  <c r="BC10" i="1"/>
  <c r="BD10" i="1"/>
  <c r="BE10" i="1"/>
  <c r="BF10" i="1"/>
  <c r="BG10" i="1" s="1"/>
  <c r="BH10" i="1"/>
  <c r="BI10" i="1"/>
  <c r="BJ10" i="1"/>
  <c r="AV11" i="1"/>
  <c r="AW11" i="1"/>
  <c r="AX11" i="1" s="1"/>
  <c r="AY11" i="1"/>
  <c r="AZ11" i="1"/>
  <c r="BA11" i="1"/>
  <c r="BB11" i="1"/>
  <c r="BC11" i="1"/>
  <c r="BD11" i="1" s="1"/>
  <c r="BE11" i="1"/>
  <c r="BF11" i="1"/>
  <c r="BG11" i="1"/>
  <c r="BH11" i="1"/>
  <c r="BI11" i="1"/>
  <c r="BJ11" i="1" s="1"/>
  <c r="AV12" i="1"/>
  <c r="AW12" i="1"/>
  <c r="AX12" i="1"/>
  <c r="AY12" i="1"/>
  <c r="AZ12" i="1"/>
  <c r="BA12" i="1" s="1"/>
  <c r="BB12" i="1"/>
  <c r="BC12" i="1"/>
  <c r="BD12" i="1"/>
  <c r="BE12" i="1"/>
  <c r="BF12" i="1"/>
  <c r="BG12" i="1" s="1"/>
  <c r="BH12" i="1"/>
  <c r="BI12" i="1"/>
  <c r="BJ12" i="1"/>
  <c r="AV13" i="1"/>
  <c r="AW13" i="1"/>
  <c r="AX13" i="1" s="1"/>
  <c r="AY13" i="1"/>
  <c r="AZ13" i="1"/>
  <c r="BA13" i="1"/>
  <c r="BB13" i="1"/>
  <c r="BC13" i="1"/>
  <c r="BD13" i="1" s="1"/>
  <c r="BE13" i="1"/>
  <c r="BF13" i="1"/>
  <c r="BG13" i="1"/>
  <c r="BH13" i="1"/>
  <c r="BI13" i="1"/>
  <c r="BJ13" i="1" s="1"/>
  <c r="AV14" i="1"/>
  <c r="AW14" i="1"/>
  <c r="AX14" i="1"/>
  <c r="AY14" i="1"/>
  <c r="AZ14" i="1"/>
  <c r="BA14" i="1" s="1"/>
  <c r="BB14" i="1"/>
  <c r="BC14" i="1"/>
  <c r="BD14" i="1"/>
  <c r="BE14" i="1"/>
  <c r="BF14" i="1"/>
  <c r="BG14" i="1" s="1"/>
  <c r="BH14" i="1"/>
  <c r="BI14" i="1"/>
  <c r="BJ14" i="1"/>
  <c r="AV15" i="1"/>
  <c r="AW15" i="1"/>
  <c r="AX15" i="1" s="1"/>
  <c r="AY15" i="1"/>
  <c r="AZ15" i="1"/>
  <c r="BA15" i="1"/>
  <c r="BB15" i="1"/>
  <c r="BC15" i="1"/>
  <c r="BD15" i="1" s="1"/>
  <c r="BE15" i="1"/>
  <c r="BF15" i="1"/>
  <c r="BG15" i="1"/>
  <c r="BH15" i="1"/>
  <c r="BI15" i="1"/>
  <c r="BJ15" i="1" s="1"/>
  <c r="AV16" i="1"/>
  <c r="AW16" i="1"/>
  <c r="AX16" i="1"/>
  <c r="AY16" i="1"/>
  <c r="AZ16" i="1"/>
  <c r="BA16" i="1" s="1"/>
  <c r="BB16" i="1"/>
  <c r="BC16" i="1"/>
  <c r="BD16" i="1"/>
  <c r="BE16" i="1"/>
  <c r="BF16" i="1"/>
  <c r="BG16" i="1" s="1"/>
  <c r="BH16" i="1"/>
  <c r="BI16" i="1"/>
  <c r="BJ16" i="1"/>
  <c r="AV17" i="1"/>
  <c r="AW17" i="1"/>
  <c r="AX17" i="1" s="1"/>
  <c r="AY17" i="1"/>
  <c r="AZ17" i="1"/>
  <c r="BA17" i="1"/>
  <c r="BB17" i="1"/>
  <c r="BC17" i="1"/>
  <c r="BD17" i="1" s="1"/>
  <c r="BE17" i="1"/>
  <c r="BF17" i="1"/>
  <c r="BG17" i="1"/>
  <c r="BH17" i="1"/>
  <c r="BI17" i="1"/>
  <c r="BJ17" i="1" s="1"/>
  <c r="AV18" i="1"/>
  <c r="AW18" i="1"/>
  <c r="AX18" i="1"/>
  <c r="AY18" i="1"/>
  <c r="AZ18" i="1"/>
  <c r="BA18" i="1" s="1"/>
  <c r="BB18" i="1"/>
  <c r="BC18" i="1"/>
  <c r="BD18" i="1"/>
  <c r="BE18" i="1"/>
  <c r="BF18" i="1"/>
  <c r="BG18" i="1" s="1"/>
  <c r="BH18" i="1"/>
  <c r="BI18" i="1"/>
  <c r="BJ18" i="1"/>
  <c r="AV19" i="1"/>
  <c r="AW19" i="1"/>
  <c r="AX19" i="1" s="1"/>
  <c r="AY19" i="1"/>
  <c r="AZ19" i="1"/>
  <c r="BA19" i="1"/>
  <c r="BB19" i="1"/>
  <c r="BC19" i="1"/>
  <c r="BD19" i="1" s="1"/>
  <c r="BE19" i="1"/>
  <c r="BF19" i="1"/>
  <c r="BG19" i="1"/>
  <c r="BH19" i="1"/>
  <c r="BI19" i="1"/>
  <c r="BJ19" i="1" s="1"/>
  <c r="AV20" i="1"/>
  <c r="AW20" i="1"/>
  <c r="AX20" i="1"/>
  <c r="AY20" i="1"/>
  <c r="AZ20" i="1"/>
  <c r="BA20" i="1" s="1"/>
  <c r="BB20" i="1"/>
  <c r="BC20" i="1"/>
  <c r="BD20" i="1"/>
  <c r="BE20" i="1"/>
  <c r="BF20" i="1"/>
  <c r="BG20" i="1" s="1"/>
  <c r="BH20" i="1"/>
  <c r="BI20" i="1"/>
  <c r="BJ20" i="1"/>
  <c r="AV21" i="1"/>
  <c r="AW21" i="1"/>
  <c r="AX21" i="1" s="1"/>
  <c r="AY21" i="1"/>
  <c r="AZ21" i="1"/>
  <c r="BA21" i="1"/>
  <c r="BB21" i="1"/>
  <c r="BC21" i="1"/>
  <c r="BD21" i="1" s="1"/>
  <c r="BE21" i="1"/>
  <c r="BF21" i="1"/>
  <c r="BG21" i="1"/>
  <c r="BH21" i="1"/>
  <c r="BI21" i="1"/>
  <c r="BJ21" i="1" s="1"/>
  <c r="AV22" i="1"/>
  <c r="AW22" i="1"/>
  <c r="AX22" i="1"/>
  <c r="AY22" i="1"/>
  <c r="AZ22" i="1"/>
  <c r="BA22" i="1" s="1"/>
  <c r="BB22" i="1"/>
  <c r="BC22" i="1"/>
  <c r="BD22" i="1"/>
  <c r="BE22" i="1"/>
  <c r="BF22" i="1"/>
  <c r="BG22" i="1" s="1"/>
  <c r="BH22" i="1"/>
  <c r="BI22" i="1"/>
  <c r="BJ22" i="1"/>
  <c r="AV23" i="1"/>
  <c r="AW23" i="1"/>
  <c r="AX23" i="1" s="1"/>
  <c r="AY23" i="1"/>
  <c r="AZ23" i="1"/>
  <c r="BA23" i="1"/>
  <c r="BB23" i="1"/>
  <c r="BC23" i="1"/>
  <c r="BD23" i="1" s="1"/>
  <c r="BE23" i="1"/>
  <c r="BF23" i="1"/>
  <c r="BG23" i="1"/>
  <c r="BH23" i="1"/>
  <c r="BI23" i="1"/>
  <c r="BJ23" i="1" s="1"/>
  <c r="AV24" i="1"/>
  <c r="AW24" i="1"/>
  <c r="AX24" i="1"/>
  <c r="AY24" i="1"/>
  <c r="AZ24" i="1"/>
  <c r="BA24" i="1" s="1"/>
  <c r="BB24" i="1"/>
  <c r="BC24" i="1"/>
  <c r="BD24" i="1"/>
  <c r="BE24" i="1"/>
  <c r="BF24" i="1"/>
  <c r="BG24" i="1" s="1"/>
  <c r="BH24" i="1"/>
  <c r="BI24" i="1"/>
  <c r="BJ24" i="1"/>
  <c r="AV26" i="1"/>
  <c r="AW26" i="1"/>
  <c r="AX26" i="1"/>
  <c r="AY26" i="1"/>
  <c r="AZ26" i="1"/>
  <c r="BA26" i="1" s="1"/>
  <c r="BB26" i="1"/>
  <c r="BC26" i="1"/>
  <c r="BD26" i="1"/>
  <c r="BE26" i="1"/>
  <c r="BF26" i="1"/>
  <c r="BG26" i="1" s="1"/>
  <c r="BH26" i="1"/>
  <c r="BI26" i="1"/>
  <c r="BJ26" i="1"/>
  <c r="AV27" i="1"/>
  <c r="AW27" i="1"/>
  <c r="AX27" i="1" s="1"/>
  <c r="AY27" i="1"/>
  <c r="AZ27" i="1"/>
  <c r="BA27" i="1"/>
  <c r="BB27" i="1"/>
  <c r="BC27" i="1"/>
  <c r="BD27" i="1" s="1"/>
  <c r="BE27" i="1"/>
  <c r="BF27" i="1"/>
  <c r="BG27" i="1"/>
  <c r="BH27" i="1"/>
  <c r="BI27" i="1"/>
  <c r="BJ27" i="1" s="1"/>
  <c r="AV28" i="1"/>
  <c r="AW28" i="1"/>
  <c r="AX28" i="1"/>
  <c r="AY28" i="1"/>
  <c r="AZ28" i="1"/>
  <c r="BA28" i="1" s="1"/>
  <c r="BB28" i="1"/>
  <c r="BC28" i="1"/>
  <c r="BD28" i="1"/>
  <c r="BE28" i="1"/>
  <c r="BF28" i="1"/>
  <c r="BG28" i="1" s="1"/>
  <c r="BH28" i="1"/>
  <c r="BI28" i="1"/>
  <c r="BJ28" i="1"/>
  <c r="AV29" i="1"/>
  <c r="AW29" i="1"/>
  <c r="AX29" i="1" s="1"/>
  <c r="AY29" i="1"/>
  <c r="AZ29" i="1"/>
  <c r="BA29" i="1"/>
  <c r="BB29" i="1"/>
  <c r="BC29" i="1"/>
  <c r="BD29" i="1" s="1"/>
  <c r="BE29" i="1"/>
  <c r="BF29" i="1"/>
  <c r="BG29" i="1"/>
  <c r="BH29" i="1"/>
  <c r="BI29" i="1"/>
  <c r="BJ29" i="1" s="1"/>
  <c r="AV30" i="1"/>
  <c r="AW30" i="1"/>
  <c r="AX30" i="1"/>
  <c r="AY30" i="1"/>
  <c r="AZ30" i="1"/>
  <c r="BA30" i="1" s="1"/>
  <c r="BB30" i="1"/>
  <c r="BC30" i="1"/>
  <c r="BD30" i="1"/>
  <c r="BE30" i="1"/>
  <c r="BF30" i="1"/>
  <c r="BG30" i="1" s="1"/>
  <c r="BH30" i="1"/>
  <c r="BI30" i="1"/>
  <c r="BJ30" i="1"/>
  <c r="AV31" i="1"/>
  <c r="AW31" i="1"/>
  <c r="AX31" i="1" s="1"/>
  <c r="AY31" i="1"/>
  <c r="AZ31" i="1"/>
  <c r="BA31" i="1"/>
  <c r="BB31" i="1"/>
  <c r="BC31" i="1"/>
  <c r="BD31" i="1" s="1"/>
  <c r="BE31" i="1"/>
  <c r="BF31" i="1"/>
  <c r="BG31" i="1"/>
  <c r="BH31" i="1"/>
  <c r="BI31" i="1"/>
  <c r="BJ31" i="1" s="1"/>
  <c r="AV32" i="1"/>
  <c r="AW32" i="1"/>
  <c r="AX32" i="1"/>
  <c r="AY32" i="1"/>
  <c r="AZ32" i="1"/>
  <c r="BA32" i="1" s="1"/>
  <c r="BB32" i="1"/>
  <c r="BC32" i="1"/>
  <c r="BD32" i="1"/>
  <c r="BE32" i="1"/>
  <c r="BF32" i="1"/>
  <c r="BG32" i="1" s="1"/>
  <c r="BH32" i="1"/>
  <c r="BI32" i="1"/>
  <c r="BJ32" i="1"/>
  <c r="AV33" i="1"/>
  <c r="AW33" i="1"/>
  <c r="AX33" i="1" s="1"/>
  <c r="AY33" i="1"/>
  <c r="AZ33" i="1"/>
  <c r="BA33" i="1"/>
  <c r="BB33" i="1"/>
  <c r="BC33" i="1"/>
  <c r="BD33" i="1" s="1"/>
  <c r="BE33" i="1"/>
  <c r="BF33" i="1"/>
  <c r="BG33" i="1"/>
  <c r="BH33" i="1"/>
  <c r="BI33" i="1"/>
  <c r="BJ33" i="1" s="1"/>
  <c r="BI5" i="1"/>
  <c r="BH5" i="1"/>
  <c r="BF5" i="1"/>
  <c r="BE5" i="1"/>
  <c r="BC5" i="1"/>
  <c r="BB5" i="1"/>
  <c r="AZ5" i="1"/>
  <c r="AY5" i="1"/>
  <c r="AW5" i="1"/>
  <c r="AV5" i="1"/>
  <c r="AX5" i="1" s="1"/>
  <c r="J2" i="1" l="1"/>
  <c r="Y2" i="3" l="1"/>
  <c r="K41" i="3" l="1"/>
  <c r="K32" i="3"/>
  <c r="J41" i="3"/>
  <c r="K5" i="3"/>
  <c r="J32" i="3"/>
  <c r="J12" i="3" l="1"/>
  <c r="K12" i="3"/>
  <c r="J5" i="3"/>
  <c r="C35" i="3" s="1"/>
  <c r="A35" i="3" l="1"/>
  <c r="B35" i="3"/>
  <c r="D35" i="3"/>
  <c r="F2" i="5" l="1"/>
  <c r="G2" i="5"/>
  <c r="E2" i="5"/>
  <c r="J2" i="5" l="1"/>
  <c r="C23" i="5"/>
  <c r="D23" i="5"/>
  <c r="Z2" i="3" l="1"/>
  <c r="AA2" i="3"/>
  <c r="AB2" i="3"/>
  <c r="AC2" i="3"/>
  <c r="AD2" i="3"/>
  <c r="U2" i="4" l="1"/>
  <c r="B2" i="4"/>
  <c r="K2" i="4" s="1"/>
  <c r="C2" i="4"/>
  <c r="L2" i="4" s="1"/>
  <c r="D2" i="4"/>
  <c r="M2" i="4" s="1"/>
  <c r="F2" i="4"/>
  <c r="O2" i="4" s="1"/>
  <c r="G2" i="4"/>
  <c r="P2" i="4" s="1"/>
  <c r="H2" i="4"/>
  <c r="Q2" i="4" s="1"/>
  <c r="K6" i="1" l="1"/>
  <c r="N3" i="1" l="1"/>
  <c r="J3" i="1"/>
  <c r="L3" i="1"/>
  <c r="A2" i="2" l="1"/>
  <c r="B3" i="3" s="1"/>
  <c r="A3" i="4" s="1"/>
  <c r="A3" i="2"/>
  <c r="B4" i="3" s="1"/>
  <c r="A4" i="5" s="1"/>
  <c r="A4" i="2"/>
  <c r="B5" i="3" s="1"/>
  <c r="A5" i="4" s="1"/>
  <c r="A5" i="2"/>
  <c r="B6" i="3" s="1"/>
  <c r="A6" i="5" s="1"/>
  <c r="A6" i="2"/>
  <c r="B7" i="3" s="1"/>
  <c r="A7" i="4" s="1"/>
  <c r="J7" i="4" s="1"/>
  <c r="A7" i="2"/>
  <c r="B8" i="3" s="1"/>
  <c r="A8" i="5" s="1"/>
  <c r="A8" i="2"/>
  <c r="B9" i="3" s="1"/>
  <c r="A9" i="4" s="1"/>
  <c r="A9" i="2"/>
  <c r="B10" i="3" s="1"/>
  <c r="A10" i="5" s="1"/>
  <c r="A10" i="2"/>
  <c r="B11" i="3" s="1"/>
  <c r="A11" i="4" s="1"/>
  <c r="A11" i="2"/>
  <c r="B12" i="3" s="1"/>
  <c r="A12" i="5" s="1"/>
  <c r="A12" i="2"/>
  <c r="B13" i="3" s="1"/>
  <c r="A13" i="4" s="1"/>
  <c r="A13" i="2"/>
  <c r="B14" i="3" s="1"/>
  <c r="A14" i="5" s="1"/>
  <c r="A14" i="2"/>
  <c r="B15" i="3" s="1"/>
  <c r="A15" i="4" s="1"/>
  <c r="A15" i="2"/>
  <c r="B16" i="3" s="1"/>
  <c r="A16" i="5" s="1"/>
  <c r="A16" i="2"/>
  <c r="B17" i="3" s="1"/>
  <c r="A17" i="4" s="1"/>
  <c r="A17" i="2"/>
  <c r="B18" i="3" s="1"/>
  <c r="A18" i="5" s="1"/>
  <c r="A18" i="2"/>
  <c r="B19" i="3" s="1"/>
  <c r="A19" i="4" s="1"/>
  <c r="A19" i="2"/>
  <c r="B20" i="3" s="1"/>
  <c r="A20" i="5" s="1"/>
  <c r="A20" i="2"/>
  <c r="B21" i="3" s="1"/>
  <c r="A21" i="4" s="1"/>
  <c r="A21" i="2"/>
  <c r="B22" i="3" s="1"/>
  <c r="A22" i="5" s="1"/>
  <c r="A23" i="2"/>
  <c r="B23" i="3" s="1"/>
  <c r="A23" i="4" s="1"/>
  <c r="A24" i="2"/>
  <c r="B24" i="3" s="1"/>
  <c r="A24" i="5" s="1"/>
  <c r="A25" i="2"/>
  <c r="B25" i="3" s="1"/>
  <c r="A25" i="4" s="1"/>
  <c r="A26" i="2"/>
  <c r="B26" i="3" s="1"/>
  <c r="A26" i="5" s="1"/>
  <c r="A27" i="2"/>
  <c r="B27" i="3" s="1"/>
  <c r="A27" i="4" s="1"/>
  <c r="A28" i="2"/>
  <c r="B28" i="3" s="1"/>
  <c r="A28" i="4" s="1"/>
  <c r="A29" i="2"/>
  <c r="B29" i="3" s="1"/>
  <c r="A29" i="4" s="1"/>
  <c r="A30" i="2"/>
  <c r="B30" i="3" s="1"/>
  <c r="A30" i="5" s="1"/>
  <c r="A1" i="2"/>
  <c r="B2" i="3" s="1"/>
  <c r="A2" i="5" s="1"/>
  <c r="B2" i="2"/>
  <c r="D2" i="2"/>
  <c r="K2" i="2"/>
  <c r="N2" i="2"/>
  <c r="Q2" i="2"/>
  <c r="R2" i="2"/>
  <c r="S2" i="2"/>
  <c r="T2" i="2"/>
  <c r="U2" i="2"/>
  <c r="V2" i="2"/>
  <c r="B3" i="2"/>
  <c r="K3" i="2"/>
  <c r="N3" i="2"/>
  <c r="Q3" i="2"/>
  <c r="R3" i="2"/>
  <c r="S3" i="2"/>
  <c r="T3" i="2"/>
  <c r="U3" i="2"/>
  <c r="V3" i="2"/>
  <c r="B4" i="2"/>
  <c r="D4" i="2"/>
  <c r="K4" i="2"/>
  <c r="N4" i="2"/>
  <c r="Q4" i="2"/>
  <c r="R4" i="2"/>
  <c r="S4" i="2"/>
  <c r="T4" i="2"/>
  <c r="U4" i="2"/>
  <c r="V4" i="2"/>
  <c r="B5" i="2"/>
  <c r="D5" i="2"/>
  <c r="K5" i="2"/>
  <c r="N5" i="2"/>
  <c r="Q5" i="2"/>
  <c r="R5" i="2"/>
  <c r="S5" i="2"/>
  <c r="T5" i="2"/>
  <c r="U5" i="2"/>
  <c r="V5" i="2"/>
  <c r="B6" i="2"/>
  <c r="K6" i="2"/>
  <c r="N6" i="2"/>
  <c r="Q6" i="2"/>
  <c r="R6" i="2"/>
  <c r="S6" i="2"/>
  <c r="T6" i="2"/>
  <c r="U6" i="2"/>
  <c r="V6" i="2"/>
  <c r="B7" i="2"/>
  <c r="K7" i="2"/>
  <c r="N7" i="2"/>
  <c r="Q7" i="2"/>
  <c r="R7" i="2"/>
  <c r="S7" i="2"/>
  <c r="T7" i="2"/>
  <c r="U7" i="2"/>
  <c r="V7" i="2"/>
  <c r="B8" i="2"/>
  <c r="K8" i="2"/>
  <c r="N8" i="2"/>
  <c r="Q8" i="2"/>
  <c r="R8" i="2"/>
  <c r="S8" i="2"/>
  <c r="T8" i="2"/>
  <c r="U8" i="2"/>
  <c r="V8" i="2"/>
  <c r="B9" i="2"/>
  <c r="K9" i="2"/>
  <c r="N9" i="2"/>
  <c r="Q9" i="2"/>
  <c r="R9" i="2"/>
  <c r="S9" i="2"/>
  <c r="T9" i="2"/>
  <c r="U9" i="2"/>
  <c r="V9" i="2"/>
  <c r="B10" i="2"/>
  <c r="K10" i="2"/>
  <c r="N10" i="2"/>
  <c r="Q10" i="2"/>
  <c r="R10" i="2"/>
  <c r="S10" i="2"/>
  <c r="T10" i="2"/>
  <c r="U10" i="2"/>
  <c r="V10" i="2"/>
  <c r="B11" i="2"/>
  <c r="D11" i="2"/>
  <c r="K11" i="2"/>
  <c r="N11" i="2"/>
  <c r="Q11" i="2"/>
  <c r="R11" i="2"/>
  <c r="S11" i="2"/>
  <c r="T11" i="2"/>
  <c r="U11" i="2"/>
  <c r="V11" i="2"/>
  <c r="B12" i="2"/>
  <c r="D12" i="2"/>
  <c r="K12" i="2"/>
  <c r="N12" i="2"/>
  <c r="Q12" i="2"/>
  <c r="R12" i="2"/>
  <c r="S12" i="2"/>
  <c r="T12" i="2"/>
  <c r="U12" i="2"/>
  <c r="V12" i="2"/>
  <c r="B13" i="2"/>
  <c r="K13" i="2"/>
  <c r="N13" i="2"/>
  <c r="Q13" i="2"/>
  <c r="R13" i="2"/>
  <c r="S13" i="2"/>
  <c r="T13" i="2"/>
  <c r="U13" i="2"/>
  <c r="V13" i="2"/>
  <c r="B14" i="2"/>
  <c r="D14" i="2"/>
  <c r="K14" i="2"/>
  <c r="N14" i="2"/>
  <c r="Q14" i="2"/>
  <c r="R14" i="2"/>
  <c r="S14" i="2"/>
  <c r="T14" i="2"/>
  <c r="U14" i="2"/>
  <c r="V14" i="2"/>
  <c r="B15" i="2"/>
  <c r="D15" i="2"/>
  <c r="K15" i="2"/>
  <c r="N15" i="2"/>
  <c r="Q15" i="2"/>
  <c r="R15" i="2"/>
  <c r="S15" i="2"/>
  <c r="T15" i="2"/>
  <c r="U15" i="2"/>
  <c r="V15" i="2"/>
  <c r="B16" i="2"/>
  <c r="D16" i="2"/>
  <c r="K16" i="2"/>
  <c r="N16" i="2"/>
  <c r="Q16" i="2"/>
  <c r="R16" i="2"/>
  <c r="S16" i="2"/>
  <c r="T16" i="2"/>
  <c r="U16" i="2"/>
  <c r="V16" i="2"/>
  <c r="B17" i="2"/>
  <c r="D17" i="2"/>
  <c r="K17" i="2"/>
  <c r="N17" i="2"/>
  <c r="Q17" i="2"/>
  <c r="R17" i="2"/>
  <c r="S17" i="2"/>
  <c r="T17" i="2"/>
  <c r="U17" i="2"/>
  <c r="V17" i="2"/>
  <c r="B18" i="2"/>
  <c r="D18" i="2"/>
  <c r="K18" i="2"/>
  <c r="N18" i="2"/>
  <c r="Q18" i="2"/>
  <c r="R18" i="2"/>
  <c r="S18" i="2"/>
  <c r="T18" i="2"/>
  <c r="U18" i="2"/>
  <c r="V18" i="2"/>
  <c r="B19" i="2"/>
  <c r="K19" i="2"/>
  <c r="N19" i="2"/>
  <c r="Q19" i="2"/>
  <c r="R19" i="2"/>
  <c r="S19" i="2"/>
  <c r="T19" i="2"/>
  <c r="U19" i="2"/>
  <c r="V19" i="2"/>
  <c r="B20" i="2"/>
  <c r="K20" i="2"/>
  <c r="N20" i="2"/>
  <c r="Q20" i="2"/>
  <c r="R20" i="2"/>
  <c r="S20" i="2"/>
  <c r="T20" i="2"/>
  <c r="U20" i="2"/>
  <c r="V20" i="2"/>
  <c r="B21" i="2"/>
  <c r="K21" i="2"/>
  <c r="N21" i="2"/>
  <c r="Q21" i="2"/>
  <c r="R21" i="2"/>
  <c r="S21" i="2"/>
  <c r="T21" i="2"/>
  <c r="U21" i="2"/>
  <c r="V21" i="2"/>
  <c r="E22" i="2"/>
  <c r="B23" i="5" s="1"/>
  <c r="K22" i="2"/>
  <c r="B23" i="2"/>
  <c r="D23" i="2"/>
  <c r="K23" i="2"/>
  <c r="N23" i="2"/>
  <c r="Q23" i="2"/>
  <c r="R23" i="2"/>
  <c r="S23" i="2"/>
  <c r="T23" i="2"/>
  <c r="U23" i="2"/>
  <c r="V23" i="2"/>
  <c r="B24" i="2"/>
  <c r="D24" i="2"/>
  <c r="K24" i="2"/>
  <c r="N24" i="2"/>
  <c r="Q24" i="2"/>
  <c r="R24" i="2"/>
  <c r="S24" i="2"/>
  <c r="T24" i="2"/>
  <c r="U24" i="2"/>
  <c r="V24" i="2"/>
  <c r="B25" i="2"/>
  <c r="K25" i="2"/>
  <c r="N25" i="2"/>
  <c r="Q25" i="2"/>
  <c r="R25" i="2"/>
  <c r="S25" i="2"/>
  <c r="T25" i="2"/>
  <c r="U25" i="2"/>
  <c r="V25" i="2"/>
  <c r="B26" i="2"/>
  <c r="K26" i="2"/>
  <c r="N26" i="2"/>
  <c r="Q26" i="2"/>
  <c r="R26" i="2"/>
  <c r="S26" i="2"/>
  <c r="T26" i="2"/>
  <c r="U26" i="2"/>
  <c r="V26" i="2"/>
  <c r="B27" i="2"/>
  <c r="K27" i="2"/>
  <c r="N27" i="2"/>
  <c r="Q27" i="2"/>
  <c r="R27" i="2"/>
  <c r="S27" i="2"/>
  <c r="T27" i="2"/>
  <c r="U27" i="2"/>
  <c r="V27" i="2"/>
  <c r="B28" i="2"/>
  <c r="K28" i="2"/>
  <c r="N28" i="2"/>
  <c r="Q28" i="2"/>
  <c r="R28" i="2"/>
  <c r="S28" i="2"/>
  <c r="T28" i="2"/>
  <c r="U28" i="2"/>
  <c r="V28" i="2"/>
  <c r="B29" i="2"/>
  <c r="K29" i="2"/>
  <c r="N29" i="2"/>
  <c r="Q29" i="2"/>
  <c r="R29" i="2"/>
  <c r="S29" i="2"/>
  <c r="T29" i="2"/>
  <c r="U29" i="2"/>
  <c r="V29" i="2"/>
  <c r="B30" i="2"/>
  <c r="K30" i="2"/>
  <c r="N30" i="2"/>
  <c r="Q30" i="2"/>
  <c r="R30" i="2"/>
  <c r="S30" i="2"/>
  <c r="T30" i="2"/>
  <c r="U30" i="2"/>
  <c r="V30" i="2"/>
  <c r="V1" i="2"/>
  <c r="C1" i="2"/>
  <c r="D1" i="2"/>
  <c r="E1" i="2"/>
  <c r="B2" i="5" s="1"/>
  <c r="F1" i="2"/>
  <c r="C2" i="5" s="1"/>
  <c r="G1" i="2"/>
  <c r="D2" i="5" s="1"/>
  <c r="H1" i="2"/>
  <c r="I1" i="2"/>
  <c r="J1" i="2"/>
  <c r="K1" i="2"/>
  <c r="L1" i="2"/>
  <c r="I2" i="5" s="1"/>
  <c r="M1" i="2"/>
  <c r="N1" i="2"/>
  <c r="O1" i="2"/>
  <c r="P1" i="2"/>
  <c r="Q1" i="2"/>
  <c r="R1" i="2"/>
  <c r="S1" i="2"/>
  <c r="T1" i="2"/>
  <c r="U1" i="2"/>
  <c r="B1" i="2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6" i="1"/>
  <c r="BP27" i="1"/>
  <c r="BP28" i="1"/>
  <c r="BP29" i="1"/>
  <c r="BP30" i="1"/>
  <c r="BP31" i="1"/>
  <c r="BP32" i="1"/>
  <c r="BP33" i="1"/>
  <c r="BP5" i="1"/>
  <c r="BO26" i="1"/>
  <c r="BO27" i="1"/>
  <c r="BO28" i="1"/>
  <c r="BO29" i="1"/>
  <c r="BO30" i="1"/>
  <c r="BO31" i="1"/>
  <c r="BO32" i="1"/>
  <c r="BO33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6" i="1"/>
  <c r="BM27" i="1"/>
  <c r="BM28" i="1"/>
  <c r="BM29" i="1"/>
  <c r="BM30" i="1"/>
  <c r="BM31" i="1"/>
  <c r="BM32" i="1"/>
  <c r="BM33" i="1"/>
  <c r="BM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6" i="1"/>
  <c r="BL27" i="1"/>
  <c r="BL28" i="1"/>
  <c r="BL29" i="1"/>
  <c r="BL30" i="1"/>
  <c r="BL31" i="1"/>
  <c r="BL32" i="1"/>
  <c r="BL33" i="1"/>
  <c r="BL5" i="1"/>
  <c r="V3" i="1"/>
  <c r="V2" i="1"/>
  <c r="AT6" i="1"/>
  <c r="AT34" i="1" s="1"/>
  <c r="AT7" i="1"/>
  <c r="AT9" i="1"/>
  <c r="AT10" i="1"/>
  <c r="AT11" i="1"/>
  <c r="AT12" i="1"/>
  <c r="AT13" i="1"/>
  <c r="AT14" i="1"/>
  <c r="AT15" i="1"/>
  <c r="AT16" i="1"/>
  <c r="AT18" i="1"/>
  <c r="AT22" i="1"/>
  <c r="AT23" i="1"/>
  <c r="AT24" i="1"/>
  <c r="AT28" i="1"/>
  <c r="AT29" i="1"/>
  <c r="AT30" i="1"/>
  <c r="AT31" i="1"/>
  <c r="AT32" i="1"/>
  <c r="AT33" i="1"/>
  <c r="AT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6" i="1"/>
  <c r="BN27" i="1"/>
  <c r="BN28" i="1"/>
  <c r="BN29" i="1"/>
  <c r="BN30" i="1"/>
  <c r="BN31" i="1"/>
  <c r="BN32" i="1"/>
  <c r="BN33" i="1"/>
  <c r="BN5" i="1"/>
  <c r="T3" i="1"/>
  <c r="T2" i="1"/>
  <c r="R3" i="1"/>
  <c r="P3" i="1"/>
  <c r="R2" i="1"/>
  <c r="BK7" i="1"/>
  <c r="P2" i="1"/>
  <c r="F30" i="3" l="1"/>
  <c r="F30" i="4" s="1"/>
  <c r="F27" i="3"/>
  <c r="F27" i="4" s="1"/>
  <c r="F26" i="3"/>
  <c r="F26" i="4" s="1"/>
  <c r="F22" i="3"/>
  <c r="F22" i="4" s="1"/>
  <c r="F21" i="3"/>
  <c r="F21" i="4" s="1"/>
  <c r="F17" i="3"/>
  <c r="F17" i="4" s="1"/>
  <c r="F16" i="3"/>
  <c r="F16" i="4" s="1"/>
  <c r="F11" i="3"/>
  <c r="F11" i="4" s="1"/>
  <c r="F29" i="3"/>
  <c r="F29" i="4" s="1"/>
  <c r="F28" i="3"/>
  <c r="F28" i="4" s="1"/>
  <c r="F25" i="3"/>
  <c r="F25" i="4" s="1"/>
  <c r="F24" i="3"/>
  <c r="F24" i="4" s="1"/>
  <c r="F23" i="3"/>
  <c r="F23" i="4" s="1"/>
  <c r="F20" i="3"/>
  <c r="F19" i="3"/>
  <c r="F19" i="4" s="1"/>
  <c r="F18" i="3"/>
  <c r="F18" i="4" s="1"/>
  <c r="F15" i="3"/>
  <c r="F15" i="4" s="1"/>
  <c r="F14" i="3"/>
  <c r="F14" i="4" s="1"/>
  <c r="F13" i="3"/>
  <c r="F13" i="4" s="1"/>
  <c r="F12" i="3"/>
  <c r="F12" i="4" s="1"/>
  <c r="F8" i="3"/>
  <c r="F7" i="3"/>
  <c r="F5" i="3"/>
  <c r="F4" i="3"/>
  <c r="F3" i="3"/>
  <c r="A5" i="5"/>
  <c r="A7" i="5"/>
  <c r="A9" i="5"/>
  <c r="A11" i="5"/>
  <c r="A13" i="5"/>
  <c r="A15" i="5"/>
  <c r="A17" i="5"/>
  <c r="A19" i="5"/>
  <c r="A21" i="5"/>
  <c r="A23" i="5"/>
  <c r="A25" i="5"/>
  <c r="A27" i="5"/>
  <c r="A29" i="5"/>
  <c r="A28" i="5"/>
  <c r="A30" i="4"/>
  <c r="A4" i="4"/>
  <c r="A6" i="4"/>
  <c r="A8" i="4"/>
  <c r="J8" i="4" s="1"/>
  <c r="A10" i="4"/>
  <c r="A12" i="4"/>
  <c r="A14" i="4"/>
  <c r="A16" i="4"/>
  <c r="A18" i="4"/>
  <c r="A20" i="4"/>
  <c r="A22" i="4"/>
  <c r="A24" i="4"/>
  <c r="A26" i="4"/>
  <c r="A2" i="4"/>
  <c r="J2" i="4" s="1"/>
  <c r="F10" i="3"/>
  <c r="F10" i="4" s="1"/>
  <c r="F9" i="3"/>
  <c r="F9" i="4" s="1"/>
  <c r="F6" i="3"/>
  <c r="A3" i="5"/>
  <c r="BK33" i="1"/>
  <c r="BK31" i="1"/>
  <c r="BK29" i="1"/>
  <c r="BK27" i="1"/>
  <c r="BK24" i="1"/>
  <c r="BK22" i="1"/>
  <c r="BK20" i="1"/>
  <c r="BK18" i="1"/>
  <c r="BK16" i="1"/>
  <c r="BK14" i="1"/>
  <c r="BK12" i="1"/>
  <c r="BK10" i="1"/>
  <c r="BK8" i="1"/>
  <c r="BK6" i="1"/>
  <c r="BK5" i="1"/>
  <c r="BK32" i="1"/>
  <c r="BK30" i="1"/>
  <c r="BK28" i="1"/>
  <c r="BK26" i="1"/>
  <c r="BK23" i="1"/>
  <c r="BK21" i="1"/>
  <c r="BK19" i="1"/>
  <c r="BK17" i="1"/>
  <c r="BK15" i="1"/>
  <c r="BK13" i="1"/>
  <c r="BK11" i="1"/>
  <c r="BK9" i="1"/>
  <c r="J57" i="3" l="1"/>
  <c r="F6" i="4"/>
  <c r="J25" i="3"/>
  <c r="J30" i="3" s="1"/>
  <c r="F7" i="4"/>
  <c r="O7" i="4" s="1"/>
  <c r="I36" i="3"/>
  <c r="J11" i="3"/>
  <c r="F8" i="4"/>
  <c r="O8" i="4" s="1"/>
  <c r="J18" i="3"/>
  <c r="J16" i="3" s="1"/>
  <c r="F20" i="4"/>
  <c r="F38" i="3"/>
  <c r="F3" i="4"/>
  <c r="J47" i="3"/>
  <c r="F4" i="4"/>
  <c r="J36" i="3"/>
  <c r="J38" i="3" s="1"/>
  <c r="J45" i="3"/>
  <c r="F5" i="4"/>
  <c r="W27" i="1"/>
  <c r="W28" i="1"/>
  <c r="W29" i="1"/>
  <c r="W30" i="1"/>
  <c r="W31" i="1"/>
  <c r="W32" i="1"/>
  <c r="W33" i="1"/>
  <c r="W2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5" i="1"/>
  <c r="U5" i="1"/>
  <c r="U27" i="1"/>
  <c r="U28" i="1"/>
  <c r="U29" i="1"/>
  <c r="U30" i="1"/>
  <c r="U31" i="1"/>
  <c r="U32" i="1"/>
  <c r="U33" i="1"/>
  <c r="U2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S27" i="1"/>
  <c r="S28" i="1"/>
  <c r="S29" i="1"/>
  <c r="S30" i="1"/>
  <c r="S31" i="1"/>
  <c r="S32" i="1"/>
  <c r="S33" i="1"/>
  <c r="S2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Q27" i="1"/>
  <c r="Q28" i="1"/>
  <c r="Q29" i="1"/>
  <c r="Q30" i="1"/>
  <c r="Q31" i="1"/>
  <c r="Q32" i="1"/>
  <c r="Q33" i="1"/>
  <c r="Q2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  <c r="O27" i="1"/>
  <c r="O28" i="1"/>
  <c r="O29" i="1"/>
  <c r="O30" i="1"/>
  <c r="O31" i="1"/>
  <c r="O32" i="1"/>
  <c r="O33" i="1"/>
  <c r="O2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M26" i="1"/>
  <c r="M27" i="1"/>
  <c r="M28" i="1"/>
  <c r="M29" i="1"/>
  <c r="M30" i="1"/>
  <c r="M31" i="1"/>
  <c r="M32" i="1"/>
  <c r="M3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26" i="1"/>
  <c r="K27" i="1"/>
  <c r="K28" i="1"/>
  <c r="K29" i="1"/>
  <c r="K30" i="1"/>
  <c r="K31" i="1"/>
  <c r="K32" i="1"/>
  <c r="K3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8" i="1"/>
  <c r="G18" i="1" s="1"/>
  <c r="F19" i="1"/>
  <c r="G19" i="1" s="1"/>
  <c r="F21" i="1"/>
  <c r="G21" i="1" s="1"/>
  <c r="F22" i="1"/>
  <c r="G22" i="1" s="1"/>
  <c r="F23" i="1"/>
  <c r="G23" i="1" s="1"/>
  <c r="F24" i="1"/>
  <c r="G24" i="1" s="1"/>
  <c r="F5" i="1"/>
  <c r="G5" i="1" s="1"/>
  <c r="J59" i="3" l="1"/>
  <c r="J49" i="3"/>
  <c r="J53" i="3" s="1"/>
  <c r="J10" i="3"/>
  <c r="C33" i="3" s="1"/>
  <c r="C37" i="3" s="1"/>
  <c r="C39" i="3" s="1"/>
  <c r="C41" i="3" s="1"/>
  <c r="C43" i="3" s="1"/>
  <c r="N24" i="4"/>
  <c r="K12" i="4"/>
  <c r="L2" i="1"/>
  <c r="N2" i="1"/>
  <c r="K18" i="4" l="1"/>
  <c r="K15" i="4"/>
  <c r="H10" i="2"/>
  <c r="E2" i="2"/>
  <c r="C45" i="3"/>
  <c r="C47" i="3" s="1"/>
  <c r="C49" i="3" s="1"/>
  <c r="C51" i="3" s="1"/>
  <c r="E3" i="2"/>
  <c r="E5" i="2"/>
  <c r="E7" i="2"/>
  <c r="E9" i="2"/>
  <c r="E11" i="2"/>
  <c r="E13" i="2"/>
  <c r="E15" i="2"/>
  <c r="E17" i="2"/>
  <c r="E19" i="2"/>
  <c r="E21" i="2"/>
  <c r="E24" i="2"/>
  <c r="E26" i="2"/>
  <c r="E28" i="2"/>
  <c r="E30" i="2"/>
  <c r="E4" i="2"/>
  <c r="E6" i="2"/>
  <c r="E8" i="2"/>
  <c r="E10" i="2"/>
  <c r="E12" i="2"/>
  <c r="E14" i="2"/>
  <c r="E16" i="2"/>
  <c r="E18" i="2"/>
  <c r="E20" i="2"/>
  <c r="E23" i="2"/>
  <c r="E25" i="2"/>
  <c r="E27" i="2"/>
  <c r="E29" i="2"/>
  <c r="H25" i="2"/>
  <c r="H29" i="2"/>
  <c r="H21" i="2"/>
  <c r="H17" i="2"/>
  <c r="H13" i="2"/>
  <c r="H5" i="2"/>
  <c r="H9" i="2"/>
  <c r="H24" i="2"/>
  <c r="H16" i="2"/>
  <c r="H8" i="2"/>
  <c r="H2" i="2"/>
  <c r="H23" i="2"/>
  <c r="H15" i="2"/>
  <c r="H7" i="2"/>
  <c r="H30" i="2"/>
  <c r="H14" i="2"/>
  <c r="H6" i="2"/>
  <c r="H28" i="2"/>
  <c r="H20" i="2"/>
  <c r="H12" i="2"/>
  <c r="H4" i="2"/>
  <c r="H27" i="2"/>
  <c r="H19" i="2"/>
  <c r="H11" i="2"/>
  <c r="H3" i="2"/>
  <c r="H26" i="2"/>
  <c r="H18" i="2"/>
  <c r="C30" i="3" l="1"/>
  <c r="E30" i="5" s="1"/>
  <c r="B28" i="5"/>
  <c r="C27" i="3"/>
  <c r="B15" i="5"/>
  <c r="C15" i="3"/>
  <c r="B7" i="5"/>
  <c r="C7" i="3"/>
  <c r="B27" i="5"/>
  <c r="C26" i="3"/>
  <c r="B30" i="5"/>
  <c r="C29" i="3"/>
  <c r="B26" i="5"/>
  <c r="C25" i="3"/>
  <c r="B21" i="5"/>
  <c r="C21" i="3"/>
  <c r="B17" i="5"/>
  <c r="C17" i="3"/>
  <c r="B13" i="5"/>
  <c r="C13" i="3"/>
  <c r="B9" i="5"/>
  <c r="C9" i="3"/>
  <c r="B5" i="5"/>
  <c r="C5" i="3"/>
  <c r="B29" i="5"/>
  <c r="C28" i="3"/>
  <c r="B25" i="5"/>
  <c r="C24" i="3"/>
  <c r="B20" i="5"/>
  <c r="C20" i="3"/>
  <c r="B16" i="5"/>
  <c r="C16" i="3"/>
  <c r="B12" i="5"/>
  <c r="C12" i="3"/>
  <c r="B8" i="5"/>
  <c r="C8" i="3"/>
  <c r="B4" i="5"/>
  <c r="C4" i="3"/>
  <c r="B3" i="5"/>
  <c r="C3" i="3"/>
  <c r="N21" i="4"/>
  <c r="K24" i="4"/>
  <c r="B24" i="5"/>
  <c r="C23" i="3"/>
  <c r="B19" i="5"/>
  <c r="C19" i="3"/>
  <c r="B11" i="5"/>
  <c r="C11" i="3"/>
  <c r="B22" i="5"/>
  <c r="C22" i="3"/>
  <c r="B18" i="5"/>
  <c r="C18" i="3"/>
  <c r="B14" i="5"/>
  <c r="C14" i="3"/>
  <c r="B10" i="5"/>
  <c r="C10" i="3"/>
  <c r="B6" i="5"/>
  <c r="C6" i="3"/>
  <c r="K21" i="4"/>
  <c r="Q21" i="4"/>
  <c r="B30" i="4" l="1"/>
  <c r="H30" i="5"/>
  <c r="E6" i="5"/>
  <c r="H6" i="5" s="1"/>
  <c r="B6" i="4"/>
  <c r="E10" i="5"/>
  <c r="H10" i="5" s="1"/>
  <c r="B10" i="4"/>
  <c r="E14" i="5"/>
  <c r="B14" i="4"/>
  <c r="E18" i="5"/>
  <c r="H18" i="5" s="1"/>
  <c r="B18" i="4"/>
  <c r="E22" i="5"/>
  <c r="B22" i="4"/>
  <c r="E11" i="5"/>
  <c r="H11" i="5" s="1"/>
  <c r="B11" i="4"/>
  <c r="E19" i="5"/>
  <c r="H19" i="5" s="1"/>
  <c r="B19" i="4"/>
  <c r="E23" i="5"/>
  <c r="H23" i="5" s="1"/>
  <c r="B23" i="4"/>
  <c r="K29" i="4"/>
  <c r="N29" i="4" s="1"/>
  <c r="Q27" i="4" s="1"/>
  <c r="K28" i="4"/>
  <c r="N28" i="4" s="1"/>
  <c r="E3" i="5"/>
  <c r="H3" i="5" s="1"/>
  <c r="F36" i="3"/>
  <c r="B3" i="4"/>
  <c r="E4" i="5"/>
  <c r="H4" i="5" s="1"/>
  <c r="B4" i="4"/>
  <c r="M36" i="3"/>
  <c r="J7" i="3"/>
  <c r="A33" i="3" s="1"/>
  <c r="A37" i="3" s="1"/>
  <c r="A39" i="3" s="1"/>
  <c r="A41" i="3" s="1"/>
  <c r="A43" i="3" s="1"/>
  <c r="E8" i="5"/>
  <c r="H8" i="5" s="1"/>
  <c r="J4" i="3"/>
  <c r="B8" i="4"/>
  <c r="K8" i="4" s="1"/>
  <c r="E12" i="5"/>
  <c r="H12" i="5" s="1"/>
  <c r="B12" i="4"/>
  <c r="E16" i="5"/>
  <c r="H16" i="5" s="1"/>
  <c r="B16" i="4"/>
  <c r="J17" i="3"/>
  <c r="J14" i="3" s="1"/>
  <c r="B20" i="4"/>
  <c r="E20" i="5"/>
  <c r="H20" i="5" s="1"/>
  <c r="E24" i="5"/>
  <c r="H24" i="5" s="1"/>
  <c r="B24" i="4"/>
  <c r="E28" i="5"/>
  <c r="H28" i="5" s="1"/>
  <c r="B28" i="4"/>
  <c r="E5" i="5"/>
  <c r="B5" i="4"/>
  <c r="M45" i="3"/>
  <c r="E9" i="5"/>
  <c r="H9" i="5" s="1"/>
  <c r="B9" i="4"/>
  <c r="E13" i="5"/>
  <c r="H13" i="5" s="1"/>
  <c r="B13" i="4"/>
  <c r="E17" i="5"/>
  <c r="B17" i="4"/>
  <c r="E21" i="5"/>
  <c r="B21" i="4"/>
  <c r="E25" i="5"/>
  <c r="B25" i="4"/>
  <c r="E29" i="5"/>
  <c r="B29" i="4"/>
  <c r="E26" i="5"/>
  <c r="H26" i="5" s="1"/>
  <c r="B26" i="4"/>
  <c r="J23" i="3"/>
  <c r="J28" i="3" s="1"/>
  <c r="E7" i="5"/>
  <c r="H7" i="5" s="1"/>
  <c r="B7" i="4"/>
  <c r="K7" i="4" s="1"/>
  <c r="E15" i="5"/>
  <c r="H15" i="5" s="1"/>
  <c r="B15" i="4"/>
  <c r="E27" i="5"/>
  <c r="H27" i="5" s="1"/>
  <c r="B27" i="4"/>
  <c r="A45" i="3" l="1"/>
  <c r="A47" i="3" s="1"/>
  <c r="A49" i="3" s="1"/>
  <c r="A51" i="3" s="1"/>
  <c r="K33" i="4"/>
  <c r="H21" i="5"/>
  <c r="H5" i="5"/>
  <c r="H25" i="5"/>
  <c r="H22" i="5"/>
  <c r="H14" i="5"/>
  <c r="N23" i="4"/>
  <c r="K11" i="4"/>
  <c r="M47" i="3"/>
  <c r="M49" i="3" s="1"/>
  <c r="M38" i="3"/>
  <c r="H17" i="5"/>
  <c r="H29" i="5"/>
  <c r="M53" i="3" l="1"/>
  <c r="H32" i="5"/>
  <c r="K17" i="4"/>
  <c r="K14" i="4"/>
  <c r="N33" i="4"/>
  <c r="Q20" i="4" l="1"/>
  <c r="K20" i="4"/>
  <c r="K23" i="4"/>
  <c r="N20" i="4"/>
  <c r="K27" i="4" l="1"/>
  <c r="N27" i="4" s="1"/>
  <c r="Q26" i="4" s="1"/>
  <c r="K26" i="4"/>
  <c r="N26" i="4" s="1"/>
  <c r="K32" i="4" l="1"/>
  <c r="Q28" i="4"/>
  <c r="N32" i="4" l="1"/>
  <c r="K34" i="4"/>
  <c r="N34" i="4" s="1"/>
  <c r="W1" i="4" s="1"/>
  <c r="W3" i="4" l="1"/>
  <c r="M3" i="3" s="1"/>
  <c r="W4" i="4"/>
  <c r="M4" i="3" s="1"/>
  <c r="W11" i="4"/>
  <c r="M11" i="3" s="1"/>
  <c r="W19" i="4"/>
  <c r="M19" i="3" s="1"/>
  <c r="W27" i="4"/>
  <c r="M27" i="3" s="1"/>
  <c r="W5" i="4"/>
  <c r="M5" i="3" s="1"/>
  <c r="W13" i="4"/>
  <c r="M13" i="3" s="1"/>
  <c r="W21" i="4"/>
  <c r="M21" i="3" s="1"/>
  <c r="W29" i="4"/>
  <c r="M29" i="3" s="1"/>
  <c r="W26" i="4"/>
  <c r="M26" i="3" s="1"/>
  <c r="W18" i="4"/>
  <c r="M18" i="3" s="1"/>
  <c r="W10" i="4"/>
  <c r="M10" i="3" s="1"/>
  <c r="W28" i="4"/>
  <c r="M28" i="3" s="1"/>
  <c r="W20" i="4"/>
  <c r="M20" i="3" s="1"/>
  <c r="W12" i="4"/>
  <c r="M12" i="3" s="1"/>
  <c r="W7" i="4"/>
  <c r="M7" i="3" s="1"/>
  <c r="W23" i="4"/>
  <c r="M23" i="3" s="1"/>
  <c r="W9" i="4"/>
  <c r="M9" i="3" s="1"/>
  <c r="W25" i="4"/>
  <c r="M25" i="3" s="1"/>
  <c r="W22" i="4"/>
  <c r="M22" i="3" s="1"/>
  <c r="W6" i="4"/>
  <c r="M6" i="3" s="1"/>
  <c r="W16" i="4"/>
  <c r="M16" i="3" s="1"/>
  <c r="W15" i="4"/>
  <c r="M15" i="3" s="1"/>
  <c r="W17" i="4"/>
  <c r="M17" i="3" s="1"/>
  <c r="W30" i="4"/>
  <c r="M30" i="3" s="1"/>
  <c r="W14" i="4"/>
  <c r="M14" i="3" s="1"/>
  <c r="W24" i="4"/>
  <c r="M24" i="3" s="1"/>
  <c r="W8" i="4"/>
  <c r="M8" i="3" s="1"/>
  <c r="O8" i="3" l="1"/>
  <c r="Y8" i="3" s="1"/>
  <c r="R8" i="3"/>
  <c r="AB8" i="3" s="1"/>
  <c r="U14" i="4"/>
  <c r="R14" i="3"/>
  <c r="AB14" i="3" s="1"/>
  <c r="O14" i="3"/>
  <c r="Y14" i="3" s="1"/>
  <c r="U17" i="4"/>
  <c r="R17" i="3"/>
  <c r="AB17" i="3" s="1"/>
  <c r="O17" i="3"/>
  <c r="Y17" i="3" s="1"/>
  <c r="R16" i="3"/>
  <c r="AB16" i="3" s="1"/>
  <c r="O16" i="3"/>
  <c r="Y16" i="3" s="1"/>
  <c r="U16" i="4"/>
  <c r="U22" i="4"/>
  <c r="R22" i="3"/>
  <c r="AB22" i="3" s="1"/>
  <c r="O22" i="3"/>
  <c r="Y22" i="3" s="1"/>
  <c r="R9" i="3"/>
  <c r="AB9" i="3" s="1"/>
  <c r="O9" i="3"/>
  <c r="Y9" i="3" s="1"/>
  <c r="U9" i="4"/>
  <c r="R7" i="3"/>
  <c r="AB7" i="3" s="1"/>
  <c r="O7" i="3"/>
  <c r="U20" i="4"/>
  <c r="R20" i="3"/>
  <c r="O20" i="3"/>
  <c r="Y20" i="3" s="1"/>
  <c r="U10" i="4"/>
  <c r="R10" i="3"/>
  <c r="AB10" i="3" s="1"/>
  <c r="O10" i="3"/>
  <c r="Y10" i="3" s="1"/>
  <c r="R26" i="3"/>
  <c r="AB26" i="3" s="1"/>
  <c r="O26" i="3"/>
  <c r="Y26" i="3" s="1"/>
  <c r="U26" i="4"/>
  <c r="R21" i="3"/>
  <c r="AB21" i="3" s="1"/>
  <c r="O21" i="3"/>
  <c r="U21" i="4"/>
  <c r="U5" i="4"/>
  <c r="R5" i="3"/>
  <c r="O5" i="3"/>
  <c r="Y5" i="3" s="1"/>
  <c r="R19" i="3"/>
  <c r="AB19" i="3" s="1"/>
  <c r="O19" i="3"/>
  <c r="Y19" i="3" s="1"/>
  <c r="U19" i="4"/>
  <c r="O4" i="3"/>
  <c r="Y4" i="3" s="1"/>
  <c r="U4" i="4"/>
  <c r="R4" i="3"/>
  <c r="U24" i="4"/>
  <c r="R24" i="3"/>
  <c r="AB24" i="3" s="1"/>
  <c r="O24" i="3"/>
  <c r="Y24" i="3" s="1"/>
  <c r="U30" i="4"/>
  <c r="R30" i="3"/>
  <c r="AB30" i="3" s="1"/>
  <c r="O30" i="3"/>
  <c r="Y30" i="3" s="1"/>
  <c r="U15" i="4"/>
  <c r="R15" i="3"/>
  <c r="AB15" i="3" s="1"/>
  <c r="O15" i="3"/>
  <c r="Y15" i="3" s="1"/>
  <c r="O6" i="3"/>
  <c r="U6" i="4"/>
  <c r="R6" i="3"/>
  <c r="AB6" i="3" s="1"/>
  <c r="U25" i="4"/>
  <c r="R25" i="3"/>
  <c r="AB25" i="3" s="1"/>
  <c r="O25" i="3"/>
  <c r="Y25" i="3" s="1"/>
  <c r="R23" i="3"/>
  <c r="AB23" i="3" s="1"/>
  <c r="O23" i="3"/>
  <c r="Y23" i="3" s="1"/>
  <c r="U23" i="4"/>
  <c r="R12" i="3"/>
  <c r="AB12" i="3" s="1"/>
  <c r="O12" i="3"/>
  <c r="Y12" i="3" s="1"/>
  <c r="U12" i="4"/>
  <c r="U28" i="4"/>
  <c r="R28" i="3"/>
  <c r="AB28" i="3" s="1"/>
  <c r="O28" i="3"/>
  <c r="Y28" i="3" s="1"/>
  <c r="U18" i="4"/>
  <c r="R18" i="3"/>
  <c r="AB18" i="3" s="1"/>
  <c r="O18" i="3"/>
  <c r="Y18" i="3" s="1"/>
  <c r="R29" i="3"/>
  <c r="AB29" i="3" s="1"/>
  <c r="O29" i="3"/>
  <c r="Y29" i="3" s="1"/>
  <c r="U29" i="4"/>
  <c r="R13" i="3"/>
  <c r="AB13" i="3" s="1"/>
  <c r="O13" i="3"/>
  <c r="Y13" i="3" s="1"/>
  <c r="U13" i="4"/>
  <c r="R27" i="3"/>
  <c r="AB27" i="3" s="1"/>
  <c r="O27" i="3"/>
  <c r="Y27" i="3" s="1"/>
  <c r="U27" i="4"/>
  <c r="U11" i="4"/>
  <c r="R11" i="3"/>
  <c r="AB11" i="3" s="1"/>
  <c r="O11" i="3"/>
  <c r="Y11" i="3" s="1"/>
  <c r="R3" i="3"/>
  <c r="AB3" i="3" s="1"/>
  <c r="O3" i="3"/>
  <c r="U3" i="4"/>
  <c r="V4" i="3" l="1"/>
  <c r="V6" i="3" s="1"/>
  <c r="AB4" i="3"/>
  <c r="Q33" i="4"/>
  <c r="Y3" i="3"/>
  <c r="Y6" i="3"/>
  <c r="V13" i="3"/>
  <c r="V14" i="3" s="1"/>
  <c r="AB5" i="3"/>
  <c r="V10" i="3"/>
  <c r="V11" i="3" s="1"/>
  <c r="Y21" i="3"/>
  <c r="S33" i="4"/>
  <c r="AB20" i="3"/>
  <c r="Q32" i="4"/>
  <c r="Y7" i="3"/>
  <c r="R33" i="4"/>
  <c r="P7" i="2" l="1"/>
  <c r="O4" i="2"/>
  <c r="O9" i="2"/>
  <c r="O19" i="2"/>
  <c r="P19" i="2"/>
  <c r="O28" i="2"/>
  <c r="O3" i="2"/>
  <c r="P11" i="2"/>
  <c r="O24" i="2"/>
  <c r="P24" i="2"/>
  <c r="P26" i="2"/>
  <c r="O8" i="2"/>
  <c r="O2" i="2"/>
  <c r="O5" i="2"/>
  <c r="O14" i="2"/>
  <c r="O15" i="2"/>
  <c r="P20" i="2"/>
  <c r="O17" i="2"/>
  <c r="O16" i="2"/>
  <c r="P16" i="2"/>
  <c r="I11" i="2"/>
  <c r="J11" i="2"/>
  <c r="I7" i="2"/>
  <c r="I20" i="2"/>
  <c r="P10" i="2"/>
  <c r="O27" i="2"/>
  <c r="P27" i="2"/>
  <c r="O29" i="2"/>
  <c r="P29" i="2"/>
  <c r="I19" i="2"/>
  <c r="I27" i="2"/>
  <c r="I24" i="2"/>
  <c r="I17" i="2"/>
  <c r="I29" i="2"/>
  <c r="I14" i="2"/>
  <c r="I26" i="2"/>
  <c r="G4" i="2"/>
  <c r="D5" i="5" s="1"/>
  <c r="G21" i="2"/>
  <c r="D22" i="5" s="1"/>
  <c r="G18" i="2"/>
  <c r="D19" i="5" s="1"/>
  <c r="G25" i="2"/>
  <c r="D26" i="5" s="1"/>
  <c r="G16" i="2"/>
  <c r="D17" i="5" s="1"/>
  <c r="F16" i="2"/>
  <c r="C17" i="5" s="1"/>
  <c r="O25" i="2"/>
  <c r="O6" i="2"/>
  <c r="P6" i="2"/>
  <c r="O12" i="2"/>
  <c r="G20" i="2"/>
  <c r="D21" i="5" s="1"/>
  <c r="F20" i="2"/>
  <c r="C21" i="5" s="1"/>
  <c r="I12" i="2"/>
  <c r="I4" i="2"/>
  <c r="F10" i="2"/>
  <c r="C11" i="5" s="1"/>
  <c r="F7" i="2"/>
  <c r="C8" i="5" s="1"/>
  <c r="G7" i="2"/>
  <c r="D8" i="5" s="1"/>
  <c r="I9" i="2"/>
  <c r="I2" i="2"/>
  <c r="I6" i="2"/>
  <c r="G6" i="2"/>
  <c r="D7" i="5" s="1"/>
  <c r="G28" i="2"/>
  <c r="D29" i="5" s="1"/>
  <c r="G29" i="2"/>
  <c r="D30" i="5" s="1"/>
  <c r="F29" i="2"/>
  <c r="C30" i="5" s="1"/>
  <c r="G24" i="2"/>
  <c r="D25" i="5" s="1"/>
  <c r="F17" i="2"/>
  <c r="C18" i="5" s="1"/>
  <c r="G11" i="2"/>
  <c r="D12" i="5" s="1"/>
  <c r="G9" i="2"/>
  <c r="D10" i="5" s="1"/>
  <c r="G27" i="2"/>
  <c r="D28" i="5" s="1"/>
  <c r="G14" i="2"/>
  <c r="D15" i="5" s="1"/>
  <c r="F8" i="2"/>
  <c r="C9" i="5" s="1"/>
  <c r="G12" i="2"/>
  <c r="D13" i="5" s="1"/>
  <c r="G13" i="2"/>
  <c r="D14" i="5" s="1"/>
  <c r="F13" i="2"/>
  <c r="C14" i="5" s="1"/>
  <c r="G3" i="2"/>
  <c r="D4" i="5" s="1"/>
  <c r="F3" i="2"/>
  <c r="C4" i="5" s="1"/>
  <c r="BA5" i="1"/>
  <c r="G2" i="2" s="1"/>
  <c r="D3" i="5" s="1"/>
  <c r="F2" i="2"/>
  <c r="C3" i="5" s="1"/>
  <c r="D27" i="2"/>
  <c r="C27" i="2"/>
  <c r="M12" i="2"/>
  <c r="L12" i="2"/>
  <c r="G13" i="3" s="1"/>
  <c r="D29" i="2"/>
  <c r="C29" i="2"/>
  <c r="D29" i="3" s="1"/>
  <c r="M17" i="2"/>
  <c r="D28" i="2"/>
  <c r="M11" i="2"/>
  <c r="C23" i="2"/>
  <c r="M25" i="2"/>
  <c r="C5" i="2"/>
  <c r="M5" i="2"/>
  <c r="M14" i="2"/>
  <c r="D30" i="2"/>
  <c r="M24" i="2"/>
  <c r="L3" i="2"/>
  <c r="M18" i="2"/>
  <c r="C4" i="2"/>
  <c r="D26" i="2"/>
  <c r="D19" i="2"/>
  <c r="M6" i="2"/>
  <c r="M8" i="2"/>
  <c r="D21" i="2"/>
  <c r="M15" i="2"/>
  <c r="C16" i="2"/>
  <c r="M13" i="2"/>
  <c r="BG5" i="1"/>
  <c r="M2" i="2" s="1"/>
  <c r="C2" i="2"/>
  <c r="L28" i="2"/>
  <c r="C18" i="2"/>
  <c r="L26" i="2"/>
  <c r="M10" i="2"/>
  <c r="M27" i="2"/>
  <c r="C12" i="2"/>
  <c r="M29" i="2"/>
  <c r="C17" i="2"/>
  <c r="D18" i="3" s="1"/>
  <c r="M28" i="2"/>
  <c r="C11" i="2"/>
  <c r="M23" i="2"/>
  <c r="C14" i="2"/>
  <c r="C24" i="2"/>
  <c r="M20" i="2"/>
  <c r="M26" i="2"/>
  <c r="D9" i="2"/>
  <c r="D6" i="2"/>
  <c r="M21" i="2"/>
  <c r="C15" i="2"/>
  <c r="M16" i="2"/>
  <c r="G28" i="3" l="1"/>
  <c r="S28" i="3" s="1"/>
  <c r="L20" i="2"/>
  <c r="L23" i="2"/>
  <c r="D3" i="3"/>
  <c r="C3" i="4" s="1"/>
  <c r="G4" i="3"/>
  <c r="K36" i="3" s="1"/>
  <c r="F14" i="2"/>
  <c r="C15" i="5" s="1"/>
  <c r="F27" i="2"/>
  <c r="C28" i="5" s="1"/>
  <c r="F11" i="2"/>
  <c r="C12" i="5" s="1"/>
  <c r="G10" i="2"/>
  <c r="D11" i="5" s="1"/>
  <c r="J12" i="2"/>
  <c r="P25" i="2"/>
  <c r="F18" i="2"/>
  <c r="C19" i="5" s="1"/>
  <c r="F21" i="2"/>
  <c r="C22" i="5" s="1"/>
  <c r="F4" i="2"/>
  <c r="C5" i="5" s="1"/>
  <c r="O10" i="2"/>
  <c r="J7" i="2"/>
  <c r="P14" i="2"/>
  <c r="P8" i="2"/>
  <c r="P3" i="2"/>
  <c r="P28" i="2"/>
  <c r="P9" i="2"/>
  <c r="D13" i="2"/>
  <c r="C13" i="2"/>
  <c r="D8" i="2"/>
  <c r="C8" i="2"/>
  <c r="M9" i="2"/>
  <c r="L9" i="2"/>
  <c r="G10" i="3" s="1"/>
  <c r="D3" i="2"/>
  <c r="C3" i="2"/>
  <c r="D25" i="2"/>
  <c r="C25" i="2"/>
  <c r="C18" i="4"/>
  <c r="F18" i="5"/>
  <c r="E18" i="3"/>
  <c r="P18" i="3"/>
  <c r="D10" i="2"/>
  <c r="C10" i="2"/>
  <c r="D7" i="2"/>
  <c r="C7" i="2"/>
  <c r="D8" i="3" s="1"/>
  <c r="L21" i="2"/>
  <c r="C9" i="2"/>
  <c r="H28" i="3"/>
  <c r="H28" i="4" s="1"/>
  <c r="C29" i="4"/>
  <c r="F29" i="5"/>
  <c r="E29" i="3"/>
  <c r="P29" i="3"/>
  <c r="G13" i="4"/>
  <c r="H13" i="3"/>
  <c r="H13" i="4" s="1"/>
  <c r="S13" i="3"/>
  <c r="L19" i="2"/>
  <c r="G20" i="3" s="1"/>
  <c r="M19" i="2"/>
  <c r="D20" i="2"/>
  <c r="C20" i="2"/>
  <c r="D21" i="3" s="1"/>
  <c r="M4" i="2"/>
  <c r="L4" i="2"/>
  <c r="G5" i="3" s="1"/>
  <c r="M30" i="2"/>
  <c r="L30" i="2"/>
  <c r="M7" i="2"/>
  <c r="L7" i="2"/>
  <c r="L16" i="2"/>
  <c r="G17" i="3" s="1"/>
  <c r="C6" i="2"/>
  <c r="F3" i="5"/>
  <c r="I3" i="5" s="1"/>
  <c r="E3" i="3"/>
  <c r="G4" i="4"/>
  <c r="H4" i="3"/>
  <c r="H4" i="4" s="1"/>
  <c r="L29" i="2"/>
  <c r="G29" i="3" s="1"/>
  <c r="L27" i="2"/>
  <c r="G27" i="3" s="1"/>
  <c r="L10" i="2"/>
  <c r="G11" i="3" s="1"/>
  <c r="F12" i="2"/>
  <c r="C13" i="5" s="1"/>
  <c r="G23" i="2"/>
  <c r="D24" i="5" s="1"/>
  <c r="F23" i="2"/>
  <c r="C24" i="5" s="1"/>
  <c r="G5" i="2"/>
  <c r="D6" i="5" s="1"/>
  <c r="F5" i="2"/>
  <c r="C6" i="5" s="1"/>
  <c r="F9" i="2"/>
  <c r="C10" i="5" s="1"/>
  <c r="G19" i="2"/>
  <c r="D20" i="5" s="1"/>
  <c r="F19" i="2"/>
  <c r="C20" i="5" s="1"/>
  <c r="F24" i="2"/>
  <c r="C25" i="5" s="1"/>
  <c r="F28" i="2"/>
  <c r="C29" i="5" s="1"/>
  <c r="I29" i="5" s="1"/>
  <c r="F6" i="2"/>
  <c r="C7" i="5" s="1"/>
  <c r="I30" i="2"/>
  <c r="J30" i="2"/>
  <c r="J6" i="2"/>
  <c r="I18" i="2"/>
  <c r="J18" i="2"/>
  <c r="BD5" i="1"/>
  <c r="J2" i="2" s="1"/>
  <c r="I5" i="2"/>
  <c r="J5" i="2"/>
  <c r="J9" i="2"/>
  <c r="I21" i="2"/>
  <c r="J21" i="2"/>
  <c r="I28" i="2"/>
  <c r="J28" i="2"/>
  <c r="J4" i="2"/>
  <c r="F30" i="2"/>
  <c r="G30" i="2"/>
  <c r="G8" i="2"/>
  <c r="D9" i="5" s="1"/>
  <c r="O18" i="2"/>
  <c r="P18" i="2"/>
  <c r="P12" i="2"/>
  <c r="M3" i="2"/>
  <c r="L2" i="2"/>
  <c r="G3" i="3" s="1"/>
  <c r="L13" i="2"/>
  <c r="L15" i="2"/>
  <c r="G16" i="3" s="1"/>
  <c r="C21" i="2"/>
  <c r="D22" i="3" s="1"/>
  <c r="L8" i="2"/>
  <c r="G9" i="3" s="1"/>
  <c r="L6" i="2"/>
  <c r="G7" i="3" s="1"/>
  <c r="C19" i="2"/>
  <c r="C26" i="2"/>
  <c r="L18" i="2"/>
  <c r="G19" i="3" s="1"/>
  <c r="L24" i="2"/>
  <c r="G24" i="3" s="1"/>
  <c r="C30" i="2"/>
  <c r="L14" i="2"/>
  <c r="G15" i="3" s="1"/>
  <c r="L5" i="2"/>
  <c r="G6" i="3" s="1"/>
  <c r="L25" i="2"/>
  <c r="G25" i="3" s="1"/>
  <c r="L11" i="2"/>
  <c r="C28" i="2"/>
  <c r="D28" i="3" s="1"/>
  <c r="L17" i="2"/>
  <c r="G18" i="3" s="1"/>
  <c r="F26" i="2"/>
  <c r="C27" i="5" s="1"/>
  <c r="G26" i="2"/>
  <c r="D27" i="5" s="1"/>
  <c r="F15" i="2"/>
  <c r="C16" i="5" s="1"/>
  <c r="G15" i="2"/>
  <c r="D16" i="5" s="1"/>
  <c r="I18" i="5"/>
  <c r="G17" i="2"/>
  <c r="D18" i="5" s="1"/>
  <c r="O23" i="2"/>
  <c r="G23" i="3" s="1"/>
  <c r="P23" i="2"/>
  <c r="O30" i="2"/>
  <c r="P30" i="2"/>
  <c r="P13" i="2"/>
  <c r="O13" i="2"/>
  <c r="J26" i="2"/>
  <c r="I23" i="2"/>
  <c r="J23" i="2"/>
  <c r="J27" i="2"/>
  <c r="J15" i="2"/>
  <c r="I15" i="2"/>
  <c r="J19" i="2"/>
  <c r="F25" i="2"/>
  <c r="C26" i="5" s="1"/>
  <c r="I10" i="2"/>
  <c r="J10" i="2"/>
  <c r="J14" i="2"/>
  <c r="I25" i="2"/>
  <c r="J25" i="2"/>
  <c r="J29" i="2"/>
  <c r="I13" i="2"/>
  <c r="J13" i="2"/>
  <c r="J17" i="2"/>
  <c r="J24" i="2"/>
  <c r="J8" i="2"/>
  <c r="I8" i="2"/>
  <c r="I16" i="2"/>
  <c r="D17" i="3" s="1"/>
  <c r="J16" i="2"/>
  <c r="J20" i="2"/>
  <c r="I3" i="2"/>
  <c r="J3" i="2"/>
  <c r="P21" i="2"/>
  <c r="O21" i="2"/>
  <c r="P17" i="2"/>
  <c r="O20" i="2"/>
  <c r="G21" i="3" s="1"/>
  <c r="P15" i="2"/>
  <c r="BJ5" i="1"/>
  <c r="P2" i="2" s="1"/>
  <c r="P5" i="2"/>
  <c r="O26" i="2"/>
  <c r="G26" i="3" s="1"/>
  <c r="O11" i="2"/>
  <c r="P4" i="2"/>
  <c r="O7" i="2"/>
  <c r="S4" i="3" l="1"/>
  <c r="T4" i="3" s="1"/>
  <c r="AD4" i="3" s="1"/>
  <c r="G28" i="4"/>
  <c r="P3" i="3"/>
  <c r="Q3" i="3" s="1"/>
  <c r="AA3" i="3" s="1"/>
  <c r="G36" i="3"/>
  <c r="D5" i="3"/>
  <c r="D15" i="3"/>
  <c r="D30" i="3"/>
  <c r="F30" i="5" s="1"/>
  <c r="I30" i="5" s="1"/>
  <c r="D20" i="3"/>
  <c r="F20" i="5" s="1"/>
  <c r="I20" i="5" s="1"/>
  <c r="D19" i="3"/>
  <c r="F19" i="5" s="1"/>
  <c r="I19" i="5" s="1"/>
  <c r="D27" i="3"/>
  <c r="D12" i="3"/>
  <c r="G26" i="4"/>
  <c r="H26" i="3"/>
  <c r="H26" i="4" s="1"/>
  <c r="S26" i="3"/>
  <c r="C17" i="4"/>
  <c r="F17" i="5"/>
  <c r="I17" i="5" s="1"/>
  <c r="E17" i="3"/>
  <c r="P17" i="3"/>
  <c r="C19" i="4"/>
  <c r="E19" i="3"/>
  <c r="J3" i="5"/>
  <c r="L3" i="5"/>
  <c r="G21" i="4"/>
  <c r="H21" i="3"/>
  <c r="H21" i="4" s="1"/>
  <c r="S21" i="3"/>
  <c r="G23" i="4"/>
  <c r="H23" i="3"/>
  <c r="H23" i="4" s="1"/>
  <c r="S23" i="3"/>
  <c r="F28" i="5"/>
  <c r="I28" i="5" s="1"/>
  <c r="C28" i="4"/>
  <c r="E28" i="3"/>
  <c r="P28" i="3"/>
  <c r="G25" i="4"/>
  <c r="H25" i="3"/>
  <c r="H25" i="4" s="1"/>
  <c r="S25" i="3"/>
  <c r="H15" i="3"/>
  <c r="H15" i="4" s="1"/>
  <c r="G15" i="4"/>
  <c r="S15" i="3"/>
  <c r="G24" i="4"/>
  <c r="H24" i="3"/>
  <c r="H24" i="4" s="1"/>
  <c r="S24" i="3"/>
  <c r="D26" i="3"/>
  <c r="G7" i="4"/>
  <c r="P7" i="4" s="1"/>
  <c r="Q7" i="4" s="1"/>
  <c r="S7" i="3"/>
  <c r="H7" i="3"/>
  <c r="H7" i="4" s="1"/>
  <c r="C22" i="4"/>
  <c r="F22" i="5"/>
  <c r="I22" i="5" s="1"/>
  <c r="E22" i="3"/>
  <c r="P22" i="3"/>
  <c r="G14" i="3"/>
  <c r="J29" i="5"/>
  <c r="L29" i="5"/>
  <c r="G11" i="4"/>
  <c r="H11" i="3"/>
  <c r="H11" i="4" s="1"/>
  <c r="S11" i="3"/>
  <c r="G29" i="4"/>
  <c r="H29" i="3"/>
  <c r="H29" i="4" s="1"/>
  <c r="S29" i="3"/>
  <c r="AC4" i="3"/>
  <c r="K47" i="3"/>
  <c r="G3" i="5"/>
  <c r="D3" i="4"/>
  <c r="G17" i="4"/>
  <c r="H17" i="3"/>
  <c r="H17" i="4" s="1"/>
  <c r="S17" i="3"/>
  <c r="G30" i="3"/>
  <c r="H5" i="3"/>
  <c r="H5" i="4" s="1"/>
  <c r="G5" i="4"/>
  <c r="K45" i="3"/>
  <c r="S5" i="3"/>
  <c r="C21" i="4"/>
  <c r="F21" i="5"/>
  <c r="I21" i="5" s="1"/>
  <c r="E21" i="3"/>
  <c r="P21" i="3"/>
  <c r="AC13" i="3"/>
  <c r="T13" i="3"/>
  <c r="AD13" i="3" s="1"/>
  <c r="D29" i="4"/>
  <c r="G29" i="5"/>
  <c r="D6" i="3"/>
  <c r="D10" i="3"/>
  <c r="E8" i="3"/>
  <c r="F8" i="5"/>
  <c r="I8" i="5" s="1"/>
  <c r="P8" i="3"/>
  <c r="C8" i="4"/>
  <c r="L8" i="4" s="1"/>
  <c r="M8" i="4" s="1"/>
  <c r="D11" i="3"/>
  <c r="D13" i="3"/>
  <c r="D18" i="4"/>
  <c r="G18" i="5"/>
  <c r="L18" i="5"/>
  <c r="J18" i="5"/>
  <c r="G18" i="4"/>
  <c r="H18" i="3"/>
  <c r="H18" i="4" s="1"/>
  <c r="S18" i="3"/>
  <c r="G12" i="3"/>
  <c r="G6" i="4"/>
  <c r="K57" i="3"/>
  <c r="H6" i="3"/>
  <c r="H6" i="4" s="1"/>
  <c r="S6" i="3"/>
  <c r="C30" i="4"/>
  <c r="P30" i="3"/>
  <c r="G19" i="4"/>
  <c r="H19" i="3"/>
  <c r="H19" i="4" s="1"/>
  <c r="S19" i="3"/>
  <c r="C20" i="4"/>
  <c r="K17" i="3"/>
  <c r="K14" i="3" s="1"/>
  <c r="G9" i="4"/>
  <c r="S9" i="3"/>
  <c r="H9" i="3"/>
  <c r="H9" i="4" s="1"/>
  <c r="G16" i="4"/>
  <c r="H16" i="3"/>
  <c r="H16" i="4" s="1"/>
  <c r="S16" i="3"/>
  <c r="G3" i="4"/>
  <c r="H3" i="3"/>
  <c r="H3" i="4" s="1"/>
  <c r="S3" i="3"/>
  <c r="G27" i="4"/>
  <c r="H27" i="3"/>
  <c r="H27" i="4" s="1"/>
  <c r="S27" i="3"/>
  <c r="Z3" i="3"/>
  <c r="D7" i="3"/>
  <c r="G8" i="3"/>
  <c r="D24" i="3"/>
  <c r="G20" i="4"/>
  <c r="H20" i="3"/>
  <c r="H20" i="4" s="1"/>
  <c r="K18" i="3"/>
  <c r="K16" i="3" s="1"/>
  <c r="S20" i="3"/>
  <c r="Q29" i="3"/>
  <c r="AA29" i="3" s="1"/>
  <c r="Z29" i="3"/>
  <c r="D23" i="3"/>
  <c r="AC28" i="3"/>
  <c r="T28" i="3"/>
  <c r="AD28" i="3" s="1"/>
  <c r="G22" i="3"/>
  <c r="Z18" i="3"/>
  <c r="Q18" i="3"/>
  <c r="AA18" i="3" s="1"/>
  <c r="D25" i="3"/>
  <c r="D4" i="3"/>
  <c r="G10" i="4"/>
  <c r="H10" i="3"/>
  <c r="H10" i="4" s="1"/>
  <c r="S10" i="3"/>
  <c r="D9" i="3"/>
  <c r="D14" i="3"/>
  <c r="D16" i="3"/>
  <c r="E30" i="3" l="1"/>
  <c r="G30" i="5" s="1"/>
  <c r="K49" i="3"/>
  <c r="P19" i="3"/>
  <c r="Q19" i="3" s="1"/>
  <c r="AA19" i="3" s="1"/>
  <c r="C27" i="4"/>
  <c r="P27" i="3"/>
  <c r="F27" i="5"/>
  <c r="I27" i="5" s="1"/>
  <c r="E27" i="3"/>
  <c r="F15" i="5"/>
  <c r="I15" i="5" s="1"/>
  <c r="P15" i="3"/>
  <c r="C15" i="4"/>
  <c r="E15" i="3"/>
  <c r="P20" i="3"/>
  <c r="Z20" i="3" s="1"/>
  <c r="E20" i="3"/>
  <c r="D20" i="4" s="1"/>
  <c r="E12" i="3"/>
  <c r="P12" i="3"/>
  <c r="C12" i="4"/>
  <c r="F12" i="5"/>
  <c r="I12" i="5" s="1"/>
  <c r="F5" i="5"/>
  <c r="I5" i="5" s="1"/>
  <c r="E5" i="3"/>
  <c r="P5" i="3"/>
  <c r="C5" i="4"/>
  <c r="N45" i="3"/>
  <c r="J20" i="5"/>
  <c r="L20" i="5"/>
  <c r="C14" i="4"/>
  <c r="F14" i="5"/>
  <c r="I14" i="5" s="1"/>
  <c r="E14" i="3"/>
  <c r="P14" i="3"/>
  <c r="T10" i="3"/>
  <c r="AD10" i="3" s="1"/>
  <c r="AC10" i="3"/>
  <c r="F25" i="5"/>
  <c r="I25" i="5" s="1"/>
  <c r="E25" i="3"/>
  <c r="C25" i="4"/>
  <c r="P25" i="3"/>
  <c r="F23" i="5"/>
  <c r="I23" i="5" s="1"/>
  <c r="C23" i="4"/>
  <c r="E23" i="3"/>
  <c r="P23" i="3"/>
  <c r="H8" i="3"/>
  <c r="H8" i="4" s="1"/>
  <c r="G8" i="4"/>
  <c r="P8" i="4" s="1"/>
  <c r="Q8" i="4" s="1"/>
  <c r="K11" i="3"/>
  <c r="K10" i="3" s="1"/>
  <c r="D33" i="3" s="1"/>
  <c r="D37" i="3" s="1"/>
  <c r="D39" i="3" s="1"/>
  <c r="D41" i="3" s="1"/>
  <c r="S8" i="3"/>
  <c r="G38" i="3"/>
  <c r="AC19" i="3"/>
  <c r="T19" i="3"/>
  <c r="AD19" i="3" s="1"/>
  <c r="D30" i="4"/>
  <c r="L30" i="5"/>
  <c r="J30" i="5"/>
  <c r="AC18" i="3"/>
  <c r="T18" i="3"/>
  <c r="AD18" i="3" s="1"/>
  <c r="C11" i="4"/>
  <c r="F11" i="5"/>
  <c r="I11" i="5" s="1"/>
  <c r="E11" i="3"/>
  <c r="P11" i="3"/>
  <c r="J8" i="5"/>
  <c r="L8" i="5"/>
  <c r="C10" i="4"/>
  <c r="F10" i="5"/>
  <c r="I10" i="5" s="1"/>
  <c r="E10" i="3"/>
  <c r="P10" i="3"/>
  <c r="Z21" i="3"/>
  <c r="Q21" i="3"/>
  <c r="AA21" i="3" s="1"/>
  <c r="L21" i="5"/>
  <c r="J21" i="5"/>
  <c r="T5" i="3"/>
  <c r="AD5" i="3" s="1"/>
  <c r="AC5" i="3"/>
  <c r="G30" i="4"/>
  <c r="H30" i="3"/>
  <c r="H30" i="4" s="1"/>
  <c r="S30" i="3"/>
  <c r="K38" i="3"/>
  <c r="K53" i="3" s="1"/>
  <c r="AC29" i="3"/>
  <c r="T29" i="3"/>
  <c r="AD29" i="3" s="1"/>
  <c r="G14" i="4"/>
  <c r="H14" i="3"/>
  <c r="H14" i="4" s="1"/>
  <c r="S14" i="3"/>
  <c r="D22" i="4"/>
  <c r="G22" i="5"/>
  <c r="AC7" i="3"/>
  <c r="T7" i="3"/>
  <c r="AD7" i="3" s="1"/>
  <c r="K25" i="3"/>
  <c r="K30" i="3" s="1"/>
  <c r="AC24" i="3"/>
  <c r="T24" i="3"/>
  <c r="AD24" i="3" s="1"/>
  <c r="AC25" i="3"/>
  <c r="T25" i="3"/>
  <c r="AD25" i="3" s="1"/>
  <c r="D28" i="4"/>
  <c r="G28" i="5"/>
  <c r="L28" i="5"/>
  <c r="J28" i="5"/>
  <c r="AC21" i="3"/>
  <c r="T21" i="3"/>
  <c r="AD21" i="3" s="1"/>
  <c r="D19" i="4"/>
  <c r="G19" i="5"/>
  <c r="D17" i="4"/>
  <c r="G17" i="5"/>
  <c r="C16" i="4"/>
  <c r="F16" i="5"/>
  <c r="I16" i="5" s="1"/>
  <c r="E16" i="3"/>
  <c r="P16" i="3"/>
  <c r="F9" i="5"/>
  <c r="I9" i="5" s="1"/>
  <c r="C9" i="4"/>
  <c r="E9" i="3"/>
  <c r="P9" i="3"/>
  <c r="C4" i="4"/>
  <c r="F4" i="5"/>
  <c r="I4" i="5" s="1"/>
  <c r="E4" i="3"/>
  <c r="N36" i="3"/>
  <c r="P4" i="3"/>
  <c r="G22" i="4"/>
  <c r="H22" i="3"/>
  <c r="H22" i="4" s="1"/>
  <c r="S22" i="3"/>
  <c r="T20" i="3"/>
  <c r="AD20" i="3" s="1"/>
  <c r="AC20" i="3"/>
  <c r="C24" i="4"/>
  <c r="F24" i="5"/>
  <c r="I24" i="5" s="1"/>
  <c r="E24" i="3"/>
  <c r="P24" i="3"/>
  <c r="K23" i="3"/>
  <c r="K28" i="3" s="1"/>
  <c r="F7" i="5"/>
  <c r="I7" i="5" s="1"/>
  <c r="E7" i="3"/>
  <c r="P7" i="3"/>
  <c r="C7" i="4"/>
  <c r="L7" i="4" s="1"/>
  <c r="M7" i="4" s="1"/>
  <c r="AC27" i="3"/>
  <c r="T27" i="3"/>
  <c r="AD27" i="3" s="1"/>
  <c r="AC3" i="3"/>
  <c r="T3" i="3"/>
  <c r="AD3" i="3" s="1"/>
  <c r="AC16" i="3"/>
  <c r="T16" i="3"/>
  <c r="AD16" i="3" s="1"/>
  <c r="AC9" i="3"/>
  <c r="T9" i="3"/>
  <c r="AD9" i="3" s="1"/>
  <c r="G20" i="5"/>
  <c r="Z30" i="3"/>
  <c r="Q30" i="3"/>
  <c r="AA30" i="3" s="1"/>
  <c r="AC6" i="3"/>
  <c r="T6" i="3"/>
  <c r="AD6" i="3" s="1"/>
  <c r="G12" i="4"/>
  <c r="S12" i="3"/>
  <c r="H12" i="3"/>
  <c r="H12" i="4" s="1"/>
  <c r="F13" i="5"/>
  <c r="I13" i="5" s="1"/>
  <c r="C13" i="4"/>
  <c r="E13" i="3"/>
  <c r="P13" i="3"/>
  <c r="K4" i="3"/>
  <c r="K7" i="3" s="1"/>
  <c r="B33" i="3" s="1"/>
  <c r="B37" i="3" s="1"/>
  <c r="B39" i="3" s="1"/>
  <c r="B41" i="3" s="1"/>
  <c r="Z8" i="3"/>
  <c r="Q8" i="3"/>
  <c r="AA8" i="3" s="1"/>
  <c r="G8" i="5"/>
  <c r="D8" i="4"/>
  <c r="F6" i="5"/>
  <c r="I6" i="5" s="1"/>
  <c r="C6" i="4"/>
  <c r="E6" i="3"/>
  <c r="P6" i="3"/>
  <c r="G21" i="5"/>
  <c r="D21" i="4"/>
  <c r="AC17" i="3"/>
  <c r="T17" i="3"/>
  <c r="AD17" i="3" s="1"/>
  <c r="AC11" i="3"/>
  <c r="T11" i="3"/>
  <c r="AD11" i="3" s="1"/>
  <c r="Z22" i="3"/>
  <c r="Q22" i="3"/>
  <c r="AA22" i="3" s="1"/>
  <c r="J22" i="5"/>
  <c r="L22" i="5"/>
  <c r="C26" i="4"/>
  <c r="F26" i="5"/>
  <c r="I26" i="5" s="1"/>
  <c r="E26" i="3"/>
  <c r="P26" i="3"/>
  <c r="AC15" i="3"/>
  <c r="T15" i="3"/>
  <c r="AD15" i="3" s="1"/>
  <c r="Z28" i="3"/>
  <c r="Q28" i="3"/>
  <c r="AA28" i="3" s="1"/>
  <c r="AC23" i="3"/>
  <c r="T23" i="3"/>
  <c r="AD23" i="3" s="1"/>
  <c r="Z19" i="3"/>
  <c r="J19" i="5"/>
  <c r="L19" i="5"/>
  <c r="Z17" i="3"/>
  <c r="Q17" i="3"/>
  <c r="AA17" i="3" s="1"/>
  <c r="J17" i="5"/>
  <c r="L17" i="5"/>
  <c r="AC26" i="3"/>
  <c r="T26" i="3"/>
  <c r="AD26" i="3" s="1"/>
  <c r="Q20" i="3" l="1"/>
  <c r="AA20" i="3" s="1"/>
  <c r="D5" i="4"/>
  <c r="G5" i="5"/>
  <c r="J12" i="5"/>
  <c r="L12" i="5"/>
  <c r="Q12" i="3"/>
  <c r="AA12" i="3" s="1"/>
  <c r="Z12" i="3"/>
  <c r="G15" i="5"/>
  <c r="D15" i="4"/>
  <c r="Q15" i="3"/>
  <c r="AA15" i="3" s="1"/>
  <c r="Z15" i="3"/>
  <c r="G27" i="5"/>
  <c r="D27" i="4"/>
  <c r="Z27" i="3"/>
  <c r="Q27" i="3"/>
  <c r="AA27" i="3" s="1"/>
  <c r="Q5" i="3"/>
  <c r="AA5" i="3" s="1"/>
  <c r="Z5" i="3"/>
  <c r="J5" i="5"/>
  <c r="L5" i="5"/>
  <c r="D12" i="4"/>
  <c r="G12" i="5"/>
  <c r="J15" i="5"/>
  <c r="L15" i="5"/>
  <c r="J27" i="5"/>
  <c r="L27" i="5"/>
  <c r="J26" i="5"/>
  <c r="L26" i="5"/>
  <c r="G26" i="5"/>
  <c r="D26" i="4"/>
  <c r="Z6" i="3"/>
  <c r="Q6" i="3"/>
  <c r="AA6" i="3" s="1"/>
  <c r="B43" i="3"/>
  <c r="D13" i="4"/>
  <c r="G13" i="5"/>
  <c r="J13" i="5"/>
  <c r="L13" i="5"/>
  <c r="AC12" i="3"/>
  <c r="T12" i="3"/>
  <c r="AD12" i="3" s="1"/>
  <c r="D7" i="4"/>
  <c r="G7" i="5"/>
  <c r="D24" i="4"/>
  <c r="G24" i="5"/>
  <c r="Z4" i="3"/>
  <c r="Q4" i="3"/>
  <c r="AA4" i="3" s="1"/>
  <c r="G4" i="5"/>
  <c r="D4" i="4"/>
  <c r="D9" i="4"/>
  <c r="G9" i="5"/>
  <c r="J9" i="5"/>
  <c r="L9" i="5"/>
  <c r="G16" i="5"/>
  <c r="D16" i="4"/>
  <c r="AC14" i="3"/>
  <c r="T14" i="3"/>
  <c r="AD14" i="3" s="1"/>
  <c r="T30" i="3"/>
  <c r="AD30" i="3" s="1"/>
  <c r="AC30" i="3"/>
  <c r="D10" i="4"/>
  <c r="G10" i="5"/>
  <c r="D11" i="4"/>
  <c r="G11" i="5"/>
  <c r="AC8" i="3"/>
  <c r="T8" i="3"/>
  <c r="AD8" i="3" s="1"/>
  <c r="Z23" i="3"/>
  <c r="Q23" i="3"/>
  <c r="AA23" i="3" s="1"/>
  <c r="Z25" i="3"/>
  <c r="Q25" i="3"/>
  <c r="AA25" i="3" s="1"/>
  <c r="G25" i="5"/>
  <c r="D25" i="4"/>
  <c r="Q14" i="3"/>
  <c r="AA14" i="3" s="1"/>
  <c r="Z14" i="3"/>
  <c r="J14" i="5"/>
  <c r="L14" i="5"/>
  <c r="Q26" i="3"/>
  <c r="AA26" i="3" s="1"/>
  <c r="Z26" i="3"/>
  <c r="D6" i="4"/>
  <c r="G6" i="5"/>
  <c r="J6" i="5"/>
  <c r="L6" i="5"/>
  <c r="Q13" i="3"/>
  <c r="AA13" i="3" s="1"/>
  <c r="Z13" i="3"/>
  <c r="Z7" i="3"/>
  <c r="Q7" i="3"/>
  <c r="AA7" i="3" s="1"/>
  <c r="L7" i="5"/>
  <c r="J7" i="5"/>
  <c r="Z24" i="3"/>
  <c r="Q24" i="3"/>
  <c r="AA24" i="3" s="1"/>
  <c r="L24" i="5"/>
  <c r="J24" i="5"/>
  <c r="AC22" i="3"/>
  <c r="T22" i="3"/>
  <c r="AD22" i="3" s="1"/>
  <c r="N38" i="3"/>
  <c r="N47" i="3"/>
  <c r="N49" i="3" s="1"/>
  <c r="L4" i="5"/>
  <c r="J4" i="5"/>
  <c r="Q9" i="3"/>
  <c r="AA9" i="3" s="1"/>
  <c r="Z9" i="3"/>
  <c r="Q16" i="3"/>
  <c r="AA16" i="3" s="1"/>
  <c r="Z16" i="3"/>
  <c r="J16" i="5"/>
  <c r="L16" i="5"/>
  <c r="Z10" i="3"/>
  <c r="Q10" i="3"/>
  <c r="AA10" i="3" s="1"/>
  <c r="L10" i="5"/>
  <c r="J10" i="5"/>
  <c r="Z11" i="3"/>
  <c r="Q11" i="3"/>
  <c r="AA11" i="3" s="1"/>
  <c r="L11" i="5"/>
  <c r="J11" i="5"/>
  <c r="D43" i="3"/>
  <c r="D23" i="4"/>
  <c r="G23" i="5"/>
  <c r="J23" i="5"/>
  <c r="L23" i="5"/>
  <c r="J25" i="5"/>
  <c r="L25" i="5"/>
  <c r="G14" i="5"/>
  <c r="D14" i="4"/>
  <c r="N53" i="3" l="1"/>
  <c r="D45" i="3"/>
  <c r="I32" i="5"/>
  <c r="J32" i="5" s="1"/>
  <c r="B45" i="3"/>
  <c r="B47" i="3" s="1"/>
  <c r="B49" i="3" l="1"/>
  <c r="B51" i="3" s="1"/>
  <c r="D47" i="3"/>
  <c r="D49" i="3" s="1"/>
  <c r="D51" i="3" s="1"/>
</calcChain>
</file>

<file path=xl/sharedStrings.xml><?xml version="1.0" encoding="utf-8"?>
<sst xmlns="http://schemas.openxmlformats.org/spreadsheetml/2006/main" count="584" uniqueCount="338">
  <si>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</si>
  <si>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</si>
  <si>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</si>
  <si>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</si>
  <si>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</si>
  <si>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</si>
  <si>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</si>
  <si>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</si>
  <si>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</si>
  <si>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</si>
  <si>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</si>
  <si>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</si>
  <si>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</si>
  <si>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</si>
  <si>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</si>
  <si>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</si>
  <si>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</si>
  <si>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</si>
  <si>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</si>
  <si>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</si>
  <si>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</si>
  <si>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</si>
  <si>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</si>
  <si>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</si>
  <si>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</si>
  <si>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</si>
  <si>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</si>
  <si>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</si>
  <si>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</si>
  <si>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</si>
  <si>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</si>
  <si>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</si>
  <si>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</si>
  <si>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(ng/g) or ppb</t>
  </si>
  <si>
    <t>234U</t>
  </si>
  <si>
    <t>235U</t>
  </si>
  <si>
    <t>238U</t>
  </si>
  <si>
    <t>239Pu</t>
  </si>
  <si>
    <t>240Pu</t>
  </si>
  <si>
    <t>241Pu + 241Am</t>
  </si>
  <si>
    <t>242Pu</t>
  </si>
  <si>
    <t>&lt;LOD</t>
  </si>
  <si>
    <t>1.05</t>
  </si>
  <si>
    <t>387</t>
  </si>
  <si>
    <t>27.1</t>
  </si>
  <si>
    <t>2.09</t>
  </si>
  <si>
    <t>13.6</t>
  </si>
  <si>
    <t>0.051</t>
  </si>
  <si>
    <t>0.0218</t>
  </si>
  <si>
    <t>4.58</t>
  </si>
  <si>
    <t>0.202</t>
  </si>
  <si>
    <t>1590</t>
  </si>
  <si>
    <t>375</t>
  </si>
  <si>
    <t>31.4</t>
  </si>
  <si>
    <t>12.1</t>
  </si>
  <si>
    <t>0.766</t>
  </si>
  <si>
    <t>0.0187</t>
  </si>
  <si>
    <t>6.45</t>
  </si>
  <si>
    <t>22.8</t>
  </si>
  <si>
    <t>2.03</t>
  </si>
  <si>
    <t>0.704</t>
  </si>
  <si>
    <t>0.0457</t>
  </si>
  <si>
    <t>0.0527</t>
  </si>
  <si>
    <t>6.69</t>
  </si>
  <si>
    <t>2.34</t>
  </si>
  <si>
    <t>0.213</t>
  </si>
  <si>
    <t>0.0685</t>
  </si>
  <si>
    <t>0.0963</t>
  </si>
  <si>
    <t>20.3</t>
  </si>
  <si>
    <t>1.03</t>
  </si>
  <si>
    <t>7200</t>
  </si>
  <si>
    <t>238</t>
  </si>
  <si>
    <t>23.0</t>
  </si>
  <si>
    <t>0.529</t>
  </si>
  <si>
    <t>4.89</t>
  </si>
  <si>
    <t>789</t>
  </si>
  <si>
    <t>277000</t>
  </si>
  <si>
    <t>4330</t>
  </si>
  <si>
    <t>362</t>
  </si>
  <si>
    <t>150</t>
  </si>
  <si>
    <t>8.71</t>
  </si>
  <si>
    <t>1.09</t>
  </si>
  <si>
    <t>200</t>
  </si>
  <si>
    <t>69200</t>
  </si>
  <si>
    <t>7400</t>
  </si>
  <si>
    <t>620</t>
  </si>
  <si>
    <t>242</t>
  </si>
  <si>
    <t>14.9</t>
  </si>
  <si>
    <t>0.102</t>
  </si>
  <si>
    <t>15.4</t>
  </si>
  <si>
    <t>5480</t>
  </si>
  <si>
    <t>160</t>
  </si>
  <si>
    <t>13.1</t>
  </si>
  <si>
    <t>16.0</t>
  </si>
  <si>
    <t>0.278</t>
  </si>
  <si>
    <t>0.740</t>
  </si>
  <si>
    <t>125</t>
  </si>
  <si>
    <t>43300</t>
  </si>
  <si>
    <t>1890</t>
  </si>
  <si>
    <t>157</t>
  </si>
  <si>
    <t>74.7</t>
  </si>
  <si>
    <t>3.82</t>
  </si>
  <si>
    <t>0.0165</t>
  </si>
  <si>
    <t>2.71</t>
  </si>
  <si>
    <t>938</t>
  </si>
  <si>
    <t>69.2</t>
  </si>
  <si>
    <t>5.79</t>
  </si>
  <si>
    <t>2.27</t>
  </si>
  <si>
    <t>0.140</t>
  </si>
  <si>
    <t>0.0182</t>
  </si>
  <si>
    <t>2.87</t>
  </si>
  <si>
    <t>1010</t>
  </si>
  <si>
    <t>13.9</t>
  </si>
  <si>
    <t>1.16</t>
  </si>
  <si>
    <t>0.462</t>
  </si>
  <si>
    <t>0.0280</t>
  </si>
  <si>
    <t>0.0146</t>
  </si>
  <si>
    <t>2.44</t>
  </si>
  <si>
    <t>0.121</t>
  </si>
  <si>
    <t>858</t>
  </si>
  <si>
    <t>3.07</t>
  </si>
  <si>
    <t>0.260</t>
  </si>
  <si>
    <t>0.103</t>
  </si>
  <si>
    <t>0.00683</t>
  </si>
  <si>
    <t>0.00588</t>
  </si>
  <si>
    <t>0.929</t>
  </si>
  <si>
    <t>325</t>
  </si>
  <si>
    <t>33.2</t>
  </si>
  <si>
    <t>2.75</t>
  </si>
  <si>
    <t>1.11</t>
  </si>
  <si>
    <t>0.0661</t>
  </si>
  <si>
    <t>0.00147</t>
  </si>
  <si>
    <t>0.254</t>
  </si>
  <si>
    <t>90.3</t>
  </si>
  <si>
    <t>8.79</t>
  </si>
  <si>
    <t>0.743</t>
  </si>
  <si>
    <t>0.310</t>
  </si>
  <si>
    <t>0.0175</t>
  </si>
  <si>
    <t>0.00227</t>
  </si>
  <si>
    <t>0.380</t>
  </si>
  <si>
    <t>133</t>
  </si>
  <si>
    <t>12.4</t>
  </si>
  <si>
    <t>0.437</t>
  </si>
  <si>
    <t>0.0251</t>
  </si>
  <si>
    <t>18.1</t>
  </si>
  <si>
    <t>6450</t>
  </si>
  <si>
    <t>257</t>
  </si>
  <si>
    <t>21.4</t>
  </si>
  <si>
    <t>8.42</t>
  </si>
  <si>
    <t>0.514</t>
  </si>
  <si>
    <t>0.438</t>
  </si>
  <si>
    <t>159</t>
  </si>
  <si>
    <t>50.1</t>
  </si>
  <si>
    <t>4.29</t>
  </si>
  <si>
    <t>1.68</t>
  </si>
  <si>
    <t>0.079</t>
  </si>
  <si>
    <t>0.0113</t>
  </si>
  <si>
    <t>1.82</t>
  </si>
  <si>
    <t>0.131</t>
  </si>
  <si>
    <t>626</t>
  </si>
  <si>
    <t>197</t>
  </si>
  <si>
    <t>16.9</t>
  </si>
  <si>
    <t>6.47</t>
  </si>
  <si>
    <t>0.391</t>
  </si>
  <si>
    <t>44.5</t>
  </si>
  <si>
    <t>12.8</t>
  </si>
  <si>
    <t>0.354</t>
  </si>
  <si>
    <t>0.030</t>
  </si>
  <si>
    <t>0.0532</t>
  </si>
  <si>
    <t>17.3</t>
  </si>
  <si>
    <t>4.88</t>
  </si>
  <si>
    <t>0.479</t>
  </si>
  <si>
    <t>0.156</t>
  </si>
  <si>
    <t>0.016</t>
  </si>
  <si>
    <t>0.341</t>
  </si>
  <si>
    <t>122</t>
  </si>
  <si>
    <t>38.5</t>
  </si>
  <si>
    <t>3.21</t>
  </si>
  <si>
    <t>1.28</t>
  </si>
  <si>
    <t>0.0833</t>
  </si>
  <si>
    <t>0.075</t>
  </si>
  <si>
    <t>23.3</t>
  </si>
  <si>
    <t>50.5</t>
  </si>
  <si>
    <t>4.19</t>
  </si>
  <si>
    <t>1.59</t>
  </si>
  <si>
    <t>0.114</t>
  </si>
  <si>
    <t>0.0127</t>
  </si>
  <si>
    <t>3.23</t>
  </si>
  <si>
    <t>6.74</t>
  </si>
  <si>
    <t>0.597</t>
  </si>
  <si>
    <t>0.249</t>
  </si>
  <si>
    <t>0.412</t>
  </si>
  <si>
    <t>0.834</t>
  </si>
  <si>
    <t>0.0774</t>
  </si>
  <si>
    <t>0.0339</t>
  </si>
  <si>
    <t>0.056</t>
  </si>
  <si>
    <t>15.7</t>
  </si>
  <si>
    <t>2.31</t>
  </si>
  <si>
    <t>0.451</t>
  </si>
  <si>
    <t>0.00439</t>
  </si>
  <si>
    <t>0.00159</t>
  </si>
  <si>
    <t>0.00048</t>
  </si>
  <si>
    <t>0.0308</t>
  </si>
  <si>
    <t>0.0653</t>
  </si>
  <si>
    <t>0.00574</t>
  </si>
  <si>
    <t>0.00243</t>
  </si>
  <si>
    <t>MSCS-M (ppb/cps)</t>
  </si>
  <si>
    <t>Natural U (ppb/cps)</t>
  </si>
  <si>
    <t>239Pu std (ppb/cps)</t>
  </si>
  <si>
    <t>239Pu (ppb/cps)</t>
  </si>
  <si>
    <t>234U ppb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</si>
  <si>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</si>
  <si>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</si>
  <si>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</si>
  <si>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</si>
  <si>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</si>
  <si>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</si>
  <si>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</si>
  <si>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241Pu</t>
  </si>
  <si>
    <t>U ppb</t>
  </si>
  <si>
    <t>Pu ppb</t>
  </si>
  <si>
    <t>% Lost</t>
  </si>
  <si>
    <t>Evap Correction</t>
  </si>
  <si>
    <t>Original</t>
  </si>
  <si>
    <t>Modified</t>
  </si>
  <si>
    <t>Distribution Ratio U</t>
  </si>
  <si>
    <t>Distribution Ratio Pu</t>
  </si>
  <si>
    <t>%T,1(Vt,Vh) Pu</t>
  </si>
  <si>
    <t>%T,1(Vt,Vh) U</t>
  </si>
  <si>
    <t>%H,1(Vt,Vh) U</t>
  </si>
  <si>
    <t>%H,1(Vt,Vh) Pu</t>
  </si>
  <si>
    <t>Sanity Check U</t>
  </si>
  <si>
    <t>Sanity Check Pu</t>
  </si>
  <si>
    <t>For these calculations:</t>
  </si>
  <si>
    <t xml:space="preserve">Check "Distribution_Ratio_Pu&amp;U" document for </t>
  </si>
  <si>
    <t>description of where variables come from</t>
  </si>
  <si>
    <t>Ct U</t>
  </si>
  <si>
    <t>Ct Pu</t>
  </si>
  <si>
    <t>Density of TBP</t>
  </si>
  <si>
    <t>pg 128 in book (could difer)</t>
  </si>
  <si>
    <t>Density of HNO3</t>
  </si>
  <si>
    <t>Volume of TBP</t>
  </si>
  <si>
    <t>ml</t>
  </si>
  <si>
    <t>Volume of HNO3</t>
  </si>
  <si>
    <t xml:space="preserve"> ml</t>
  </si>
  <si>
    <t>C h U</t>
  </si>
  <si>
    <t>C h Pu</t>
  </si>
  <si>
    <t>M tot 4 (U) = M tot 1 *</t>
  </si>
  <si>
    <t>M tot 4 (Pu) = M tot 1 *</t>
  </si>
  <si>
    <t>PPB T 4 U = M tot 1 U *</t>
  </si>
  <si>
    <t>PPB H 4 U = M tot 1 U *</t>
  </si>
  <si>
    <t>PPB T 4 Pu = M tot 1 Pu *</t>
  </si>
  <si>
    <t>PPB H 4 Pu = M tot 1 Pu *</t>
  </si>
  <si>
    <t xml:space="preserve"> I think density cancels later</t>
  </si>
  <si>
    <t>M tot1 U</t>
  </si>
  <si>
    <t>M tot1 Pu</t>
  </si>
  <si>
    <t>PPB T 4 U</t>
  </si>
  <si>
    <t>PPB H 4 U</t>
  </si>
  <si>
    <t>PPB T 4 Pu</t>
  </si>
  <si>
    <t>PPB H 4 Pu</t>
  </si>
  <si>
    <t>% lost U</t>
  </si>
  <si>
    <t>% lost Pu</t>
  </si>
  <si>
    <t>Vf/Vi = ppbi/ppbf (U)</t>
  </si>
  <si>
    <t>Vf/Vi = ppbi/ppbf (Pu)</t>
  </si>
  <si>
    <t>Vf/Vi = ppbi/ppbf (Avg)</t>
  </si>
  <si>
    <t>% lost avg</t>
  </si>
  <si>
    <t>X U</t>
  </si>
  <si>
    <t>X Pu</t>
  </si>
  <si>
    <t>X average</t>
  </si>
  <si>
    <t>Where</t>
  </si>
  <si>
    <t>1-%lostexp*x=evaporation correction</t>
  </si>
  <si>
    <t>Evap Correction updated</t>
  </si>
  <si>
    <t>Before Evaporation Correction</t>
  </si>
  <si>
    <t>After Evaporation Correction</t>
  </si>
  <si>
    <t>Logical Checks</t>
  </si>
  <si>
    <t>Puf &gt;/ Pu i</t>
  </si>
  <si>
    <t>% U Removed</t>
  </si>
  <si>
    <t>% Pu Removed</t>
  </si>
  <si>
    <t>Pre Evaporation Correction: (doesn't matter for these calculations)</t>
  </si>
  <si>
    <t>wt % U235</t>
  </si>
  <si>
    <t>Used For Average</t>
  </si>
  <si>
    <t>x</t>
  </si>
  <si>
    <t>Average</t>
  </si>
  <si>
    <t>Error Squared</t>
  </si>
  <si>
    <t>DR Exp 1 Pu</t>
  </si>
  <si>
    <t>DR Exp 1 U</t>
  </si>
  <si>
    <t>assume 1% error in volume</t>
  </si>
  <si>
    <t>Ratio-1</t>
  </si>
  <si>
    <t>vol ratio</t>
  </si>
  <si>
    <t>ppb ratio</t>
  </si>
  <si>
    <t>% U recovery</t>
  </si>
  <si>
    <t>% Pu Recovery</t>
  </si>
  <si>
    <t>U ppb ratio</t>
  </si>
  <si>
    <t>Pu ppb ratio</t>
  </si>
  <si>
    <t>Factor</t>
  </si>
  <si>
    <t>Correction</t>
  </si>
  <si>
    <t>U 1/DR</t>
  </si>
  <si>
    <t>1/DRxVr</t>
  </si>
  <si>
    <t>plus 1</t>
  </si>
  <si>
    <t>Inverse</t>
  </si>
  <si>
    <t>%TBP 5/7 removed</t>
  </si>
  <si>
    <t>%TBP 2nd contact</t>
  </si>
  <si>
    <t>%TBP 3rd contact</t>
  </si>
  <si>
    <t>%TBP 4th contact</t>
  </si>
  <si>
    <t>Percent in TBP</t>
  </si>
  <si>
    <t>Pu 1/DR</t>
  </si>
  <si>
    <t>Actual U</t>
  </si>
  <si>
    <t>Actual Pu</t>
  </si>
  <si>
    <t>Exp1 Extration U</t>
  </si>
  <si>
    <t>Exp1 Extraction Pu</t>
  </si>
  <si>
    <t>Exp 1 % extracted U</t>
  </si>
  <si>
    <t>Exp 1 % extracted Pu</t>
  </si>
  <si>
    <t>Pu recovery Exp 2 C1</t>
  </si>
  <si>
    <t>exp 2 cycle 1 extraction</t>
  </si>
  <si>
    <t>vol Exp 2 C1</t>
  </si>
  <si>
    <t>Pu end (90G)</t>
  </si>
  <si>
    <t>% recovery Exp 2 C1 Pu</t>
  </si>
  <si>
    <t>U recovery Exp 2 C1</t>
  </si>
  <si>
    <t>U end (90G)</t>
  </si>
  <si>
    <t>% Recovery Exp 2 C1 U</t>
  </si>
  <si>
    <t>Pu recovery Exp 2 C2</t>
  </si>
  <si>
    <t>Pu end (93G)</t>
  </si>
  <si>
    <t>vol exp 2 C2</t>
  </si>
  <si>
    <t>Pu start</t>
  </si>
  <si>
    <t>% recovery Exp 2 C2 Pu</t>
  </si>
  <si>
    <t>U recovery Exp 2 C2</t>
  </si>
  <si>
    <t>U end (93G)</t>
  </si>
  <si>
    <t>U start</t>
  </si>
  <si>
    <t>% recovery Exp 2 C2 U</t>
  </si>
  <si>
    <t>Combined</t>
  </si>
  <si>
    <t>Pu recovery Exp 2 C3</t>
  </si>
  <si>
    <t>Pu end (96)</t>
  </si>
  <si>
    <t>Pu Start</t>
  </si>
  <si>
    <t>Y 234</t>
  </si>
  <si>
    <t>Y 235</t>
  </si>
  <si>
    <t>Y 238</t>
  </si>
  <si>
    <t>Y 239</t>
  </si>
  <si>
    <t>Y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</si>
</sst>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Fill="1" applyBorder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10" fontId="0" fillId="0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0" fontId="3" fillId="5" borderId="0" xfId="0" applyFont="1" applyFill="1"/>
    <xf numFmtId="164" fontId="0" fillId="0" borderId="0" xfId="0" applyNumberFormat="1"/>
    <xf numFmtId="0" fontId="0" fillId="5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2" fontId="0" fillId="5" borderId="0" xfId="0" applyNumberFormat="1" applyFill="1"/>
    <xf numFmtId="0" fontId="0" fillId="0" borderId="0" xfId="0" applyNumberFormat="1"/>
    <xf numFmtId="0" fontId="0" fillId="5" borderId="0" xfId="0" applyNumberFormat="1" applyFill="1"/>
    <xf numFmtId="165" fontId="0" fillId="3" borderId="0" xfId="0" applyNumberFormat="1" applyFill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2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6" borderId="1" xfId="0" applyFill="1" applyBorder="1"/>
    <xf numFmtId="2" fontId="0" fillId="6" borderId="0" xfId="0" applyNumberFormat="1" applyFill="1" applyBorder="1"/>
    <xf numFmtId="10" fontId="0" fillId="6" borderId="0" xfId="0" applyNumberFormat="1" applyFill="1" applyBorder="1"/>
    <xf numFmtId="0" fontId="0" fillId="6" borderId="3" xfId="0" applyFill="1" applyBorder="1"/>
    <xf numFmtId="0" fontId="0" fillId="6" borderId="0" xfId="0" applyFill="1" applyAlignment="1">
      <alignment wrapText="1"/>
    </xf>
    <xf numFmtId="0" fontId="0" fillId="6" borderId="2" xfId="0" applyFill="1" applyBorder="1"/>
    <xf numFmtId="0" fontId="0" fillId="6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59"/>
  <sheetViews>
    <sheetView topLeftCell="U3" zoomScale="85" zoomScaleNormal="85" workbookViewId="0">
      <selection activeCell="BE22" sqref="BE22"/>
    </sheetView>
  </sheetViews>
  <sheetFormatPr defaultRowHeight="15" x14ac:dyDescent="0.25"/>
  <cols>
    <col min="1" max="1" width="5.42578125" bestFit="1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2.28515625" customWidth="1"/>
    <col min="13" max="13" width="13.42578125" bestFit="1" customWidth="1"/>
    <col min="14" max="14" width="11" customWidth="1"/>
    <col min="15" max="15" width="13.42578125" bestFit="1" customWidth="1"/>
    <col min="16" max="16" width="12" bestFit="1" customWidth="1"/>
    <col min="17" max="17" width="13.42578125" bestFit="1" customWidth="1"/>
    <col min="19" max="19" width="13.42578125" bestFit="1" customWidth="1"/>
    <col min="20" max="20" width="12" bestFit="1" customWidth="1"/>
    <col min="21" max="21" width="13.42578125" bestFit="1" customWidth="1"/>
    <col min="22" max="22" width="12" bestFit="1" customWidth="1"/>
    <col min="46" max="46" width="12" bestFit="1" customWidth="1"/>
  </cols>
  <sheetData>
    <row r="1" spans="2:68" x14ac:dyDescent="0.25">
      <c r="H1" s="23"/>
      <c r="J1" s="7">
        <v>234</v>
      </c>
      <c r="K1" s="7"/>
      <c r="L1" s="7">
        <v>235</v>
      </c>
      <c r="M1" s="7"/>
      <c r="N1" s="7">
        <v>238</v>
      </c>
      <c r="O1" s="7"/>
      <c r="P1" s="7">
        <v>239</v>
      </c>
      <c r="Q1" s="7"/>
      <c r="R1" s="7">
        <v>240</v>
      </c>
      <c r="S1" s="7"/>
      <c r="T1" s="7">
        <v>241</v>
      </c>
      <c r="U1" s="7"/>
      <c r="V1" s="7">
        <v>242</v>
      </c>
      <c r="X1" s="22"/>
      <c r="Y1" t="s">
        <v>333</v>
      </c>
      <c r="Z1" s="15" t="s">
        <v>211</v>
      </c>
      <c r="AA1" t="s">
        <v>334</v>
      </c>
      <c r="AB1" s="15" t="s">
        <v>211</v>
      </c>
      <c r="AC1" t="s">
        <v>335</v>
      </c>
      <c r="AD1" s="15" t="s">
        <v>211</v>
      </c>
      <c r="AE1" t="s">
        <v>336</v>
      </c>
      <c r="AF1" s="15" t="s">
        <v>211</v>
      </c>
      <c r="AG1" t="s">
        <v>337</v>
      </c>
      <c r="AH1" s="15" t="s">
        <v>211</v>
      </c>
      <c r="AJ1" s="43"/>
      <c r="AU1" s="23"/>
    </row>
    <row r="2" spans="2:68" x14ac:dyDescent="0.25">
      <c r="C2" t="s">
        <v>216</v>
      </c>
      <c r="E2">
        <v>40</v>
      </c>
      <c r="F2" t="s">
        <v>217</v>
      </c>
      <c r="H2" s="23"/>
      <c r="I2" s="7" t="s">
        <v>212</v>
      </c>
      <c r="J2" s="7">
        <f>(J4+J34)/2</f>
        <v>1.2607500000000001E-5</v>
      </c>
      <c r="K2" s="7" t="s">
        <v>212</v>
      </c>
      <c r="L2" s="7">
        <f t="shared" ref="L2:N2" si="0">(L4+L34)/2</f>
        <v>1.1821630609054969E-5</v>
      </c>
      <c r="M2" s="7" t="s">
        <v>212</v>
      </c>
      <c r="N2" s="7">
        <f t="shared" si="0"/>
        <v>1.2021471917790264E-5</v>
      </c>
      <c r="O2" s="7" t="s">
        <v>212</v>
      </c>
      <c r="P2" s="7">
        <f>(P25+P35)/2</f>
        <v>1.2028514754290666E-5</v>
      </c>
      <c r="Q2" s="7" t="s">
        <v>212</v>
      </c>
      <c r="R2" s="7">
        <f t="shared" ref="R2" si="1">(R25+R35)/2</f>
        <v>1.2135950571623636E-5</v>
      </c>
      <c r="S2" s="7" t="s">
        <v>212</v>
      </c>
      <c r="T2" s="7">
        <f>(T35)/1</f>
        <v>1.3080529030626879E-5</v>
      </c>
      <c r="U2" s="7" t="s">
        <v>212</v>
      </c>
      <c r="V2" s="7">
        <f>(V35)</f>
        <v>1.3104166666666667E-5</v>
      </c>
      <c r="W2" s="7"/>
      <c r="X2" s="40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43"/>
      <c r="AU2" s="23"/>
    </row>
    <row r="3" spans="2:68" x14ac:dyDescent="0.25">
      <c r="C3" t="s">
        <v>215</v>
      </c>
      <c r="E3">
        <v>2.0000000000000001E-4</v>
      </c>
      <c r="F3" t="s">
        <v>213</v>
      </c>
      <c r="H3" s="23"/>
      <c r="I3" s="15" t="s">
        <v>211</v>
      </c>
      <c r="J3" s="7">
        <f>0.5*((K4^2+K34^2)^0.5)+(1/8)*_xlfn.STDEV.S(J4,J34)</f>
        <v>1.156996880221729E-7</v>
      </c>
      <c r="K3" s="15" t="s">
        <v>211</v>
      </c>
      <c r="L3" s="7">
        <f>0.5*((M4^2+M34^2)^0.5)+(1/8)*_xlfn.STDEV.S(L34,L4)</f>
        <v>1.8156831707792517E-7</v>
      </c>
      <c r="M3" s="15" t="s">
        <v>211</v>
      </c>
      <c r="N3" s="7">
        <f>0.5*((O4^2+O34^2)^0.5)+(1/8)*_xlfn.STDEV.S(N4,N34)</f>
        <v>2.0520946799488919E-7</v>
      </c>
      <c r="O3" s="15" t="s">
        <v>211</v>
      </c>
      <c r="P3" s="7">
        <f>0.5*((Q25^2+Q35^2)^0.5)</f>
        <v>4.2800698948732134E-8</v>
      </c>
      <c r="Q3" s="15" t="s">
        <v>211</v>
      </c>
      <c r="R3" s="7">
        <f t="shared" ref="R3" si="2">0.5*((S25^2+S35^2)^0.5)</f>
        <v>4.3249687935290355E-8</v>
      </c>
      <c r="S3" s="15" t="s">
        <v>211</v>
      </c>
      <c r="T3" s="7">
        <f>U35</f>
        <v>1.0300999999999999E-7</v>
      </c>
      <c r="U3" s="15" t="s">
        <v>211</v>
      </c>
      <c r="V3" s="7">
        <f>(W35)</f>
        <v>2.0017E-7</v>
      </c>
      <c r="W3" s="15"/>
      <c r="X3" s="41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43"/>
      <c r="AM3" t="s">
        <v>33</v>
      </c>
      <c r="AO3" t="s">
        <v>33</v>
      </c>
      <c r="AQ3" t="s">
        <v>33</v>
      </c>
      <c r="AS3" t="s">
        <v>33</v>
      </c>
      <c r="AU3" s="23"/>
    </row>
    <row r="4" spans="2:68" ht="45" x14ac:dyDescent="0.25">
      <c r="B4" s="2" t="s">
        <v>0</v>
      </c>
      <c r="C4" s="3" t="s">
        <v>1</v>
      </c>
      <c r="D4" s="3" t="s">
        <v>2</v>
      </c>
      <c r="E4" s="3" t="s">
        <v>3</v>
      </c>
      <c r="F4" s="15" t="s">
        <v>211</v>
      </c>
      <c r="G4" s="15" t="s">
        <v>214</v>
      </c>
      <c r="H4" s="23"/>
      <c r="I4" s="8" t="s">
        <v>206</v>
      </c>
      <c r="J4" s="39">
        <v>1.2300000000000001E-5</v>
      </c>
      <c r="K4" s="9">
        <v>8.4124000000000006E-8</v>
      </c>
      <c r="L4" s="9">
        <v>1.2606889223193904E-5</v>
      </c>
      <c r="M4" s="9">
        <v>6.4347E-8</v>
      </c>
      <c r="N4" s="9">
        <v>1.2939959590692826E-5</v>
      </c>
      <c r="O4" s="9">
        <v>6.5028000000000005E-8</v>
      </c>
      <c r="P4" s="9"/>
      <c r="Q4" s="9"/>
      <c r="R4" s="9"/>
      <c r="S4" s="9"/>
      <c r="T4" s="9"/>
      <c r="U4" s="9"/>
      <c r="V4" s="9"/>
      <c r="X4" s="22"/>
      <c r="Y4">
        <v>1.23760585214081E-5</v>
      </c>
      <c r="Z4">
        <v>7.0988714131646159E-7</v>
      </c>
      <c r="AA4">
        <v>1.26133114035557E-5</v>
      </c>
      <c r="AB4">
        <v>5.9675977515360152E-7</v>
      </c>
      <c r="AC4">
        <v>1.29391065721486E-5</v>
      </c>
      <c r="AD4">
        <v>6.523916924083579E-7</v>
      </c>
      <c r="AE4">
        <v>1.5813840308206701E-5</v>
      </c>
      <c r="AF4">
        <v>5.3927227825833837E-7</v>
      </c>
      <c r="AG4">
        <v>1.54429416283441E-5</v>
      </c>
      <c r="AH4">
        <v>4.7901764338411889E-7</v>
      </c>
      <c r="AJ4" s="44"/>
      <c r="AK4" t="s">
        <v>0</v>
      </c>
      <c r="AM4" t="s">
        <v>34</v>
      </c>
      <c r="AN4" t="s">
        <v>35</v>
      </c>
      <c r="AO4" s="16" t="s">
        <v>36</v>
      </c>
      <c r="AP4" t="s">
        <v>37</v>
      </c>
      <c r="AQ4" t="s">
        <v>38</v>
      </c>
      <c r="AR4" t="s">
        <v>39</v>
      </c>
      <c r="AS4" t="s">
        <v>40</v>
      </c>
      <c r="AU4" s="23"/>
      <c r="AV4" t="s">
        <v>210</v>
      </c>
      <c r="AW4" s="14" t="s">
        <v>211</v>
      </c>
      <c r="AX4" s="14" t="s">
        <v>214</v>
      </c>
      <c r="AY4" t="s">
        <v>35</v>
      </c>
      <c r="AZ4" s="14" t="s">
        <v>211</v>
      </c>
      <c r="BA4" s="14" t="s">
        <v>214</v>
      </c>
      <c r="BB4" t="s">
        <v>36</v>
      </c>
      <c r="BC4" s="14" t="s">
        <v>211</v>
      </c>
      <c r="BD4" s="14" t="s">
        <v>214</v>
      </c>
      <c r="BE4" s="14" t="s">
        <v>37</v>
      </c>
      <c r="BF4" s="14" t="s">
        <v>211</v>
      </c>
      <c r="BG4" s="14" t="s">
        <v>214</v>
      </c>
      <c r="BH4" s="14" t="s">
        <v>38</v>
      </c>
      <c r="BI4" s="14" t="s">
        <v>211</v>
      </c>
      <c r="BJ4" s="14" t="s">
        <v>214</v>
      </c>
      <c r="BK4" s="14" t="s">
        <v>218</v>
      </c>
      <c r="BL4" s="14" t="s">
        <v>211</v>
      </c>
      <c r="BM4" s="14" t="s">
        <v>214</v>
      </c>
      <c r="BN4" s="14" t="s">
        <v>40</v>
      </c>
      <c r="BO4" s="14" t="s">
        <v>211</v>
      </c>
      <c r="BP4" s="14" t="s">
        <v>214</v>
      </c>
    </row>
    <row r="5" spans="2:68" ht="30" x14ac:dyDescent="0.25">
      <c r="B5" s="10" t="s">
        <v>4</v>
      </c>
      <c r="C5" s="4">
        <v>1.34E-2</v>
      </c>
      <c r="D5" s="4">
        <v>5.0464000000000002</v>
      </c>
      <c r="E5" s="4">
        <v>376.597014925373</v>
      </c>
      <c r="F5" s="18">
        <f>(((1/C5)^2)*($E$3^2)+((D5/(C5^2))^2)*($E$3^2))^0.5</f>
        <v>5.6208707851070203</v>
      </c>
      <c r="G5" s="19">
        <f>F5/E5</f>
        <v>1.4925425753098069E-2</v>
      </c>
      <c r="H5" s="23"/>
      <c r="I5" s="1" t="s">
        <v>4</v>
      </c>
      <c r="J5">
        <v>0</v>
      </c>
      <c r="K5">
        <f>(J5/$E$2)^0.5</f>
        <v>0</v>
      </c>
      <c r="L5">
        <v>237.6</v>
      </c>
      <c r="M5">
        <f>(L5/$E$2)^0.5</f>
        <v>2.4372115213907879</v>
      </c>
      <c r="N5">
        <v>85924.780000000013</v>
      </c>
      <c r="O5">
        <f>(N5/$E$2)^0.5</f>
        <v>46.347810088503643</v>
      </c>
      <c r="P5">
        <v>6007.06</v>
      </c>
      <c r="Q5">
        <f>(P5/$E$5)^0.5</f>
        <v>3.9938573435539091</v>
      </c>
      <c r="R5">
        <v>458.4</v>
      </c>
      <c r="S5">
        <f>(R5/$E$5)^0.5</f>
        <v>1.1032752301010256</v>
      </c>
      <c r="T5">
        <v>2769.94</v>
      </c>
      <c r="U5">
        <f>(T5/$E$5)^0.5</f>
        <v>2.7120440816521314</v>
      </c>
      <c r="V5">
        <v>10.4</v>
      </c>
      <c r="W5">
        <f>(V5/$E$5)^0.5</f>
        <v>0.16617980040348865</v>
      </c>
      <c r="X5" s="22"/>
      <c r="Y5">
        <v>1.23529749285427E-5</v>
      </c>
      <c r="Z5">
        <v>7.0988714131646159E-7</v>
      </c>
      <c r="AA5">
        <v>1.2553917655705099E-5</v>
      </c>
      <c r="AB5">
        <v>5.9675977515360152E-7</v>
      </c>
      <c r="AC5">
        <v>1.28737204357927E-5</v>
      </c>
      <c r="AD5">
        <v>6.523916924083579E-7</v>
      </c>
      <c r="AE5">
        <v>1.5647458034203899E-5</v>
      </c>
      <c r="AF5">
        <v>5.3927227825833837E-7</v>
      </c>
      <c r="AG5">
        <v>1.52998332924721E-5</v>
      </c>
      <c r="AH5">
        <v>4.7901764338411889E-7</v>
      </c>
      <c r="AJ5" s="43"/>
      <c r="AK5" s="13" t="s">
        <v>4</v>
      </c>
      <c r="AM5" t="s">
        <v>41</v>
      </c>
      <c r="AN5" t="s">
        <v>42</v>
      </c>
      <c r="AO5" s="17" t="s">
        <v>43</v>
      </c>
      <c r="AP5" t="s">
        <v>44</v>
      </c>
      <c r="AQ5" t="s">
        <v>45</v>
      </c>
      <c r="AR5" t="s">
        <v>46</v>
      </c>
      <c r="AS5" t="s">
        <v>47</v>
      </c>
      <c r="AT5">
        <f>AS5/(E5*V5)</f>
        <v>1.3021468464952932E-5</v>
      </c>
      <c r="AU5" s="23"/>
      <c r="AV5">
        <f>Y5*J5*E5</f>
        <v>0</v>
      </c>
      <c r="AW5">
        <f>((J5*E5*Z5)^2+(Y5*E5*K5)^2+(Y5*J5*F5)^2)^0.5</f>
        <v>0</v>
      </c>
      <c r="AX5" s="21" t="e">
        <f>AW5/AV5</f>
        <v>#DIV/0!</v>
      </c>
      <c r="AY5">
        <f>AA5*L5*E5</f>
        <v>1.1233176565463765</v>
      </c>
      <c r="AZ5">
        <f>((L5*E5*AB5)^2+(AA5*E5*M5)^2+(AA5*L5*F5)^2)^0.5</f>
        <v>5.7141810441047297E-2</v>
      </c>
      <c r="BA5" s="21">
        <f>AZ5/AY5</f>
        <v>5.0868790415641595E-2</v>
      </c>
      <c r="BB5">
        <f>AC5*N5*E5</f>
        <v>416.58092113432019</v>
      </c>
      <c r="BC5">
        <f>((N5*E5*AD5)^2+(AC5*E5*O5)^2+(AC5*N5*F5)^2)^0.5</f>
        <v>22.008487573379782</v>
      </c>
      <c r="BD5" s="21">
        <f>BC5/BB5</f>
        <v>5.283124227929651E-2</v>
      </c>
      <c r="BE5">
        <f>AE5*E5*P5</f>
        <v>35.398318990174573</v>
      </c>
      <c r="BF5">
        <f>((P5*E5*AF5)^2+(AE5*E5*Q5)^2+(AE5*P5*F5)^2)^0.5</f>
        <v>1.3296628833599047</v>
      </c>
      <c r="BG5" s="21">
        <f>BF5/BE5</f>
        <v>3.7562882116774415E-2</v>
      </c>
      <c r="BH5">
        <f>AG5*E5*R5</f>
        <v>2.6412419170535024</v>
      </c>
      <c r="BI5">
        <f>((R5*E5*AH5)^2+(AG5*E5*S5)^2+(AG5*R5*F5)^2)^0.5</f>
        <v>9.1829971966896226E-2</v>
      </c>
      <c r="BJ5" s="21">
        <f>BI5/BH5</f>
        <v>3.4767724748719434E-2</v>
      </c>
      <c r="BK5">
        <f>$T$2*T5*E5</f>
        <v>13.644968711531988</v>
      </c>
      <c r="BL5">
        <f>((T5*E5*$T$3)^2+($T$2*E5*U5)^2+($T$2*T5*F5)^2)^0.5</f>
        <v>0.23065389760227434</v>
      </c>
      <c r="BM5" s="21">
        <f>BL5/BK5</f>
        <v>1.6903952107075054E-2</v>
      </c>
      <c r="BN5">
        <f>$V$2*V5*E5</f>
        <v>5.1323896517412926E-2</v>
      </c>
      <c r="BO5">
        <f>((V5*E5*$V$3)^2+($V$2*E5*W5)^2+($V$2*V5*F5)^2)^0.5</f>
        <v>1.3689400926144069E-3</v>
      </c>
      <c r="BP5" s="21">
        <f>BO5/BN5</f>
        <v>2.6672567468644152E-2</v>
      </c>
    </row>
    <row r="6" spans="2:68" ht="30" x14ac:dyDescent="0.25">
      <c r="B6" s="10" t="s">
        <v>5</v>
      </c>
      <c r="C6" s="4">
        <v>3.9E-2</v>
      </c>
      <c r="D6" s="4">
        <v>4.9492000000000003</v>
      </c>
      <c r="E6" s="4">
        <v>126.90256410256411</v>
      </c>
      <c r="F6" s="18">
        <f t="shared" ref="F6:F33" si="3">(((1/C6)^2)*($E$3^2)+((D6/(C6^2))^2)*($E$3^2))^0.5</f>
        <v>0.65080258498519816</v>
      </c>
      <c r="G6" s="19">
        <f t="shared" ref="G6:G33" si="4">F6/E6</f>
        <v>5.1283643446259448E-3</v>
      </c>
      <c r="H6" s="23"/>
      <c r="I6" s="1" t="s">
        <v>5</v>
      </c>
      <c r="J6">
        <v>13.6</v>
      </c>
      <c r="K6">
        <f>(J6/$E$2)^0.5</f>
        <v>0.58309518948452999</v>
      </c>
      <c r="L6">
        <v>3060.38</v>
      </c>
      <c r="M6">
        <f t="shared" ref="M6:M33" si="5">(L6/$E$2)^0.5</f>
        <v>8.7469709042616586</v>
      </c>
      <c r="N6">
        <v>1046623.6600000001</v>
      </c>
      <c r="O6">
        <f t="shared" ref="O6:O24" si="6">(N6/$E$2)^0.5</f>
        <v>161.75781743087413</v>
      </c>
      <c r="P6">
        <v>245938.08000000002</v>
      </c>
      <c r="Q6">
        <f t="shared" ref="Q6:Q24" si="7">(P6/$E$5)^0.5</f>
        <v>25.554915689868693</v>
      </c>
      <c r="R6">
        <v>20427.060000000001</v>
      </c>
      <c r="S6">
        <f t="shared" ref="S6:S24" si="8">(R6/$E$5)^0.5</f>
        <v>7.3648599992892789</v>
      </c>
      <c r="T6">
        <v>7273.32</v>
      </c>
      <c r="U6">
        <f t="shared" ref="U6:U24" si="9">(T6/$E$5)^0.5</f>
        <v>4.3946866157010493</v>
      </c>
      <c r="V6">
        <v>460.8</v>
      </c>
      <c r="W6">
        <f t="shared" ref="W6:W24" si="10">(V6/$E$5)^0.5</f>
        <v>1.1061596147098147</v>
      </c>
      <c r="X6" s="22"/>
      <c r="Y6">
        <v>1.23299343907631E-5</v>
      </c>
      <c r="Z6">
        <v>7.0988714131646159E-7</v>
      </c>
      <c r="AA6">
        <v>1.2494803582015401E-5</v>
      </c>
      <c r="AB6">
        <v>5.9675977515360152E-7</v>
      </c>
      <c r="AC6">
        <v>1.2808664719995899E-5</v>
      </c>
      <c r="AD6">
        <v>6.523916924083579E-7</v>
      </c>
      <c r="AE6">
        <v>1.5482826319240698E-5</v>
      </c>
      <c r="AF6">
        <v>5.3927227825833837E-7</v>
      </c>
      <c r="AG6">
        <v>1.51580511285361E-5</v>
      </c>
      <c r="AH6">
        <v>4.7901764338411889E-7</v>
      </c>
      <c r="AJ6" s="43"/>
      <c r="AK6" s="13" t="s">
        <v>5</v>
      </c>
      <c r="AM6" t="s">
        <v>48</v>
      </c>
      <c r="AN6" t="s">
        <v>49</v>
      </c>
      <c r="AO6" s="17" t="s">
        <v>51</v>
      </c>
      <c r="AP6" t="s">
        <v>52</v>
      </c>
      <c r="AQ6" t="s">
        <v>53</v>
      </c>
      <c r="AR6" t="s">
        <v>54</v>
      </c>
      <c r="AS6" t="s">
        <v>55</v>
      </c>
      <c r="AT6">
        <f t="shared" ref="AT6:AT33" si="11">AS6/(E6*V6)</f>
        <v>1.3099234051294484E-5</v>
      </c>
      <c r="AU6" s="23"/>
      <c r="AV6">
        <f t="shared" ref="AV6:AV33" si="12">Y6*J6*E6</f>
        <v>2.1279923935897449E-2</v>
      </c>
      <c r="AW6">
        <f t="shared" ref="AW6:AW33" si="13">((J6*E6*Z6)^2+(Y6*E6*K6)^2+(Y6*J6*F6)^2)^0.5</f>
        <v>1.5314647752103867E-3</v>
      </c>
      <c r="AX6" s="21">
        <f t="shared" ref="AX6:AX33" si="14">AW6/AV6</f>
        <v>7.1967586906029016E-2</v>
      </c>
      <c r="AY6">
        <f t="shared" ref="AY6:AY33" si="15">AA6*L6*E6</f>
        <v>4.8526077308906661</v>
      </c>
      <c r="AZ6">
        <f t="shared" ref="AZ6:AZ33" si="16">((L6*E6*AB6)^2+(AA6*E6*M6)^2+(AA6*L6*F6)^2)^0.5</f>
        <v>0.2335081427165091</v>
      </c>
      <c r="BA6" s="21">
        <f t="shared" ref="BA6:BA33" si="17">AZ6/AY6</f>
        <v>4.812013574269481E-2</v>
      </c>
      <c r="BB6">
        <f t="shared" ref="BB6:BB33" si="18">AC6*N6*E6</f>
        <v>1701.2369355407184</v>
      </c>
      <c r="BC6">
        <f t="shared" ref="BC6:BC33" si="19">((N6*E6*AD6)^2+(AC6*E6*O6)^2+(AC6*N6*F6)^2)^0.5</f>
        <v>87.088674954126219</v>
      </c>
      <c r="BD6" s="21">
        <f t="shared" ref="BD6:BD33" si="20">BC6/BB6</f>
        <v>5.1191385006254933E-2</v>
      </c>
      <c r="BE6">
        <f t="shared" ref="BE6:BE33" si="21">AE6*E6*P6</f>
        <v>483.22168737125401</v>
      </c>
      <c r="BF6">
        <f t="shared" ref="BF6:BF33" si="22">((P6*E6*AF6)^2+(AE6*E6*Q6)^2+(AE6*P6*F6)^2)^0.5</f>
        <v>17.012315396885533</v>
      </c>
      <c r="BG6" s="21">
        <f t="shared" ref="BG6:BG33" si="23">BF6/BE6</f>
        <v>3.5206026222525805E-2</v>
      </c>
      <c r="BH6">
        <f t="shared" ref="BH6:BH33" si="24">AG6*E6*R6</f>
        <v>39.29340181790208</v>
      </c>
      <c r="BI6">
        <f t="shared" ref="BI6:BI33" si="25">((R6*E6*AH6)^2+(AG6*E6*S6)^2+(AG6*R6*F6)^2)^0.5</f>
        <v>1.2580560311527798</v>
      </c>
      <c r="BJ6" s="21">
        <f t="shared" ref="BJ6:BJ33" si="26">BI6/BH6</f>
        <v>3.2016979262396397E-2</v>
      </c>
      <c r="BK6">
        <f t="shared" ref="BK6:BK33" si="27">$T$2*T6*E6</f>
        <v>12.073366981436315</v>
      </c>
      <c r="BL6">
        <f t="shared" ref="BL6:BL33" si="28">((T6*E6*$T$3)^2+($T$2*E6*U6)^2+($T$2*T6*F6)^2)^0.5</f>
        <v>0.11369614235302833</v>
      </c>
      <c r="BM6" s="21">
        <f t="shared" ref="BM6:BM33" si="29">BL6/BK6</f>
        <v>9.4171031600252409E-3</v>
      </c>
      <c r="BN6">
        <f t="shared" ref="BN6:BN33" si="30">$V$2*V6*E6</f>
        <v>0.76628844307692312</v>
      </c>
      <c r="BO6">
        <f t="shared" ref="BO6:BO33" si="31">((V6*E6*$V$3)^2+($V$2*E6*W6)^2+($V$2*V6*F6)^2)^0.5</f>
        <v>1.2483617878902165E-2</v>
      </c>
      <c r="BP6" s="21">
        <f t="shared" ref="BP6:BP33" si="32">BO6/BN6</f>
        <v>1.6291016772712844E-2</v>
      </c>
    </row>
    <row r="7" spans="2:68" ht="30" x14ac:dyDescent="0.25">
      <c r="B7" s="10" t="s">
        <v>6</v>
      </c>
      <c r="C7" s="4">
        <v>5.0299999999999997E-2</v>
      </c>
      <c r="D7" s="4">
        <v>4.9884000000000004</v>
      </c>
      <c r="E7" s="4">
        <v>99.172962226640166</v>
      </c>
      <c r="F7" s="18">
        <f t="shared" si="3"/>
        <v>0.39434593954365693</v>
      </c>
      <c r="G7" s="19">
        <f t="shared" si="4"/>
        <v>3.9763452728421821E-3</v>
      </c>
      <c r="H7" s="23"/>
      <c r="I7" s="1" t="s">
        <v>6</v>
      </c>
      <c r="J7">
        <v>0</v>
      </c>
      <c r="K7">
        <f t="shared" ref="K7:K33" si="33">(J7/$E$2)^0.5</f>
        <v>0</v>
      </c>
      <c r="L7">
        <v>16</v>
      </c>
      <c r="M7">
        <f t="shared" si="5"/>
        <v>0.63245553203367588</v>
      </c>
      <c r="N7">
        <v>5436.38</v>
      </c>
      <c r="O7">
        <f t="shared" si="6"/>
        <v>11.658022988483081</v>
      </c>
      <c r="P7">
        <v>19168.32</v>
      </c>
      <c r="Q7">
        <f t="shared" si="7"/>
        <v>7.1343364886861318</v>
      </c>
      <c r="R7">
        <v>1684.1000000000001</v>
      </c>
      <c r="S7">
        <f t="shared" si="8"/>
        <v>2.1146841067342832</v>
      </c>
      <c r="T7">
        <v>542.4</v>
      </c>
      <c r="U7">
        <f t="shared" si="9"/>
        <v>1.2001109650660569</v>
      </c>
      <c r="V7">
        <v>35.200000000000003</v>
      </c>
      <c r="W7">
        <f t="shared" si="10"/>
        <v>0.30572636668637909</v>
      </c>
      <c r="X7" s="22"/>
      <c r="Y7">
        <v>1.2306936827763501E-5</v>
      </c>
      <c r="Z7">
        <v>7.0988714131646159E-7</v>
      </c>
      <c r="AA7">
        <v>1.24359678655529E-5</v>
      </c>
      <c r="AB7">
        <v>5.9675977515360152E-7</v>
      </c>
      <c r="AC7">
        <v>1.27439377550196E-5</v>
      </c>
      <c r="AD7">
        <v>6.523916924083579E-7</v>
      </c>
      <c r="AE7">
        <v>1.5319926745147399E-5</v>
      </c>
      <c r="AF7">
        <v>5.3927227825833837E-7</v>
      </c>
      <c r="AG7">
        <v>1.50175828470213E-5</v>
      </c>
      <c r="AH7">
        <v>4.7901764338411889E-7</v>
      </c>
      <c r="AJ7" s="43"/>
      <c r="AK7" s="13" t="s">
        <v>6</v>
      </c>
      <c r="AM7" t="s">
        <v>41</v>
      </c>
      <c r="AN7" t="s">
        <v>56</v>
      </c>
      <c r="AO7" s="17" t="s">
        <v>57</v>
      </c>
      <c r="AP7" t="s">
        <v>58</v>
      </c>
      <c r="AQ7" t="s">
        <v>59</v>
      </c>
      <c r="AR7" t="s">
        <v>60</v>
      </c>
      <c r="AS7" t="s">
        <v>61</v>
      </c>
      <c r="AT7">
        <f t="shared" si="11"/>
        <v>1.3091223912203583E-5</v>
      </c>
      <c r="AU7" s="23"/>
      <c r="AV7">
        <f t="shared" si="12"/>
        <v>0</v>
      </c>
      <c r="AW7">
        <f t="shared" si="13"/>
        <v>0</v>
      </c>
      <c r="AX7" s="21" t="e">
        <f t="shared" si="14"/>
        <v>#DIV/0!</v>
      </c>
      <c r="AY7">
        <f t="shared" si="15"/>
        <v>1.973298834211502E-2</v>
      </c>
      <c r="AZ7">
        <f t="shared" si="16"/>
        <v>1.2293231713978159E-3</v>
      </c>
      <c r="BA7" s="21">
        <f t="shared" si="17"/>
        <v>6.2297871467046871E-2</v>
      </c>
      <c r="BB7">
        <f t="shared" si="18"/>
        <v>6.8707909216403333</v>
      </c>
      <c r="BC7">
        <f t="shared" si="19"/>
        <v>0.35309871051404151</v>
      </c>
      <c r="BD7" s="21">
        <f t="shared" si="20"/>
        <v>5.1391275697520819E-2</v>
      </c>
      <c r="BE7">
        <f t="shared" si="21"/>
        <v>29.122860177778918</v>
      </c>
      <c r="BF7">
        <f t="shared" si="22"/>
        <v>1.0317221730453285</v>
      </c>
      <c r="BG7" s="21">
        <f t="shared" si="23"/>
        <v>3.5426540070145465E-2</v>
      </c>
      <c r="BH7">
        <f t="shared" si="24"/>
        <v>2.508194422914114</v>
      </c>
      <c r="BI7">
        <f t="shared" si="25"/>
        <v>8.0684927197049949E-2</v>
      </c>
      <c r="BJ7" s="21">
        <f t="shared" si="26"/>
        <v>3.2168529863529152E-2</v>
      </c>
      <c r="BK7">
        <f t="shared" si="27"/>
        <v>0.7036201617352692</v>
      </c>
      <c r="BL7">
        <f t="shared" si="28"/>
        <v>6.399599352601852E-3</v>
      </c>
      <c r="BM7" s="21">
        <f t="shared" si="29"/>
        <v>9.0952472663932051E-3</v>
      </c>
      <c r="BN7">
        <f t="shared" si="30"/>
        <v>4.574518170974156E-2</v>
      </c>
      <c r="BO7">
        <f t="shared" si="31"/>
        <v>8.241527993249235E-4</v>
      </c>
      <c r="BP7" s="21">
        <f t="shared" si="32"/>
        <v>1.8016166261056035E-2</v>
      </c>
    </row>
    <row r="8" spans="2:68" ht="30" x14ac:dyDescent="0.25">
      <c r="B8" s="10" t="s">
        <v>7</v>
      </c>
      <c r="C8" s="4">
        <v>3.6399999999999995E-2</v>
      </c>
      <c r="D8" s="4">
        <v>4.9635000000000007</v>
      </c>
      <c r="E8" s="4">
        <v>136.35989010989016</v>
      </c>
      <c r="F8" s="18">
        <f t="shared" si="3"/>
        <v>0.74925031224172078</v>
      </c>
      <c r="G8" s="19">
        <f t="shared" si="4"/>
        <v>5.4946532417847541E-3</v>
      </c>
      <c r="H8" s="23"/>
      <c r="I8" s="1" t="s">
        <v>7</v>
      </c>
      <c r="J8">
        <v>0</v>
      </c>
      <c r="K8">
        <f t="shared" si="33"/>
        <v>0</v>
      </c>
      <c r="L8">
        <v>32.799999999999997</v>
      </c>
      <c r="M8">
        <f t="shared" si="5"/>
        <v>0.90553851381374162</v>
      </c>
      <c r="N8">
        <v>4100.6799999999994</v>
      </c>
      <c r="O8">
        <f t="shared" si="6"/>
        <v>10.125067901006886</v>
      </c>
      <c r="P8">
        <v>1432.1</v>
      </c>
      <c r="Q8">
        <f t="shared" si="7"/>
        <v>1.9500611749180174</v>
      </c>
      <c r="R8">
        <v>128.80000000000001</v>
      </c>
      <c r="S8">
        <f t="shared" si="8"/>
        <v>0.58481633513996867</v>
      </c>
      <c r="T8">
        <v>38.4</v>
      </c>
      <c r="U8">
        <f t="shared" si="9"/>
        <v>0.31932077565970207</v>
      </c>
      <c r="V8">
        <v>1.6</v>
      </c>
      <c r="W8">
        <f t="shared" si="10"/>
        <v>6.518108038633405E-2</v>
      </c>
      <c r="X8" s="22"/>
      <c r="Y8">
        <v>1.2283982159388199E-5</v>
      </c>
      <c r="Z8">
        <v>7.0988714131646159E-7</v>
      </c>
      <c r="AA8">
        <v>1.2377409195584901E-5</v>
      </c>
      <c r="AB8">
        <v>5.9675977515360152E-7</v>
      </c>
      <c r="AC8">
        <v>1.2679537879563401E-5</v>
      </c>
      <c r="AD8">
        <v>6.523916924083579E-7</v>
      </c>
      <c r="AE8">
        <v>1.5158741087537601E-5</v>
      </c>
      <c r="AF8">
        <v>5.3927227825833837E-7</v>
      </c>
      <c r="AG8">
        <v>1.4878416272298701E-5</v>
      </c>
      <c r="AH8">
        <v>4.7901764338411889E-7</v>
      </c>
      <c r="AJ8" s="43"/>
      <c r="AK8" s="13" t="s">
        <v>7</v>
      </c>
      <c r="AM8" t="s">
        <v>41</v>
      </c>
      <c r="AN8" t="s">
        <v>62</v>
      </c>
      <c r="AO8" s="17" t="s">
        <v>63</v>
      </c>
      <c r="AP8" t="s">
        <v>64</v>
      </c>
      <c r="AQ8" t="s">
        <v>65</v>
      </c>
      <c r="AR8" t="s">
        <v>66</v>
      </c>
      <c r="AS8" t="s">
        <v>41</v>
      </c>
      <c r="AU8" s="23"/>
      <c r="AV8">
        <f t="shared" si="12"/>
        <v>0</v>
      </c>
      <c r="AW8">
        <f t="shared" si="13"/>
        <v>0</v>
      </c>
      <c r="AX8" s="21" t="e">
        <f t="shared" si="14"/>
        <v>#DIV/0!</v>
      </c>
      <c r="AY8">
        <f t="shared" si="15"/>
        <v>5.5359254774367303E-2</v>
      </c>
      <c r="AZ8">
        <f t="shared" si="16"/>
        <v>3.0906829737195889E-3</v>
      </c>
      <c r="BA8" s="21">
        <f t="shared" si="17"/>
        <v>5.5829562488089186E-2</v>
      </c>
      <c r="BB8">
        <f t="shared" si="18"/>
        <v>7.0899953134624578</v>
      </c>
      <c r="BC8">
        <f t="shared" si="19"/>
        <v>0.36728840666669338</v>
      </c>
      <c r="BD8" s="21">
        <f t="shared" si="20"/>
        <v>5.1803758737228991E-2</v>
      </c>
      <c r="BE8">
        <f t="shared" si="21"/>
        <v>2.9602140974929849</v>
      </c>
      <c r="BF8">
        <f t="shared" si="22"/>
        <v>0.10663455083281724</v>
      </c>
      <c r="BG8" s="21">
        <f t="shared" si="23"/>
        <v>3.6022580570481841E-2</v>
      </c>
      <c r="BH8">
        <f t="shared" si="24"/>
        <v>0.26131191397750103</v>
      </c>
      <c r="BI8">
        <f t="shared" si="25"/>
        <v>8.6167808906521346E-3</v>
      </c>
      <c r="BJ8" s="21">
        <f t="shared" si="26"/>
        <v>3.2975078554566169E-2</v>
      </c>
      <c r="BK8">
        <f t="shared" si="27"/>
        <v>6.8492524845907565E-2</v>
      </c>
      <c r="BL8">
        <f t="shared" si="28"/>
        <v>8.7003786851710886E-4</v>
      </c>
      <c r="BM8" s="21">
        <f t="shared" si="29"/>
        <v>1.2702668947808452E-2</v>
      </c>
      <c r="BN8">
        <f t="shared" si="30"/>
        <v>2.8590123626373643E-3</v>
      </c>
      <c r="BO8">
        <f t="shared" si="31"/>
        <v>1.2537754492835274E-4</v>
      </c>
      <c r="BP8" s="21">
        <f t="shared" si="32"/>
        <v>4.3853446234382573E-2</v>
      </c>
    </row>
    <row r="9" spans="2:68" ht="45" x14ac:dyDescent="0.25">
      <c r="B9" s="10" t="s">
        <v>8</v>
      </c>
      <c r="C9" s="4">
        <v>2.8899999999999999E-2</v>
      </c>
      <c r="D9" s="4">
        <v>4.9984000000000002</v>
      </c>
      <c r="E9" s="4">
        <v>172.95501730103808</v>
      </c>
      <c r="F9" s="18">
        <f t="shared" si="3"/>
        <v>1.1969405411901297</v>
      </c>
      <c r="G9" s="19">
        <f t="shared" si="4"/>
        <v>6.9205308979662979E-3</v>
      </c>
      <c r="H9" s="23"/>
      <c r="I9" s="11" t="s">
        <v>8</v>
      </c>
      <c r="J9">
        <v>44</v>
      </c>
      <c r="K9">
        <f t="shared" si="33"/>
        <v>1.0488088481701516</v>
      </c>
      <c r="L9">
        <v>9953.5799999999981</v>
      </c>
      <c r="M9">
        <f t="shared" si="5"/>
        <v>15.774647381161962</v>
      </c>
      <c r="N9">
        <v>3479770.46</v>
      </c>
      <c r="O9">
        <f t="shared" si="6"/>
        <v>294.94789624609967</v>
      </c>
      <c r="P9">
        <v>114873.8</v>
      </c>
      <c r="Q9">
        <f t="shared" si="7"/>
        <v>17.46513943357937</v>
      </c>
      <c r="R9">
        <v>9665.3799999999992</v>
      </c>
      <c r="S9">
        <f t="shared" si="8"/>
        <v>5.0660681762103659</v>
      </c>
      <c r="T9">
        <v>10161.720000000001</v>
      </c>
      <c r="U9">
        <f t="shared" si="9"/>
        <v>5.1945170412972193</v>
      </c>
      <c r="V9">
        <v>233.6</v>
      </c>
      <c r="W9">
        <f t="shared" si="10"/>
        <v>0.78758599091663783</v>
      </c>
      <c r="X9" s="22"/>
      <c r="Y9">
        <v>1.22610703056311E-5</v>
      </c>
      <c r="Z9">
        <v>7.0988714131646159E-7</v>
      </c>
      <c r="AA9">
        <v>1.2319126267550699E-5</v>
      </c>
      <c r="AB9">
        <v>5.9675977515360152E-7</v>
      </c>
      <c r="AC9">
        <v>1.26154634407217E-5</v>
      </c>
      <c r="AD9">
        <v>6.523916924083579E-7</v>
      </c>
      <c r="AE9">
        <v>1.49992513137692E-5</v>
      </c>
      <c r="AF9">
        <v>5.3927227825833837E-7</v>
      </c>
      <c r="AG9">
        <v>1.4740539341570001E-5</v>
      </c>
      <c r="AH9">
        <v>4.7901764338411889E-7</v>
      </c>
      <c r="AJ9" s="43"/>
      <c r="AK9" s="13" t="s">
        <v>8</v>
      </c>
      <c r="AM9" t="s">
        <v>67</v>
      </c>
      <c r="AN9" t="s">
        <v>68</v>
      </c>
      <c r="AO9" s="17" t="s">
        <v>70</v>
      </c>
      <c r="AP9" t="s">
        <v>71</v>
      </c>
      <c r="AQ9" t="s">
        <v>68</v>
      </c>
      <c r="AR9" t="s">
        <v>72</v>
      </c>
      <c r="AS9" t="s">
        <v>73</v>
      </c>
      <c r="AT9">
        <f t="shared" si="11"/>
        <v>1.3093316573632329E-5</v>
      </c>
      <c r="AU9" s="23"/>
      <c r="AV9">
        <f t="shared" si="12"/>
        <v>9.3306999580945529E-2</v>
      </c>
      <c r="AW9">
        <f t="shared" si="13"/>
        <v>5.8777583623251381E-3</v>
      </c>
      <c r="AX9" s="21">
        <f t="shared" si="14"/>
        <v>6.2993755974610197E-2</v>
      </c>
      <c r="AY9">
        <f t="shared" si="15"/>
        <v>21.207641976356459</v>
      </c>
      <c r="AZ9">
        <f t="shared" si="16"/>
        <v>1.0383098874140941</v>
      </c>
      <c r="BA9" s="21">
        <f t="shared" si="17"/>
        <v>4.8959233118498688E-2</v>
      </c>
      <c r="BB9">
        <f t="shared" si="18"/>
        <v>7592.5379527312916</v>
      </c>
      <c r="BC9">
        <f t="shared" si="19"/>
        <v>396.13864213581445</v>
      </c>
      <c r="BD9" s="21">
        <f t="shared" si="20"/>
        <v>5.2174733218595247E-2</v>
      </c>
      <c r="BE9">
        <f t="shared" si="21"/>
        <v>298.00512609845657</v>
      </c>
      <c r="BF9">
        <f t="shared" si="22"/>
        <v>10.911038376436624</v>
      </c>
      <c r="BG9" s="21">
        <f t="shared" si="23"/>
        <v>3.661359292467934E-2</v>
      </c>
      <c r="BH9">
        <f t="shared" si="24"/>
        <v>24.641405330224682</v>
      </c>
      <c r="BI9">
        <f t="shared" si="25"/>
        <v>0.81882114967908493</v>
      </c>
      <c r="BJ9" s="21">
        <f t="shared" si="26"/>
        <v>3.3229482600764429E-2</v>
      </c>
      <c r="BK9">
        <f t="shared" si="27"/>
        <v>22.989297378130491</v>
      </c>
      <c r="BL9">
        <f t="shared" si="28"/>
        <v>0.24130187566217204</v>
      </c>
      <c r="BM9" s="21">
        <f t="shared" si="29"/>
        <v>1.0496270142284572E-2</v>
      </c>
      <c r="BN9">
        <f t="shared" si="30"/>
        <v>0.52943836862745108</v>
      </c>
      <c r="BO9">
        <f t="shared" si="31"/>
        <v>9.0562669102073612E-3</v>
      </c>
      <c r="BP9" s="21">
        <f t="shared" si="32"/>
        <v>1.7105422362352372E-2</v>
      </c>
    </row>
    <row r="10" spans="2:68" s="28" customFormat="1" ht="45" x14ac:dyDescent="0.25">
      <c r="B10" s="49" t="s">
        <v>9</v>
      </c>
      <c r="C10" s="49">
        <v>4.4299999999999999E-2</v>
      </c>
      <c r="D10" s="49">
        <v>4.9031000000000002</v>
      </c>
      <c r="E10" s="49">
        <v>110.67945823927766</v>
      </c>
      <c r="F10" s="50">
        <f t="shared" si="3"/>
        <v>0.499701921883555</v>
      </c>
      <c r="G10" s="51">
        <f t="shared" si="4"/>
        <v>4.5148569556895607E-3</v>
      </c>
      <c r="H10" s="52"/>
      <c r="I10" s="53" t="s">
        <v>9</v>
      </c>
      <c r="J10" s="28">
        <v>3491.6800000000003</v>
      </c>
      <c r="K10" s="28">
        <f t="shared" si="33"/>
        <v>9.343018784097568</v>
      </c>
      <c r="L10" s="28">
        <v>605072.1</v>
      </c>
      <c r="M10" s="28">
        <f t="shared" si="5"/>
        <v>122.99106674876839</v>
      </c>
      <c r="N10" s="28">
        <v>209413044.69999999</v>
      </c>
      <c r="O10" s="28">
        <f t="shared" si="6"/>
        <v>2288.0835031746547</v>
      </c>
      <c r="P10" s="28">
        <v>3257585.38</v>
      </c>
      <c r="Q10" s="28">
        <f t="shared" si="7"/>
        <v>93.005678837226768</v>
      </c>
      <c r="R10" s="28">
        <v>269435.54000000004</v>
      </c>
      <c r="S10" s="28">
        <f t="shared" si="8"/>
        <v>26.747857685684309</v>
      </c>
      <c r="T10" s="28">
        <v>103927.40000000001</v>
      </c>
      <c r="U10" s="28">
        <f t="shared" si="9"/>
        <v>16.612178713541859</v>
      </c>
      <c r="V10" s="28">
        <v>6003.0199999999995</v>
      </c>
      <c r="W10" s="28">
        <f t="shared" si="10"/>
        <v>3.9925140993148229</v>
      </c>
      <c r="X10" s="54"/>
      <c r="Y10" s="28">
        <v>1.2238201186634999E-5</v>
      </c>
      <c r="Z10" s="28">
        <v>7.0988714131646159E-7</v>
      </c>
      <c r="AA10" s="28">
        <v>1.22611177830326E-5</v>
      </c>
      <c r="AB10" s="28">
        <v>5.9675977515360152E-7</v>
      </c>
      <c r="AC10" s="28">
        <v>1.25517127939418E-5</v>
      </c>
      <c r="AD10" s="28">
        <v>6.523916924083579E-7</v>
      </c>
      <c r="AE10" s="28">
        <v>1.4841439580927199E-5</v>
      </c>
      <c r="AF10" s="28">
        <v>5.3927227825833837E-7</v>
      </c>
      <c r="AG10" s="28">
        <v>1.46039401038214E-5</v>
      </c>
      <c r="AH10" s="28">
        <v>4.7901764338411889E-7</v>
      </c>
      <c r="AJ10" s="55"/>
      <c r="AK10" s="53" t="s">
        <v>9</v>
      </c>
      <c r="AM10" s="28" t="s">
        <v>74</v>
      </c>
      <c r="AN10" s="28" t="s">
        <v>75</v>
      </c>
      <c r="AO10" s="28" t="s">
        <v>76</v>
      </c>
      <c r="AP10" s="28" t="s">
        <v>77</v>
      </c>
      <c r="AQ10" s="28" t="s">
        <v>78</v>
      </c>
      <c r="AR10" s="28" t="s">
        <v>79</v>
      </c>
      <c r="AS10" s="28" t="s">
        <v>80</v>
      </c>
      <c r="AT10" s="28">
        <f t="shared" si="11"/>
        <v>1.3109355476734763E-5</v>
      </c>
      <c r="AU10" s="52"/>
      <c r="AV10" s="28">
        <f t="shared" si="12"/>
        <v>4.7295415846501925</v>
      </c>
      <c r="AW10" s="28">
        <f t="shared" si="13"/>
        <v>0.27546164497048697</v>
      </c>
      <c r="AX10" s="29">
        <f t="shared" si="14"/>
        <v>5.8242778933269644E-2</v>
      </c>
      <c r="AY10" s="28">
        <f t="shared" si="15"/>
        <v>821.11543713287188</v>
      </c>
      <c r="AZ10" s="28">
        <f t="shared" si="16"/>
        <v>40.136361529095801</v>
      </c>
      <c r="BA10" s="29">
        <f t="shared" si="17"/>
        <v>4.888029102125014E-2</v>
      </c>
      <c r="BB10" s="28">
        <f t="shared" si="18"/>
        <v>290920.1139746033</v>
      </c>
      <c r="BC10" s="28">
        <f t="shared" si="19"/>
        <v>15177.892776640363</v>
      </c>
      <c r="BD10" s="29">
        <f t="shared" si="20"/>
        <v>5.2172029528234548E-2</v>
      </c>
      <c r="BE10" s="28">
        <f t="shared" si="21"/>
        <v>5351.048167509286</v>
      </c>
      <c r="BF10" s="28">
        <f t="shared" si="22"/>
        <v>195.92868100737013</v>
      </c>
      <c r="BG10" s="29">
        <f t="shared" si="23"/>
        <v>3.6615009783880839E-2</v>
      </c>
      <c r="BH10" s="28">
        <f t="shared" si="24"/>
        <v>435.50379988073598</v>
      </c>
      <c r="BI10" s="28">
        <f t="shared" si="25"/>
        <v>14.419527243265103</v>
      </c>
      <c r="BJ10" s="29">
        <f t="shared" si="26"/>
        <v>3.3109991800792403E-2</v>
      </c>
      <c r="BK10" s="28">
        <f t="shared" si="27"/>
        <v>150.46046377574976</v>
      </c>
      <c r="BL10" s="28">
        <f t="shared" si="28"/>
        <v>1.3660129135706316</v>
      </c>
      <c r="BM10" s="29">
        <f t="shared" si="29"/>
        <v>9.0788827795092626E-3</v>
      </c>
      <c r="BN10" s="28">
        <f t="shared" si="30"/>
        <v>8.7065524975065838</v>
      </c>
      <c r="BO10" s="28">
        <f t="shared" si="31"/>
        <v>0.13880355088860147</v>
      </c>
      <c r="BP10" s="29">
        <f t="shared" si="32"/>
        <v>1.5942423930522736E-2</v>
      </c>
    </row>
    <row r="11" spans="2:68" ht="30" x14ac:dyDescent="0.25">
      <c r="B11" s="10" t="s">
        <v>19</v>
      </c>
      <c r="C11" s="4">
        <v>9.3700000000000006E-2</v>
      </c>
      <c r="D11" s="4">
        <v>5.0049000000000001</v>
      </c>
      <c r="E11" s="4">
        <v>53.414087513340448</v>
      </c>
      <c r="F11" s="18">
        <f t="shared" si="3"/>
        <v>0.11403083782205169</v>
      </c>
      <c r="G11" s="19">
        <f t="shared" si="4"/>
        <v>2.1348457519483393E-3</v>
      </c>
      <c r="H11" s="23"/>
      <c r="I11" s="1" t="s">
        <v>19</v>
      </c>
      <c r="J11">
        <v>151.19999999999999</v>
      </c>
      <c r="K11">
        <f t="shared" si="33"/>
        <v>1.944222209522358</v>
      </c>
      <c r="L11">
        <v>28799.580000000005</v>
      </c>
      <c r="M11">
        <f t="shared" si="5"/>
        <v>26.832620073336113</v>
      </c>
      <c r="N11">
        <v>10085601.959999999</v>
      </c>
      <c r="O11">
        <f t="shared" si="6"/>
        <v>502.13548868806311</v>
      </c>
      <c r="P11">
        <v>400822.4</v>
      </c>
      <c r="Q11">
        <f t="shared" si="7"/>
        <v>32.624026065584928</v>
      </c>
      <c r="R11">
        <v>33098.219999999994</v>
      </c>
      <c r="S11">
        <f t="shared" si="8"/>
        <v>9.3748403917928993</v>
      </c>
      <c r="T11">
        <v>12044.2</v>
      </c>
      <c r="U11">
        <f t="shared" si="9"/>
        <v>5.6552335175691173</v>
      </c>
      <c r="V11">
        <v>734.4</v>
      </c>
      <c r="W11">
        <f t="shared" si="10"/>
        <v>1.3964580614223083</v>
      </c>
      <c r="X11" s="22"/>
      <c r="Y11">
        <v>1.2215374722691999E-5</v>
      </c>
      <c r="Z11">
        <v>7.0988714131646159E-7</v>
      </c>
      <c r="AA11">
        <v>1.2203382449727E-5</v>
      </c>
      <c r="AB11">
        <v>5.9675977515360152E-7</v>
      </c>
      <c r="AC11">
        <v>1.24882843029816E-5</v>
      </c>
      <c r="AD11">
        <v>6.523916924083579E-7</v>
      </c>
      <c r="AE11">
        <v>1.4685288233827199E-5</v>
      </c>
      <c r="AF11">
        <v>5.3927227825833837E-7</v>
      </c>
      <c r="AG11">
        <v>1.44686067187884E-5</v>
      </c>
      <c r="AH11">
        <v>4.7901764338411889E-7</v>
      </c>
      <c r="AJ11" s="43"/>
      <c r="AK11" s="1" t="s">
        <v>19</v>
      </c>
      <c r="AM11" t="s">
        <v>88</v>
      </c>
      <c r="AN11" t="s">
        <v>144</v>
      </c>
      <c r="AO11" s="17" t="s">
        <v>145</v>
      </c>
      <c r="AP11" t="s">
        <v>146</v>
      </c>
      <c r="AQ11" t="s">
        <v>147</v>
      </c>
      <c r="AR11" t="s">
        <v>148</v>
      </c>
      <c r="AS11" t="s">
        <v>149</v>
      </c>
      <c r="AT11">
        <f t="shared" si="11"/>
        <v>1.3103117550465033E-5</v>
      </c>
      <c r="AU11" s="23"/>
      <c r="AV11">
        <f t="shared" si="12"/>
        <v>9.8653931880252926E-2</v>
      </c>
      <c r="AW11">
        <f t="shared" si="13"/>
        <v>5.8756393854968759E-3</v>
      </c>
      <c r="AX11" s="21">
        <f t="shared" si="14"/>
        <v>5.9558086266939494E-2</v>
      </c>
      <c r="AY11">
        <f t="shared" si="15"/>
        <v>18.77250332843424</v>
      </c>
      <c r="AZ11">
        <f t="shared" si="16"/>
        <v>0.91903834732029743</v>
      </c>
      <c r="BA11" s="21">
        <f t="shared" si="17"/>
        <v>4.8956621886877126E-2</v>
      </c>
      <c r="BB11">
        <f t="shared" si="18"/>
        <v>6727.6039205196785</v>
      </c>
      <c r="BC11">
        <f t="shared" si="19"/>
        <v>351.74553609418621</v>
      </c>
      <c r="BD11" s="21">
        <f t="shared" si="20"/>
        <v>5.2283924596294509E-2</v>
      </c>
      <c r="BE11">
        <f t="shared" si="21"/>
        <v>314.40559995728188</v>
      </c>
      <c r="BF11">
        <f t="shared" si="22"/>
        <v>11.565106002886687</v>
      </c>
      <c r="BG11" s="21">
        <f t="shared" si="23"/>
        <v>3.6784033123004267E-2</v>
      </c>
      <c r="BH11">
        <f t="shared" si="24"/>
        <v>25.579212150354483</v>
      </c>
      <c r="BI11">
        <f t="shared" si="25"/>
        <v>0.84865038601926224</v>
      </c>
      <c r="BJ11" s="21">
        <f t="shared" si="26"/>
        <v>3.317734655121117E-2</v>
      </c>
      <c r="BK11">
        <f t="shared" si="27"/>
        <v>8.4150961242407654</v>
      </c>
      <c r="BL11">
        <f t="shared" si="28"/>
        <v>6.8774899360335734E-2</v>
      </c>
      <c r="BM11" s="21">
        <f t="shared" si="29"/>
        <v>8.1728002086893341E-3</v>
      </c>
      <c r="BN11">
        <f t="shared" si="30"/>
        <v>0.51404115400213446</v>
      </c>
      <c r="BO11">
        <f t="shared" si="31"/>
        <v>7.988468468963816E-3</v>
      </c>
      <c r="BP11" s="21">
        <f t="shared" si="32"/>
        <v>1.5540523179454705E-2</v>
      </c>
    </row>
    <row r="12" spans="2:68" x14ac:dyDescent="0.25">
      <c r="B12" s="10" t="s">
        <v>20</v>
      </c>
      <c r="C12" s="4">
        <v>2.87E-2</v>
      </c>
      <c r="D12" s="4">
        <v>4.9332000000000003</v>
      </c>
      <c r="E12" s="4">
        <v>171.88850174216029</v>
      </c>
      <c r="F12" s="18">
        <f t="shared" si="3"/>
        <v>1.1978495510797849</v>
      </c>
      <c r="G12" s="19">
        <f t="shared" si="4"/>
        <v>6.968759044026154E-3</v>
      </c>
      <c r="H12" s="23"/>
      <c r="I12" s="1" t="s">
        <v>20</v>
      </c>
      <c r="J12">
        <v>0.8</v>
      </c>
      <c r="K12">
        <f t="shared" si="33"/>
        <v>0.1414213562373095</v>
      </c>
      <c r="L12">
        <v>216</v>
      </c>
      <c r="M12">
        <f t="shared" si="5"/>
        <v>2.3237900077244502</v>
      </c>
      <c r="N12">
        <v>77321.100000000006</v>
      </c>
      <c r="O12">
        <f t="shared" si="6"/>
        <v>43.966208615253606</v>
      </c>
      <c r="P12">
        <v>24301.38</v>
      </c>
      <c r="Q12">
        <f t="shared" si="7"/>
        <v>8.0329863987142254</v>
      </c>
      <c r="R12">
        <v>2059.4</v>
      </c>
      <c r="S12">
        <f t="shared" si="8"/>
        <v>2.3384706181518338</v>
      </c>
      <c r="T12">
        <v>748</v>
      </c>
      <c r="U12">
        <f t="shared" si="9"/>
        <v>1.4093289147158494</v>
      </c>
      <c r="V12">
        <v>35.200000000000003</v>
      </c>
      <c r="W12">
        <f t="shared" si="10"/>
        <v>0.30572636668637909</v>
      </c>
      <c r="X12" s="22"/>
      <c r="Y12">
        <v>1.2192590834242501E-5</v>
      </c>
      <c r="Z12">
        <v>7.0988714131646159E-7</v>
      </c>
      <c r="AA12">
        <v>1.21459189814153E-5</v>
      </c>
      <c r="AB12">
        <v>5.9675977515360152E-7</v>
      </c>
      <c r="AC12">
        <v>1.24251763398674E-5</v>
      </c>
      <c r="AD12">
        <v>6.523916924083579E-7</v>
      </c>
      <c r="AE12">
        <v>1.45307798030406E-5</v>
      </c>
      <c r="AF12">
        <v>5.3927227825833837E-7</v>
      </c>
      <c r="AG12">
        <v>1.4334527455928799E-5</v>
      </c>
      <c r="AH12">
        <v>4.7901764338411889E-7</v>
      </c>
      <c r="AJ12" s="43"/>
      <c r="AK12" s="1" t="s">
        <v>20</v>
      </c>
      <c r="AM12" t="s">
        <v>41</v>
      </c>
      <c r="AN12" t="s">
        <v>150</v>
      </c>
      <c r="AO12" s="17" t="s">
        <v>151</v>
      </c>
      <c r="AP12" t="s">
        <v>152</v>
      </c>
      <c r="AQ12" t="s">
        <v>153</v>
      </c>
      <c r="AR12" t="s">
        <v>154</v>
      </c>
      <c r="AS12" t="s">
        <v>155</v>
      </c>
      <c r="AT12">
        <f t="shared" si="11"/>
        <v>1.3056825553024774E-5</v>
      </c>
      <c r="AU12" s="23"/>
      <c r="AV12">
        <f t="shared" si="12"/>
        <v>1.676612936682512E-3</v>
      </c>
      <c r="AW12">
        <f t="shared" si="13"/>
        <v>3.1226645443143222E-4</v>
      </c>
      <c r="AX12" s="21">
        <f t="shared" si="14"/>
        <v>0.18624838661289886</v>
      </c>
      <c r="AY12">
        <f t="shared" si="15"/>
        <v>0.45095266425538255</v>
      </c>
      <c r="AZ12">
        <f t="shared" si="16"/>
        <v>2.2898052270170815E-2</v>
      </c>
      <c r="BA12" s="21">
        <f t="shared" si="17"/>
        <v>5.0777063947455112E-2</v>
      </c>
      <c r="BB12">
        <f t="shared" si="18"/>
        <v>165.13814846235073</v>
      </c>
      <c r="BC12">
        <f t="shared" si="19"/>
        <v>8.7472228321940193</v>
      </c>
      <c r="BD12" s="21">
        <f t="shared" si="20"/>
        <v>5.2969122602148276E-2</v>
      </c>
      <c r="BE12">
        <f t="shared" si="21"/>
        <v>60.696924248682265</v>
      </c>
      <c r="BF12">
        <f t="shared" si="22"/>
        <v>2.2920656292085893</v>
      </c>
      <c r="BG12" s="21">
        <f t="shared" si="23"/>
        <v>3.7762467498645126E-2</v>
      </c>
      <c r="BH12">
        <f t="shared" si="24"/>
        <v>5.0742389577492633</v>
      </c>
      <c r="BI12">
        <f t="shared" si="25"/>
        <v>0.17330976237552845</v>
      </c>
      <c r="BJ12" s="21">
        <f t="shared" si="26"/>
        <v>3.4154828698174274E-2</v>
      </c>
      <c r="BK12">
        <f t="shared" si="27"/>
        <v>1.6817976177278262</v>
      </c>
      <c r="BL12">
        <f t="shared" si="28"/>
        <v>1.7966934157390826E-2</v>
      </c>
      <c r="BM12" s="21">
        <f t="shared" si="29"/>
        <v>1.0683172557744999E-2</v>
      </c>
      <c r="BN12">
        <f t="shared" si="30"/>
        <v>7.9286436236933822E-2</v>
      </c>
      <c r="BO12">
        <f t="shared" si="31"/>
        <v>1.498774821907724E-3</v>
      </c>
      <c r="BP12" s="21">
        <f t="shared" si="32"/>
        <v>1.8903294094703593E-2</v>
      </c>
    </row>
    <row r="13" spans="2:68" x14ac:dyDescent="0.25">
      <c r="B13" s="10" t="s">
        <v>21</v>
      </c>
      <c r="C13" s="4">
        <v>4.0600000000000004E-2</v>
      </c>
      <c r="D13" s="4">
        <v>5.0502000000000002</v>
      </c>
      <c r="E13" s="4">
        <v>124.38916256157634</v>
      </c>
      <c r="F13" s="18">
        <f t="shared" si="3"/>
        <v>0.61277429625328761</v>
      </c>
      <c r="G13" s="19">
        <f t="shared" si="4"/>
        <v>4.9262675592815098E-3</v>
      </c>
      <c r="H13" s="23"/>
      <c r="I13" s="1" t="s">
        <v>21</v>
      </c>
      <c r="J13">
        <v>7.2</v>
      </c>
      <c r="K13">
        <f t="shared" si="33"/>
        <v>0.42426406871192851</v>
      </c>
      <c r="L13">
        <v>1240.0999999999999</v>
      </c>
      <c r="M13">
        <f t="shared" si="5"/>
        <v>5.5679888649313947</v>
      </c>
      <c r="N13">
        <v>420211.84</v>
      </c>
      <c r="O13">
        <f t="shared" si="6"/>
        <v>102.49534623581697</v>
      </c>
      <c r="P13">
        <v>131859.20000000001</v>
      </c>
      <c r="Q13">
        <f t="shared" si="7"/>
        <v>18.711852337009681</v>
      </c>
      <c r="R13">
        <v>11195.42</v>
      </c>
      <c r="S13">
        <f t="shared" si="8"/>
        <v>5.4523252967342062</v>
      </c>
      <c r="T13">
        <v>3976.64</v>
      </c>
      <c r="U13">
        <f t="shared" si="9"/>
        <v>3.249523646862035</v>
      </c>
      <c r="V13">
        <v>240</v>
      </c>
      <c r="W13">
        <f t="shared" si="10"/>
        <v>0.79830193914925518</v>
      </c>
      <c r="X13" s="22"/>
      <c r="Y13">
        <v>1.21698494418756E-5</v>
      </c>
      <c r="Z13">
        <v>7.0988714131646159E-7</v>
      </c>
      <c r="AA13">
        <v>1.20887260979357E-5</v>
      </c>
      <c r="AB13">
        <v>5.9675977515360152E-7</v>
      </c>
      <c r="AC13">
        <v>1.2362387284852199E-5</v>
      </c>
      <c r="AD13">
        <v>6.523916924083579E-7</v>
      </c>
      <c r="AE13">
        <v>1.4377897002939801E-5</v>
      </c>
      <c r="AF13">
        <v>5.3927227825833837E-7</v>
      </c>
      <c r="AG13">
        <v>1.4201690693406599E-5</v>
      </c>
      <c r="AH13">
        <v>4.7901764338411889E-7</v>
      </c>
      <c r="AJ13" s="43"/>
      <c r="AK13" s="1" t="s">
        <v>21</v>
      </c>
      <c r="AM13" t="s">
        <v>156</v>
      </c>
      <c r="AN13" t="s">
        <v>157</v>
      </c>
      <c r="AO13" s="17" t="s">
        <v>159</v>
      </c>
      <c r="AP13" t="s">
        <v>160</v>
      </c>
      <c r="AQ13" t="s">
        <v>161</v>
      </c>
      <c r="AR13" t="s">
        <v>162</v>
      </c>
      <c r="AS13" t="s">
        <v>163</v>
      </c>
      <c r="AT13">
        <f t="shared" si="11"/>
        <v>1.309733607909918E-5</v>
      </c>
      <c r="AU13" s="23"/>
      <c r="AV13">
        <f t="shared" si="12"/>
        <v>1.0899341140142686E-2</v>
      </c>
      <c r="AW13">
        <f t="shared" si="13"/>
        <v>9.0530620778793425E-4</v>
      </c>
      <c r="AX13" s="21">
        <f t="shared" si="14"/>
        <v>8.3060636064840404E-2</v>
      </c>
      <c r="AY13">
        <f t="shared" si="15"/>
        <v>1.8647464501921085</v>
      </c>
      <c r="AZ13">
        <f t="shared" si="16"/>
        <v>9.2888511822151368E-2</v>
      </c>
      <c r="BA13" s="21">
        <f t="shared" si="17"/>
        <v>4.9812944710301968E-2</v>
      </c>
      <c r="BB13">
        <f t="shared" si="18"/>
        <v>646.17949700717486</v>
      </c>
      <c r="BC13">
        <f t="shared" si="19"/>
        <v>34.249000450661647</v>
      </c>
      <c r="BD13" s="21">
        <f t="shared" si="20"/>
        <v>5.3002301387289862E-2</v>
      </c>
      <c r="BE13">
        <f t="shared" si="21"/>
        <v>235.82418851906399</v>
      </c>
      <c r="BF13">
        <f t="shared" si="22"/>
        <v>8.9210949724729129</v>
      </c>
      <c r="BG13" s="21">
        <f t="shared" si="23"/>
        <v>3.7829431444229192E-2</v>
      </c>
      <c r="BH13">
        <f t="shared" si="24"/>
        <v>19.777117081119062</v>
      </c>
      <c r="BI13">
        <f t="shared" si="25"/>
        <v>0.67422063689989187</v>
      </c>
      <c r="BJ13" s="21">
        <f t="shared" si="26"/>
        <v>3.4090946326224711E-2</v>
      </c>
      <c r="BK13">
        <f t="shared" si="27"/>
        <v>6.4702957113539608</v>
      </c>
      <c r="BL13">
        <f t="shared" si="28"/>
        <v>6.0334416498351737E-2</v>
      </c>
      <c r="BM13" s="21">
        <f t="shared" si="29"/>
        <v>9.3248313817370001E-3</v>
      </c>
      <c r="BN13">
        <f t="shared" si="30"/>
        <v>0.39120391625615764</v>
      </c>
      <c r="BO13">
        <f t="shared" si="31"/>
        <v>6.4122452804498678E-3</v>
      </c>
      <c r="BP13" s="21">
        <f t="shared" si="32"/>
        <v>1.6391055953159664E-2</v>
      </c>
    </row>
    <row r="14" spans="2:68" x14ac:dyDescent="0.25">
      <c r="B14" s="10" t="s">
        <v>22</v>
      </c>
      <c r="C14" s="4">
        <v>3.2599999999999997E-2</v>
      </c>
      <c r="D14" s="4">
        <v>4.9707999999999997</v>
      </c>
      <c r="E14" s="4">
        <v>152.47852760736197</v>
      </c>
      <c r="F14" s="18">
        <f t="shared" si="3"/>
        <v>0.93547120688552143</v>
      </c>
      <c r="G14" s="19">
        <f t="shared" si="4"/>
        <v>6.1351012602534798E-3</v>
      </c>
      <c r="H14" s="23"/>
      <c r="I14" s="1" t="s">
        <v>22</v>
      </c>
      <c r="J14">
        <v>0</v>
      </c>
      <c r="K14">
        <f t="shared" si="33"/>
        <v>0</v>
      </c>
      <c r="L14">
        <v>67.2</v>
      </c>
      <c r="M14">
        <f t="shared" si="5"/>
        <v>1.2961481396815722</v>
      </c>
      <c r="N14">
        <v>24389.42</v>
      </c>
      <c r="O14">
        <f t="shared" si="6"/>
        <v>24.69282284389535</v>
      </c>
      <c r="P14">
        <v>6979.5999999999995</v>
      </c>
      <c r="Q14">
        <f t="shared" si="7"/>
        <v>4.3050364246575672</v>
      </c>
      <c r="R14">
        <v>598.4</v>
      </c>
      <c r="S14">
        <f t="shared" si="8"/>
        <v>1.2605421023842571</v>
      </c>
      <c r="T14">
        <v>177.6</v>
      </c>
      <c r="U14">
        <f t="shared" si="9"/>
        <v>0.68672529418727635</v>
      </c>
      <c r="V14">
        <v>15.2</v>
      </c>
      <c r="W14">
        <f t="shared" si="10"/>
        <v>0.20090158233108205</v>
      </c>
      <c r="X14" s="22"/>
      <c r="Y14">
        <v>1.21471504663283E-5</v>
      </c>
      <c r="Z14">
        <v>7.0988714131646159E-7</v>
      </c>
      <c r="AA14">
        <v>1.2031802525154199E-5</v>
      </c>
      <c r="AB14">
        <v>5.9675977515360152E-7</v>
      </c>
      <c r="AC14">
        <v>1.22999155263746E-5</v>
      </c>
      <c r="AD14">
        <v>6.523916924083579E-7</v>
      </c>
      <c r="AE14">
        <v>1.4226622729765E-5</v>
      </c>
      <c r="AF14">
        <v>5.3927227825833837E-7</v>
      </c>
      <c r="AG14">
        <v>1.4070084917084101E-5</v>
      </c>
      <c r="AH14">
        <v>4.7901764338411889E-7</v>
      </c>
      <c r="AJ14" s="43"/>
      <c r="AK14" s="1" t="s">
        <v>22</v>
      </c>
      <c r="AM14" t="s">
        <v>41</v>
      </c>
      <c r="AN14" t="s">
        <v>118</v>
      </c>
      <c r="AO14" s="17" t="s">
        <v>164</v>
      </c>
      <c r="AP14" t="s">
        <v>165</v>
      </c>
      <c r="AQ14" t="s">
        <v>129</v>
      </c>
      <c r="AR14" t="s">
        <v>166</v>
      </c>
      <c r="AS14" t="s">
        <v>167</v>
      </c>
      <c r="AT14">
        <f t="shared" si="11"/>
        <v>1.2944014094946064E-5</v>
      </c>
      <c r="AU14" s="23"/>
      <c r="AV14">
        <f t="shared" si="12"/>
        <v>0</v>
      </c>
      <c r="AW14">
        <f t="shared" si="13"/>
        <v>0</v>
      </c>
      <c r="AX14" s="21" t="e">
        <f t="shared" si="14"/>
        <v>#DIV/0!</v>
      </c>
      <c r="AY14">
        <f t="shared" si="15"/>
        <v>0.1232845510510691</v>
      </c>
      <c r="AZ14">
        <f t="shared" si="16"/>
        <v>6.6042763289752013E-3</v>
      </c>
      <c r="BA14" s="21">
        <f t="shared" si="17"/>
        <v>5.3569374854108537E-2</v>
      </c>
      <c r="BB14">
        <f t="shared" si="18"/>
        <v>45.741698918982443</v>
      </c>
      <c r="BC14">
        <f t="shared" si="19"/>
        <v>2.4427703637540246</v>
      </c>
      <c r="BD14" s="21">
        <f t="shared" si="20"/>
        <v>5.3403577512078242E-2</v>
      </c>
      <c r="BE14">
        <f t="shared" si="21"/>
        <v>15.140528615092107</v>
      </c>
      <c r="BF14">
        <f t="shared" si="22"/>
        <v>0.58145812909517836</v>
      </c>
      <c r="BG14" s="21">
        <f t="shared" si="23"/>
        <v>3.8404083759372827E-2</v>
      </c>
      <c r="BH14">
        <f t="shared" si="24"/>
        <v>1.2837988815501729</v>
      </c>
      <c r="BI14">
        <f t="shared" si="25"/>
        <v>4.4493340693334917E-2</v>
      </c>
      <c r="BJ14" s="21">
        <f t="shared" si="26"/>
        <v>3.4657563059729189E-2</v>
      </c>
      <c r="BK14">
        <f t="shared" si="27"/>
        <v>0.35422316570816442</v>
      </c>
      <c r="BL14">
        <f t="shared" si="28"/>
        <v>3.7921312684837684E-3</v>
      </c>
      <c r="BM14" s="21">
        <f t="shared" si="29"/>
        <v>1.070548635886793E-2</v>
      </c>
      <c r="BN14">
        <f t="shared" si="30"/>
        <v>3.0371181390593048E-2</v>
      </c>
      <c r="BO14">
        <f t="shared" si="31"/>
        <v>6.4116196789911276E-4</v>
      </c>
      <c r="BP14" s="21">
        <f t="shared" si="32"/>
        <v>2.1110866898898496E-2</v>
      </c>
    </row>
    <row r="15" spans="2:68" x14ac:dyDescent="0.25">
      <c r="B15" s="10" t="s">
        <v>23</v>
      </c>
      <c r="C15" s="4">
        <v>3.2399999999999998E-2</v>
      </c>
      <c r="D15" s="4">
        <v>5.0772000000000004</v>
      </c>
      <c r="E15" s="4">
        <v>156.70370370370372</v>
      </c>
      <c r="F15" s="18">
        <f t="shared" si="3"/>
        <v>0.96732650868068526</v>
      </c>
      <c r="G15" s="19">
        <f t="shared" si="4"/>
        <v>6.1729651936607184E-3</v>
      </c>
      <c r="H15" s="23"/>
      <c r="I15" s="1" t="s">
        <v>23</v>
      </c>
      <c r="J15">
        <v>0</v>
      </c>
      <c r="K15">
        <f t="shared" si="33"/>
        <v>0</v>
      </c>
      <c r="L15">
        <v>28.8</v>
      </c>
      <c r="M15">
        <f t="shared" si="5"/>
        <v>0.84852813742385702</v>
      </c>
      <c r="N15">
        <v>9222.619999999999</v>
      </c>
      <c r="O15">
        <f t="shared" si="6"/>
        <v>15.184383425085128</v>
      </c>
      <c r="P15">
        <v>2596.2999999999997</v>
      </c>
      <c r="Q15">
        <f t="shared" si="7"/>
        <v>2.6256630952804221</v>
      </c>
      <c r="R15">
        <v>252</v>
      </c>
      <c r="S15">
        <f t="shared" si="8"/>
        <v>0.81801606668324944</v>
      </c>
      <c r="T15">
        <v>76</v>
      </c>
      <c r="U15">
        <f t="shared" si="9"/>
        <v>0.44922959487957015</v>
      </c>
      <c r="V15">
        <v>8</v>
      </c>
      <c r="W15">
        <f t="shared" si="10"/>
        <v>0.14574932659072118</v>
      </c>
      <c r="X15" s="22"/>
      <c r="Y15">
        <v>1.21244938284857E-5</v>
      </c>
      <c r="Z15">
        <v>7.0988714131646159E-7</v>
      </c>
      <c r="AA15">
        <v>1.19751469949367E-5</v>
      </c>
      <c r="AB15">
        <v>5.9675977515360152E-7</v>
      </c>
      <c r="AC15">
        <v>1.22377594610165E-5</v>
      </c>
      <c r="AD15">
        <v>6.523916924083579E-7</v>
      </c>
      <c r="AE15">
        <v>1.40769400597098E-5</v>
      </c>
      <c r="AF15">
        <v>5.3927227825833837E-7</v>
      </c>
      <c r="AG15">
        <v>1.3939698719524E-5</v>
      </c>
      <c r="AH15">
        <v>4.7901764338411889E-7</v>
      </c>
      <c r="AJ15" s="43"/>
      <c r="AK15" s="1" t="s">
        <v>23</v>
      </c>
      <c r="AM15" t="s">
        <v>41</v>
      </c>
      <c r="AN15" t="s">
        <v>168</v>
      </c>
      <c r="AO15" s="17" t="s">
        <v>169</v>
      </c>
      <c r="AP15" t="s">
        <v>170</v>
      </c>
      <c r="AQ15" t="s">
        <v>171</v>
      </c>
      <c r="AR15" t="s">
        <v>172</v>
      </c>
      <c r="AS15" t="s">
        <v>173</v>
      </c>
      <c r="AT15">
        <f t="shared" si="11"/>
        <v>1.276294020326164E-5</v>
      </c>
      <c r="AU15" s="23"/>
      <c r="AV15">
        <f t="shared" si="12"/>
        <v>0</v>
      </c>
      <c r="AW15">
        <f t="shared" si="13"/>
        <v>0</v>
      </c>
      <c r="AX15" s="21" t="e">
        <f t="shared" si="14"/>
        <v>#DIV/0!</v>
      </c>
      <c r="AY15">
        <f t="shared" si="15"/>
        <v>5.4044636731282326E-2</v>
      </c>
      <c r="AZ15">
        <f t="shared" si="16"/>
        <v>3.1464506594703384E-3</v>
      </c>
      <c r="BA15" s="21">
        <f t="shared" si="17"/>
        <v>5.8219480225483643E-2</v>
      </c>
      <c r="BB15">
        <f t="shared" si="18"/>
        <v>17.686238964203081</v>
      </c>
      <c r="BC15">
        <f t="shared" si="19"/>
        <v>0.94959521677560721</v>
      </c>
      <c r="BD15" s="21">
        <f t="shared" si="20"/>
        <v>5.3691190009226175E-2</v>
      </c>
      <c r="BE15">
        <f t="shared" si="21"/>
        <v>5.7272006128626254</v>
      </c>
      <c r="BF15">
        <f t="shared" si="22"/>
        <v>0.22230843834526876</v>
      </c>
      <c r="BG15" s="21">
        <f t="shared" si="23"/>
        <v>3.8816247827252619E-2</v>
      </c>
      <c r="BH15">
        <f t="shared" si="24"/>
        <v>0.5504694093015231</v>
      </c>
      <c r="BI15">
        <f t="shared" si="25"/>
        <v>1.93017586441772E-2</v>
      </c>
      <c r="BJ15" s="21">
        <f t="shared" si="26"/>
        <v>3.5064180348674999E-2</v>
      </c>
      <c r="BK15">
        <f t="shared" si="27"/>
        <v>0.15578231825823174</v>
      </c>
      <c r="BL15">
        <f t="shared" si="28"/>
        <v>1.8104362139518275E-3</v>
      </c>
      <c r="BM15" s="21">
        <f t="shared" si="29"/>
        <v>1.1621577045417743E-2</v>
      </c>
      <c r="BN15">
        <f t="shared" si="30"/>
        <v>1.6427771604938274E-2</v>
      </c>
      <c r="BO15">
        <f t="shared" si="31"/>
        <v>4.035216824380497E-4</v>
      </c>
      <c r="BP15" s="21">
        <f t="shared" si="32"/>
        <v>2.45633852321607E-2</v>
      </c>
    </row>
    <row r="16" spans="2:68" x14ac:dyDescent="0.25">
      <c r="B16" s="10" t="s">
        <v>24</v>
      </c>
      <c r="C16" s="4">
        <v>6.7900000000000002E-2</v>
      </c>
      <c r="D16" s="4">
        <v>4.9969000000000001</v>
      </c>
      <c r="E16" s="4">
        <v>73.592047128129607</v>
      </c>
      <c r="F16" s="18">
        <f t="shared" si="3"/>
        <v>0.21678598240630462</v>
      </c>
      <c r="G16" s="19">
        <f t="shared" si="4"/>
        <v>2.9457800246929259E-3</v>
      </c>
      <c r="H16" s="23"/>
      <c r="I16" s="1" t="s">
        <v>24</v>
      </c>
      <c r="J16">
        <v>0.8</v>
      </c>
      <c r="K16">
        <f t="shared" si="33"/>
        <v>0.1414213562373095</v>
      </c>
      <c r="L16">
        <v>392.8</v>
      </c>
      <c r="M16">
        <f t="shared" si="5"/>
        <v>3.1336879231984796</v>
      </c>
      <c r="N16">
        <v>137967.40000000002</v>
      </c>
      <c r="O16">
        <f t="shared" si="6"/>
        <v>58.729762471850677</v>
      </c>
      <c r="P16">
        <v>43590.559999999998</v>
      </c>
      <c r="Q16">
        <f t="shared" si="7"/>
        <v>10.758650204224855</v>
      </c>
      <c r="R16">
        <v>3601.3199999999997</v>
      </c>
      <c r="S16">
        <f t="shared" si="8"/>
        <v>3.0923768954746103</v>
      </c>
      <c r="T16">
        <v>1328.8999999999999</v>
      </c>
      <c r="U16">
        <f t="shared" si="9"/>
        <v>1.8784849245925213</v>
      </c>
      <c r="V16">
        <v>86.4</v>
      </c>
      <c r="W16">
        <f t="shared" si="10"/>
        <v>0.47898116348955316</v>
      </c>
      <c r="X16" s="22"/>
      <c r="Y16">
        <v>1.21018794493802E-5</v>
      </c>
      <c r="Z16">
        <v>7.0988714131646159E-7</v>
      </c>
      <c r="AA16">
        <v>1.19187582451203E-5</v>
      </c>
      <c r="AB16">
        <v>5.9675977515360152E-7</v>
      </c>
      <c r="AC16">
        <v>1.2175917493462701E-5</v>
      </c>
      <c r="AD16">
        <v>6.523916924083579E-7</v>
      </c>
      <c r="AE16">
        <v>1.3928832247028699E-5</v>
      </c>
      <c r="AF16">
        <v>5.3927227825833837E-7</v>
      </c>
      <c r="AG16">
        <v>1.3810520799000999E-5</v>
      </c>
      <c r="AH16">
        <v>4.7901764338411889E-7</v>
      </c>
      <c r="AJ16" s="43"/>
      <c r="AK16" s="1" t="s">
        <v>24</v>
      </c>
      <c r="AM16" t="s">
        <v>41</v>
      </c>
      <c r="AN16" t="s">
        <v>174</v>
      </c>
      <c r="AO16" s="17" t="s">
        <v>175</v>
      </c>
      <c r="AP16" t="s">
        <v>176</v>
      </c>
      <c r="AQ16" t="s">
        <v>177</v>
      </c>
      <c r="AR16" t="s">
        <v>178</v>
      </c>
      <c r="AS16" t="s">
        <v>179</v>
      </c>
      <c r="AT16">
        <f t="shared" si="11"/>
        <v>1.3100877173477185E-5</v>
      </c>
      <c r="AU16" s="23"/>
      <c r="AV16">
        <f t="shared" si="12"/>
        <v>7.1248166622218478E-4</v>
      </c>
      <c r="AW16">
        <f t="shared" si="13"/>
        <v>1.3271983508977077E-4</v>
      </c>
      <c r="AX16" s="21">
        <f t="shared" si="14"/>
        <v>0.1862782459982382</v>
      </c>
      <c r="AY16">
        <f t="shared" si="15"/>
        <v>0.34453502150038817</v>
      </c>
      <c r="AZ16">
        <f t="shared" si="16"/>
        <v>1.7497575076511642E-2</v>
      </c>
      <c r="BA16" s="21">
        <f t="shared" si="17"/>
        <v>5.0786056524276819E-2</v>
      </c>
      <c r="BB16">
        <f t="shared" si="18"/>
        <v>123.62578452035861</v>
      </c>
      <c r="BC16">
        <f t="shared" si="19"/>
        <v>6.6341428581210007</v>
      </c>
      <c r="BD16" s="21">
        <f t="shared" si="20"/>
        <v>5.3663100168464407E-2</v>
      </c>
      <c r="BE16">
        <f t="shared" si="21"/>
        <v>44.682559287437925</v>
      </c>
      <c r="BF16">
        <f t="shared" si="22"/>
        <v>1.7349768009347728</v>
      </c>
      <c r="BG16" s="21">
        <f t="shared" si="23"/>
        <v>3.882894866817857E-2</v>
      </c>
      <c r="BH16">
        <f t="shared" si="24"/>
        <v>3.6601817657514495</v>
      </c>
      <c r="BI16">
        <f t="shared" si="25"/>
        <v>0.12744912765717545</v>
      </c>
      <c r="BJ16" s="21">
        <f t="shared" si="26"/>
        <v>3.4820436747083149E-2</v>
      </c>
      <c r="BK16">
        <f t="shared" si="27"/>
        <v>1.2792295836143006</v>
      </c>
      <c r="BL16">
        <f t="shared" si="28"/>
        <v>1.0906691596086655E-2</v>
      </c>
      <c r="BM16" s="21">
        <f t="shared" si="29"/>
        <v>8.5259844955048528E-3</v>
      </c>
      <c r="BN16">
        <f t="shared" si="30"/>
        <v>8.3320915758468353E-2</v>
      </c>
      <c r="BO16">
        <f t="shared" si="31"/>
        <v>1.3760457277105353E-3</v>
      </c>
      <c r="BP16" s="21">
        <f t="shared" si="32"/>
        <v>1.6515009648950963E-2</v>
      </c>
    </row>
    <row r="17" spans="2:68" ht="30" x14ac:dyDescent="0.25">
      <c r="B17" s="10" t="s">
        <v>25</v>
      </c>
      <c r="C17" s="6" t="s">
        <v>26</v>
      </c>
      <c r="D17" s="4">
        <v>5.5175000000000001</v>
      </c>
      <c r="E17" s="6" t="s">
        <v>26</v>
      </c>
      <c r="F17" s="18"/>
      <c r="G17" s="20"/>
      <c r="H17" s="23"/>
      <c r="I17" s="1" t="s">
        <v>25</v>
      </c>
      <c r="J17">
        <v>0</v>
      </c>
      <c r="K17">
        <f t="shared" si="33"/>
        <v>0</v>
      </c>
      <c r="L17">
        <v>0.8</v>
      </c>
      <c r="M17">
        <f t="shared" si="5"/>
        <v>0.1414213562373095</v>
      </c>
      <c r="N17">
        <v>66.400000000000006</v>
      </c>
      <c r="O17">
        <f t="shared" si="6"/>
        <v>1.2884098726725126</v>
      </c>
      <c r="P17">
        <v>24</v>
      </c>
      <c r="Q17">
        <f t="shared" si="7"/>
        <v>0.25244523882407865</v>
      </c>
      <c r="R17">
        <v>7.1999999999999993</v>
      </c>
      <c r="S17">
        <f t="shared" si="8"/>
        <v>0.13826995183872681</v>
      </c>
      <c r="T17">
        <v>0</v>
      </c>
      <c r="U17">
        <f t="shared" si="9"/>
        <v>0</v>
      </c>
      <c r="V17">
        <v>0</v>
      </c>
      <c r="W17">
        <f t="shared" si="10"/>
        <v>0</v>
      </c>
      <c r="X17" s="22"/>
      <c r="Y17">
        <v>1.20793072501917E-5</v>
      </c>
      <c r="Z17">
        <v>7.0988714131646159E-7</v>
      </c>
      <c r="AA17">
        <v>1.18626350194856E-5</v>
      </c>
      <c r="AB17">
        <v>5.9675977515360152E-7</v>
      </c>
      <c r="AC17">
        <v>1.2114388036459901E-5</v>
      </c>
      <c r="AD17">
        <v>6.523916924083579E-7</v>
      </c>
      <c r="AE17">
        <v>1.37822827221633E-5</v>
      </c>
      <c r="AF17">
        <v>5.3927227825833837E-7</v>
      </c>
      <c r="AG17">
        <v>1.3682539958521601E-5</v>
      </c>
      <c r="AH17">
        <v>4.7901764338411889E-7</v>
      </c>
      <c r="AJ17" s="43"/>
      <c r="AK17" s="11" t="s">
        <v>25</v>
      </c>
      <c r="AL17" s="12"/>
      <c r="AM17" s="12" t="s">
        <v>41</v>
      </c>
      <c r="AN17" s="12" t="s">
        <v>41</v>
      </c>
      <c r="AO17" s="17" t="s">
        <v>199</v>
      </c>
      <c r="AP17" s="12" t="s">
        <v>200</v>
      </c>
      <c r="AQ17" s="12" t="s">
        <v>201</v>
      </c>
      <c r="AR17" s="12" t="s">
        <v>41</v>
      </c>
      <c r="AS17" s="12" t="s">
        <v>41</v>
      </c>
      <c r="AU17" s="23"/>
      <c r="AV17" t="e">
        <f t="shared" si="12"/>
        <v>#VALUE!</v>
      </c>
      <c r="AW17" t="e">
        <f t="shared" si="13"/>
        <v>#VALUE!</v>
      </c>
      <c r="AX17" s="21" t="e">
        <f t="shared" si="14"/>
        <v>#VALUE!</v>
      </c>
      <c r="AY17" t="e">
        <f t="shared" si="15"/>
        <v>#VALUE!</v>
      </c>
      <c r="AZ17" t="e">
        <f t="shared" si="16"/>
        <v>#VALUE!</v>
      </c>
      <c r="BA17" s="21" t="e">
        <f t="shared" si="17"/>
        <v>#VALUE!</v>
      </c>
      <c r="BB17" t="e">
        <f t="shared" si="18"/>
        <v>#VALUE!</v>
      </c>
      <c r="BC17" t="e">
        <f t="shared" si="19"/>
        <v>#VALUE!</v>
      </c>
      <c r="BD17" s="21" t="e">
        <f t="shared" si="20"/>
        <v>#VALUE!</v>
      </c>
      <c r="BE17" t="e">
        <f t="shared" si="21"/>
        <v>#VALUE!</v>
      </c>
      <c r="BF17" t="e">
        <f t="shared" si="22"/>
        <v>#VALUE!</v>
      </c>
      <c r="BG17" s="21" t="e">
        <f t="shared" si="23"/>
        <v>#VALUE!</v>
      </c>
      <c r="BH17" t="e">
        <f t="shared" si="24"/>
        <v>#VALUE!</v>
      </c>
      <c r="BI17" t="e">
        <f t="shared" si="25"/>
        <v>#VALUE!</v>
      </c>
      <c r="BJ17" s="21" t="e">
        <f t="shared" si="26"/>
        <v>#VALUE!</v>
      </c>
      <c r="BK17" t="e">
        <f t="shared" si="27"/>
        <v>#VALUE!</v>
      </c>
      <c r="BL17" t="e">
        <f t="shared" si="28"/>
        <v>#VALUE!</v>
      </c>
      <c r="BM17" s="21" t="e">
        <f t="shared" si="29"/>
        <v>#VALUE!</v>
      </c>
      <c r="BN17" t="e">
        <f t="shared" si="30"/>
        <v>#VALUE!</v>
      </c>
      <c r="BO17" t="e">
        <f t="shared" si="31"/>
        <v>#VALUE!</v>
      </c>
      <c r="BP17" s="21" t="e">
        <f t="shared" si="32"/>
        <v>#VALUE!</v>
      </c>
    </row>
    <row r="18" spans="2:68" x14ac:dyDescent="0.25">
      <c r="B18" s="10" t="s">
        <v>27</v>
      </c>
      <c r="C18" s="4">
        <v>1.6500000000000001E-2</v>
      </c>
      <c r="D18" s="4">
        <v>4.8581000000000003</v>
      </c>
      <c r="E18" s="4">
        <v>294.43030303030304</v>
      </c>
      <c r="F18" s="18">
        <f t="shared" si="3"/>
        <v>3.5688727420627053</v>
      </c>
      <c r="G18" s="19">
        <f t="shared" si="4"/>
        <v>1.2121282032900648E-2</v>
      </c>
      <c r="H18" s="23"/>
      <c r="I18" s="1" t="s">
        <v>27</v>
      </c>
      <c r="J18">
        <v>0</v>
      </c>
      <c r="K18">
        <f t="shared" si="33"/>
        <v>0</v>
      </c>
      <c r="L18">
        <v>21.6</v>
      </c>
      <c r="M18">
        <f t="shared" si="5"/>
        <v>0.73484692283495345</v>
      </c>
      <c r="N18">
        <v>6611.3400000000011</v>
      </c>
      <c r="O18">
        <f t="shared" si="6"/>
        <v>12.856263065136774</v>
      </c>
      <c r="P18">
        <v>14288.179999999998</v>
      </c>
      <c r="Q18">
        <f t="shared" si="7"/>
        <v>6.1595646762278689</v>
      </c>
      <c r="R18">
        <v>1173.68</v>
      </c>
      <c r="S18">
        <f t="shared" si="8"/>
        <v>1.7653727369719636</v>
      </c>
      <c r="T18">
        <v>412.8</v>
      </c>
      <c r="U18">
        <f t="shared" si="9"/>
        <v>1.0469631779604636</v>
      </c>
      <c r="V18">
        <v>29.6</v>
      </c>
      <c r="W18">
        <f t="shared" si="10"/>
        <v>0.28035442737024896</v>
      </c>
      <c r="X18" s="22"/>
      <c r="Y18">
        <v>1.20567771522468E-5</v>
      </c>
      <c r="Z18">
        <v>7.0988714131646159E-7</v>
      </c>
      <c r="AA18">
        <v>1.18067760677282E-5</v>
      </c>
      <c r="AB18">
        <v>5.9675977515360152E-7</v>
      </c>
      <c r="AC18">
        <v>1.2053169510775501E-5</v>
      </c>
      <c r="AD18">
        <v>6.523916924083579E-7</v>
      </c>
      <c r="AE18">
        <v>1.3637275089888601E-5</v>
      </c>
      <c r="AF18">
        <v>5.3927227825833837E-7</v>
      </c>
      <c r="AG18">
        <v>1.35557451048538E-5</v>
      </c>
      <c r="AH18">
        <v>4.7901764338411889E-7</v>
      </c>
      <c r="AJ18" s="43"/>
      <c r="AK18" s="1" t="s">
        <v>27</v>
      </c>
      <c r="AM18" t="s">
        <v>41</v>
      </c>
      <c r="AN18" t="s">
        <v>180</v>
      </c>
      <c r="AO18" s="17" t="s">
        <v>181</v>
      </c>
      <c r="AP18" t="s">
        <v>182</v>
      </c>
      <c r="AQ18" t="s">
        <v>183</v>
      </c>
      <c r="AR18" t="s">
        <v>184</v>
      </c>
      <c r="AS18" t="s">
        <v>185</v>
      </c>
      <c r="AT18">
        <f t="shared" si="11"/>
        <v>1.3080689425350918E-5</v>
      </c>
      <c r="AU18" s="23"/>
      <c r="AV18">
        <f t="shared" si="12"/>
        <v>0</v>
      </c>
      <c r="AW18">
        <f t="shared" si="13"/>
        <v>0</v>
      </c>
      <c r="AX18" s="21" t="e">
        <f t="shared" si="14"/>
        <v>#DIV/0!</v>
      </c>
      <c r="AY18">
        <f t="shared" si="15"/>
        <v>7.5087489357334308E-2</v>
      </c>
      <c r="AZ18">
        <f t="shared" si="16"/>
        <v>4.6645061730227963E-3</v>
      </c>
      <c r="BA18" s="21">
        <f t="shared" si="17"/>
        <v>6.2120950013721324E-2</v>
      </c>
      <c r="BB18">
        <f t="shared" si="18"/>
        <v>23.462444720225776</v>
      </c>
      <c r="BC18">
        <f t="shared" si="19"/>
        <v>1.3021862392393742</v>
      </c>
      <c r="BD18" s="21">
        <f t="shared" si="20"/>
        <v>5.5500876177529183E-2</v>
      </c>
      <c r="BE18">
        <f t="shared" si="21"/>
        <v>57.37028664871611</v>
      </c>
      <c r="BF18">
        <f t="shared" si="22"/>
        <v>2.3729660740645828</v>
      </c>
      <c r="BG18" s="21">
        <f t="shared" si="23"/>
        <v>4.1362283730504726E-2</v>
      </c>
      <c r="BH18">
        <f t="shared" si="24"/>
        <v>4.6844176001292794</v>
      </c>
      <c r="BI18">
        <f t="shared" si="25"/>
        <v>0.17514225498843616</v>
      </c>
      <c r="BJ18" s="21">
        <f t="shared" si="26"/>
        <v>3.7388266789793172E-2</v>
      </c>
      <c r="BK18">
        <f t="shared" si="27"/>
        <v>1.5898183433300963</v>
      </c>
      <c r="BL18">
        <f t="shared" si="28"/>
        <v>2.3331615307625644E-2</v>
      </c>
      <c r="BM18" s="21">
        <f t="shared" si="29"/>
        <v>1.467564857677659E-2</v>
      </c>
      <c r="BN18">
        <f t="shared" si="30"/>
        <v>0.11420460737373739</v>
      </c>
      <c r="BO18">
        <f t="shared" si="31"/>
        <v>2.4758129655733877E-3</v>
      </c>
      <c r="BP18" s="21">
        <f t="shared" si="32"/>
        <v>2.1678748541827466E-2</v>
      </c>
    </row>
    <row r="19" spans="2:68" x14ac:dyDescent="0.25">
      <c r="B19" s="10" t="s">
        <v>28</v>
      </c>
      <c r="C19" s="4">
        <v>4.0399999999999998E-2</v>
      </c>
      <c r="D19" s="4">
        <v>4.9471999999999996</v>
      </c>
      <c r="E19" s="4">
        <v>122.45544554455445</v>
      </c>
      <c r="F19" s="18">
        <f t="shared" si="3"/>
        <v>0.6062352900703305</v>
      </c>
      <c r="G19" s="19">
        <f t="shared" si="4"/>
        <v>4.9506601145782167E-3</v>
      </c>
      <c r="H19" s="23"/>
      <c r="I19" s="1" t="s">
        <v>28</v>
      </c>
      <c r="J19">
        <v>0</v>
      </c>
      <c r="K19">
        <f t="shared" si="33"/>
        <v>0</v>
      </c>
      <c r="L19">
        <v>8.8000000000000007</v>
      </c>
      <c r="M19">
        <f t="shared" si="5"/>
        <v>0.46904157598234297</v>
      </c>
      <c r="N19">
        <v>2200.1999999999998</v>
      </c>
      <c r="O19">
        <f t="shared" si="6"/>
        <v>7.4165355793658803</v>
      </c>
      <c r="P19">
        <v>4588.04</v>
      </c>
      <c r="Q19">
        <f t="shared" si="7"/>
        <v>3.490399687854751</v>
      </c>
      <c r="R19">
        <v>401.59999999999997</v>
      </c>
      <c r="S19">
        <f t="shared" si="8"/>
        <v>1.0326625215058234</v>
      </c>
      <c r="T19">
        <v>155.19999999999999</v>
      </c>
      <c r="U19">
        <f t="shared" si="9"/>
        <v>0.64195919209244512</v>
      </c>
      <c r="V19">
        <v>4.8</v>
      </c>
      <c r="W19">
        <f t="shared" si="10"/>
        <v>0.11289694292136179</v>
      </c>
      <c r="X19" s="22"/>
      <c r="Y19">
        <v>1.2034289077019201E-5</v>
      </c>
      <c r="Z19">
        <v>7.0988714131646159E-7</v>
      </c>
      <c r="AA19">
        <v>1.17511801454316E-5</v>
      </c>
      <c r="AB19">
        <v>5.9675977515360152E-7</v>
      </c>
      <c r="AC19">
        <v>1.1992260345157401E-5</v>
      </c>
      <c r="AD19">
        <v>6.523916924083579E-7</v>
      </c>
      <c r="AE19">
        <v>1.3493793127478699E-5</v>
      </c>
      <c r="AF19">
        <v>5.3927227825833837E-7</v>
      </c>
      <c r="AG19">
        <v>1.34301252475658E-5</v>
      </c>
      <c r="AH19">
        <v>4.7901764338411889E-7</v>
      </c>
      <c r="AJ19" s="43"/>
      <c r="AK19" s="1" t="s">
        <v>28</v>
      </c>
      <c r="AM19" t="s">
        <v>41</v>
      </c>
      <c r="AN19" t="s">
        <v>186</v>
      </c>
      <c r="AO19" s="17" t="s">
        <v>187</v>
      </c>
      <c r="AP19" t="s">
        <v>188</v>
      </c>
      <c r="AQ19" t="s">
        <v>189</v>
      </c>
      <c r="AR19" t="s">
        <v>190</v>
      </c>
      <c r="AS19" t="s">
        <v>41</v>
      </c>
      <c r="AU19" s="23"/>
      <c r="AV19">
        <f t="shared" si="12"/>
        <v>0</v>
      </c>
      <c r="AW19">
        <f t="shared" si="13"/>
        <v>0</v>
      </c>
      <c r="AX19" s="21" t="e">
        <f t="shared" si="14"/>
        <v>#DIV/0!</v>
      </c>
      <c r="AY19">
        <f t="shared" si="15"/>
        <v>1.266316480337171E-2</v>
      </c>
      <c r="AZ19">
        <f t="shared" si="16"/>
        <v>9.3436032309388451E-4</v>
      </c>
      <c r="BA19" s="21">
        <f t="shared" si="17"/>
        <v>7.3785687669886482E-2</v>
      </c>
      <c r="BB19">
        <f t="shared" si="18"/>
        <v>3.2310323875523221</v>
      </c>
      <c r="BC19">
        <f t="shared" si="19"/>
        <v>0.17683364188951511</v>
      </c>
      <c r="BD19" s="21">
        <f t="shared" si="20"/>
        <v>5.4729764570226408E-2</v>
      </c>
      <c r="BE19">
        <f t="shared" si="21"/>
        <v>7.5812243018965173</v>
      </c>
      <c r="BF19">
        <f t="shared" si="22"/>
        <v>0.30534989843542343</v>
      </c>
      <c r="BG19" s="21">
        <f t="shared" si="23"/>
        <v>4.0277122305830887E-2</v>
      </c>
      <c r="BH19">
        <f t="shared" si="24"/>
        <v>0.66046813551739159</v>
      </c>
      <c r="BI19">
        <f t="shared" si="25"/>
        <v>2.3843580047372446E-2</v>
      </c>
      <c r="BJ19" s="21">
        <f t="shared" si="26"/>
        <v>3.6101030110550415E-2</v>
      </c>
      <c r="BK19">
        <f t="shared" si="27"/>
        <v>0.24859656801468424</v>
      </c>
      <c r="BL19">
        <f t="shared" si="28"/>
        <v>2.5307439765013388E-3</v>
      </c>
      <c r="BM19" s="21">
        <f t="shared" si="29"/>
        <v>1.0180124354539969E-2</v>
      </c>
      <c r="BN19">
        <f t="shared" si="30"/>
        <v>7.7024475247524744E-3</v>
      </c>
      <c r="BO19">
        <f t="shared" si="31"/>
        <v>2.1935662987307178E-4</v>
      </c>
      <c r="BP19" s="21">
        <f t="shared" si="32"/>
        <v>2.8478821721037433E-2</v>
      </c>
    </row>
    <row r="20" spans="2:68" ht="30" x14ac:dyDescent="0.25">
      <c r="B20" s="10" t="s">
        <v>29</v>
      </c>
      <c r="C20" s="6" t="s">
        <v>26</v>
      </c>
      <c r="D20" s="4">
        <v>4.9318</v>
      </c>
      <c r="E20" s="6" t="s">
        <v>26</v>
      </c>
      <c r="F20" s="18"/>
      <c r="G20" s="19"/>
      <c r="H20" s="23"/>
      <c r="I20" s="1" t="s">
        <v>29</v>
      </c>
      <c r="J20">
        <v>0</v>
      </c>
      <c r="K20">
        <f t="shared" si="33"/>
        <v>0</v>
      </c>
      <c r="L20">
        <v>2.4</v>
      </c>
      <c r="M20">
        <f t="shared" si="5"/>
        <v>0.2449489742783178</v>
      </c>
      <c r="N20">
        <v>521.6</v>
      </c>
      <c r="O20">
        <f t="shared" si="6"/>
        <v>3.6110940170535577</v>
      </c>
      <c r="P20">
        <v>1102.4599999999998</v>
      </c>
      <c r="Q20">
        <f t="shared" si="7"/>
        <v>1.7109723212500265</v>
      </c>
      <c r="R20">
        <v>96</v>
      </c>
      <c r="S20">
        <f t="shared" si="8"/>
        <v>0.50489047764815731</v>
      </c>
      <c r="T20">
        <v>37.6</v>
      </c>
      <c r="U20">
        <f t="shared" si="9"/>
        <v>0.31597701047346616</v>
      </c>
      <c r="V20">
        <v>0.8</v>
      </c>
      <c r="W20">
        <f t="shared" si="10"/>
        <v>4.608998394624228E-2</v>
      </c>
      <c r="X20" s="22"/>
      <c r="Y20">
        <v>1.2011842946128899E-5</v>
      </c>
      <c r="Z20">
        <v>7.0988714131646159E-7</v>
      </c>
      <c r="AA20">
        <v>1.16958460140387E-5</v>
      </c>
      <c r="AB20">
        <v>5.9675977515360152E-7</v>
      </c>
      <c r="AC20">
        <v>1.19316589762938E-5</v>
      </c>
      <c r="AD20">
        <v>6.523916924083579E-7</v>
      </c>
      <c r="AE20">
        <v>1.33518207828921E-5</v>
      </c>
      <c r="AF20">
        <v>5.3927227825833837E-7</v>
      </c>
      <c r="AG20">
        <v>1.33056694980729E-5</v>
      </c>
      <c r="AH20">
        <v>4.7901764338411889E-7</v>
      </c>
      <c r="AJ20" s="43"/>
      <c r="AK20" s="11" t="s">
        <v>29</v>
      </c>
      <c r="AL20" s="12"/>
      <c r="AM20" s="12" t="s">
        <v>41</v>
      </c>
      <c r="AN20" s="12" t="s">
        <v>41</v>
      </c>
      <c r="AO20" s="17" t="s">
        <v>202</v>
      </c>
      <c r="AP20" s="12" t="s">
        <v>203</v>
      </c>
      <c r="AQ20" s="12" t="s">
        <v>204</v>
      </c>
      <c r="AR20" s="12" t="s">
        <v>205</v>
      </c>
      <c r="AS20" s="12" t="s">
        <v>41</v>
      </c>
      <c r="AU20" s="23"/>
      <c r="AV20" t="e">
        <f t="shared" si="12"/>
        <v>#VALUE!</v>
      </c>
      <c r="AW20" t="e">
        <f t="shared" si="13"/>
        <v>#VALUE!</v>
      </c>
      <c r="AX20" s="21" t="e">
        <f t="shared" si="14"/>
        <v>#VALUE!</v>
      </c>
      <c r="AY20" t="e">
        <f t="shared" si="15"/>
        <v>#VALUE!</v>
      </c>
      <c r="AZ20" t="e">
        <f t="shared" si="16"/>
        <v>#VALUE!</v>
      </c>
      <c r="BA20" s="21" t="e">
        <f t="shared" si="17"/>
        <v>#VALUE!</v>
      </c>
      <c r="BB20" t="e">
        <f t="shared" si="18"/>
        <v>#VALUE!</v>
      </c>
      <c r="BC20" t="e">
        <f t="shared" si="19"/>
        <v>#VALUE!</v>
      </c>
      <c r="BD20" s="21" t="e">
        <f t="shared" si="20"/>
        <v>#VALUE!</v>
      </c>
      <c r="BE20" t="e">
        <f t="shared" si="21"/>
        <v>#VALUE!</v>
      </c>
      <c r="BF20" t="e">
        <f t="shared" si="22"/>
        <v>#VALUE!</v>
      </c>
      <c r="BG20" s="21" t="e">
        <f t="shared" si="23"/>
        <v>#VALUE!</v>
      </c>
      <c r="BH20" t="e">
        <f t="shared" si="24"/>
        <v>#VALUE!</v>
      </c>
      <c r="BI20" t="e">
        <f t="shared" si="25"/>
        <v>#VALUE!</v>
      </c>
      <c r="BJ20" s="21" t="e">
        <f t="shared" si="26"/>
        <v>#VALUE!</v>
      </c>
      <c r="BK20" t="e">
        <f t="shared" si="27"/>
        <v>#VALUE!</v>
      </c>
      <c r="BL20" t="e">
        <f t="shared" si="28"/>
        <v>#VALUE!</v>
      </c>
      <c r="BM20" s="21" t="e">
        <f t="shared" si="29"/>
        <v>#VALUE!</v>
      </c>
      <c r="BN20" t="e">
        <f t="shared" si="30"/>
        <v>#VALUE!</v>
      </c>
      <c r="BO20" t="e">
        <f t="shared" si="31"/>
        <v>#VALUE!</v>
      </c>
      <c r="BP20" s="21" t="e">
        <f t="shared" si="32"/>
        <v>#VALUE!</v>
      </c>
    </row>
    <row r="21" spans="2:68" x14ac:dyDescent="0.25">
      <c r="B21" s="10" t="s">
        <v>30</v>
      </c>
      <c r="C21" s="4">
        <v>3.6400000000000002E-2</v>
      </c>
      <c r="D21" s="4">
        <v>4.9192</v>
      </c>
      <c r="E21" s="4">
        <v>135.14285714285714</v>
      </c>
      <c r="F21" s="18">
        <f t="shared" si="3"/>
        <v>0.7425634993450424</v>
      </c>
      <c r="G21" s="19">
        <f t="shared" si="4"/>
        <v>5.4946559148153244E-3</v>
      </c>
      <c r="H21" s="23"/>
      <c r="I21" s="1" t="s">
        <v>30</v>
      </c>
      <c r="J21">
        <v>0</v>
      </c>
      <c r="K21">
        <f t="shared" si="33"/>
        <v>0</v>
      </c>
      <c r="L21">
        <v>0</v>
      </c>
      <c r="M21">
        <f t="shared" si="5"/>
        <v>0</v>
      </c>
      <c r="N21">
        <v>254.4</v>
      </c>
      <c r="O21">
        <f t="shared" si="6"/>
        <v>2.5219040425836985</v>
      </c>
      <c r="P21">
        <v>514.4</v>
      </c>
      <c r="Q21">
        <f t="shared" si="7"/>
        <v>1.1687242175834349</v>
      </c>
      <c r="R21">
        <v>47.2</v>
      </c>
      <c r="S21">
        <f t="shared" si="8"/>
        <v>0.35402388420801129</v>
      </c>
      <c r="T21">
        <v>19.2</v>
      </c>
      <c r="U21">
        <f t="shared" si="9"/>
        <v>0.22579388584272359</v>
      </c>
      <c r="V21">
        <v>1.6</v>
      </c>
      <c r="W21">
        <f t="shared" si="10"/>
        <v>6.518108038633405E-2</v>
      </c>
      <c r="X21" s="22"/>
      <c r="Y21">
        <v>1.19894386813421E-5</v>
      </c>
      <c r="Z21">
        <v>7.0988714131646159E-7</v>
      </c>
      <c r="AA21">
        <v>1.16407724408245E-5</v>
      </c>
      <c r="AB21">
        <v>5.9675977515360152E-7</v>
      </c>
      <c r="AC21">
        <v>1.18713638487727E-5</v>
      </c>
      <c r="AD21">
        <v>6.523916924083579E-7</v>
      </c>
      <c r="AE21">
        <v>1.32113421729758E-5</v>
      </c>
      <c r="AF21">
        <v>5.3927227825833837E-7</v>
      </c>
      <c r="AG21">
        <v>1.31823670686939E-5</v>
      </c>
      <c r="AH21">
        <v>4.7901764338411889E-7</v>
      </c>
      <c r="AJ21" s="43"/>
      <c r="AK21" s="1" t="s">
        <v>30</v>
      </c>
      <c r="AM21" t="s">
        <v>41</v>
      </c>
      <c r="AN21" t="s">
        <v>41</v>
      </c>
      <c r="AO21" s="17" t="s">
        <v>191</v>
      </c>
      <c r="AP21" t="s">
        <v>192</v>
      </c>
      <c r="AQ21" t="s">
        <v>193</v>
      </c>
      <c r="AR21" t="s">
        <v>194</v>
      </c>
      <c r="AS21" t="s">
        <v>41</v>
      </c>
      <c r="AU21" s="23"/>
      <c r="AV21">
        <f t="shared" si="12"/>
        <v>0</v>
      </c>
      <c r="AW21">
        <f t="shared" si="13"/>
        <v>0</v>
      </c>
      <c r="AX21" s="21" t="e">
        <f t="shared" si="14"/>
        <v>#DIV/0!</v>
      </c>
      <c r="AY21">
        <f t="shared" si="15"/>
        <v>0</v>
      </c>
      <c r="AZ21">
        <f t="shared" si="16"/>
        <v>0</v>
      </c>
      <c r="BA21" s="21" t="e">
        <f t="shared" si="17"/>
        <v>#DIV/0!</v>
      </c>
      <c r="BB21">
        <f t="shared" si="18"/>
        <v>0.40814155930269647</v>
      </c>
      <c r="BC21">
        <f t="shared" si="19"/>
        <v>2.2901513428710284E-2</v>
      </c>
      <c r="BD21" s="21">
        <f t="shared" si="20"/>
        <v>5.6111691903753112E-2</v>
      </c>
      <c r="BE21">
        <f t="shared" si="21"/>
        <v>0.9184192907763854</v>
      </c>
      <c r="BF21">
        <f t="shared" si="22"/>
        <v>3.7884487355358383E-2</v>
      </c>
      <c r="BG21" s="21">
        <f t="shared" si="23"/>
        <v>4.1249664217454261E-2</v>
      </c>
      <c r="BH21">
        <f t="shared" si="24"/>
        <v>8.4086929779666447E-2</v>
      </c>
      <c r="BI21">
        <f t="shared" si="25"/>
        <v>3.1539676588256092E-3</v>
      </c>
      <c r="BJ21" s="21">
        <f t="shared" si="26"/>
        <v>3.7508417385317461E-2</v>
      </c>
      <c r="BK21">
        <f t="shared" si="27"/>
        <v>3.3940609269868874E-2</v>
      </c>
      <c r="BL21">
        <f t="shared" si="28"/>
        <v>5.1530271521341164E-4</v>
      </c>
      <c r="BM21" s="21">
        <f t="shared" si="29"/>
        <v>1.5182482763233038E-2</v>
      </c>
      <c r="BN21">
        <f t="shared" si="30"/>
        <v>2.8334952380952385E-3</v>
      </c>
      <c r="BO21">
        <f t="shared" si="31"/>
        <v>1.2425853202818174E-4</v>
      </c>
      <c r="BP21" s="21">
        <f t="shared" si="32"/>
        <v>4.3853446569302193E-2</v>
      </c>
    </row>
    <row r="22" spans="2:68" s="28" customFormat="1" ht="30" x14ac:dyDescent="0.25">
      <c r="B22" s="49" t="s">
        <v>10</v>
      </c>
      <c r="C22" s="49">
        <v>1.21E-2</v>
      </c>
      <c r="D22" s="49">
        <v>4.9885000000000002</v>
      </c>
      <c r="E22" s="49">
        <v>412.27272727272731</v>
      </c>
      <c r="F22" s="50">
        <f t="shared" si="3"/>
        <v>6.8144452902538699</v>
      </c>
      <c r="G22" s="51">
        <f t="shared" si="4"/>
        <v>1.6528974243173664E-2</v>
      </c>
      <c r="H22" s="52"/>
      <c r="I22" s="53" t="s">
        <v>10</v>
      </c>
      <c r="J22" s="28">
        <v>209.6</v>
      </c>
      <c r="K22" s="28">
        <f t="shared" si="33"/>
        <v>2.2891046284519194</v>
      </c>
      <c r="L22" s="28">
        <v>41071.4</v>
      </c>
      <c r="M22" s="28">
        <f t="shared" si="5"/>
        <v>32.043486077516597</v>
      </c>
      <c r="N22" s="28">
        <v>14014068.699999999</v>
      </c>
      <c r="O22" s="28">
        <f t="shared" si="6"/>
        <v>591.90515921049371</v>
      </c>
      <c r="P22" s="28">
        <v>1495020.14</v>
      </c>
      <c r="Q22" s="28">
        <f t="shared" si="7"/>
        <v>63.006460782595653</v>
      </c>
      <c r="R22" s="28">
        <v>123962.2</v>
      </c>
      <c r="S22" s="28">
        <f t="shared" si="8"/>
        <v>18.142878867003223</v>
      </c>
      <c r="T22" s="28">
        <v>44849.94</v>
      </c>
      <c r="U22" s="28">
        <f t="shared" si="9"/>
        <v>10.912958321257191</v>
      </c>
      <c r="V22" s="28">
        <v>2753.1</v>
      </c>
      <c r="W22" s="28">
        <f t="shared" si="10"/>
        <v>2.7037875041263657</v>
      </c>
      <c r="X22" s="54"/>
      <c r="Y22" s="28">
        <v>1.19670762045709E-5</v>
      </c>
      <c r="Z22" s="28">
        <v>7.0988714131646159E-7</v>
      </c>
      <c r="AA22" s="28">
        <v>1.15859581988688E-5</v>
      </c>
      <c r="AB22" s="28">
        <v>5.9675977515360152E-7</v>
      </c>
      <c r="AC22" s="28">
        <v>1.18113734150424E-5</v>
      </c>
      <c r="AD22" s="28">
        <v>6.523916924083579E-7</v>
      </c>
      <c r="AE22" s="28">
        <v>1.30723415816881E-5</v>
      </c>
      <c r="AF22" s="28">
        <v>5.3927227825833837E-7</v>
      </c>
      <c r="AG22" s="28">
        <v>1.3060207271716401E-5</v>
      </c>
      <c r="AH22" s="28">
        <v>4.7901764338411889E-7</v>
      </c>
      <c r="AJ22" s="55"/>
      <c r="AK22" s="53" t="s">
        <v>10</v>
      </c>
      <c r="AM22" s="28" t="s">
        <v>81</v>
      </c>
      <c r="AN22" s="28" t="s">
        <v>82</v>
      </c>
      <c r="AO22" s="28" t="s">
        <v>83</v>
      </c>
      <c r="AP22" s="28" t="s">
        <v>84</v>
      </c>
      <c r="AQ22" s="28" t="s">
        <v>85</v>
      </c>
      <c r="AR22" s="28" t="s">
        <v>86</v>
      </c>
      <c r="AS22" s="28" t="s">
        <v>87</v>
      </c>
      <c r="AT22" s="28">
        <f t="shared" si="11"/>
        <v>1.3127428929769737E-5</v>
      </c>
      <c r="AU22" s="52"/>
      <c r="AV22" s="28">
        <f t="shared" si="12"/>
        <v>1.0341033406534552</v>
      </c>
      <c r="AW22" s="28">
        <f t="shared" si="13"/>
        <v>6.4673603306713193E-2</v>
      </c>
      <c r="AX22" s="29">
        <f t="shared" si="14"/>
        <v>6.2540754646286709E-2</v>
      </c>
      <c r="AY22" s="28">
        <f t="shared" si="15"/>
        <v>196.18060539868239</v>
      </c>
      <c r="AZ22" s="28">
        <f t="shared" si="16"/>
        <v>10.613358009255828</v>
      </c>
      <c r="BA22" s="29">
        <f t="shared" si="17"/>
        <v>5.4099935045501243E-2</v>
      </c>
      <c r="BB22" s="28">
        <f t="shared" si="18"/>
        <v>68241.607464154702</v>
      </c>
      <c r="BC22" s="28">
        <f t="shared" si="19"/>
        <v>3934.4260558017477</v>
      </c>
      <c r="BD22" s="29">
        <f t="shared" si="20"/>
        <v>5.7654357832476105E-2</v>
      </c>
      <c r="BE22" s="28">
        <f t="shared" si="21"/>
        <v>8057.216565916332</v>
      </c>
      <c r="BF22" s="28">
        <f t="shared" si="22"/>
        <v>358.07164969805177</v>
      </c>
      <c r="BG22" s="29">
        <f t="shared" si="23"/>
        <v>4.4441110248018875E-2</v>
      </c>
      <c r="BH22" s="28">
        <f t="shared" si="24"/>
        <v>667.45801247871475</v>
      </c>
      <c r="BI22" s="28">
        <f t="shared" si="25"/>
        <v>26.852044379449378</v>
      </c>
      <c r="BJ22" s="29">
        <f t="shared" si="26"/>
        <v>4.0230312435279497E-2</v>
      </c>
      <c r="BK22" s="28">
        <f t="shared" si="27"/>
        <v>241.86430662183159</v>
      </c>
      <c r="BL22" s="28">
        <f t="shared" si="28"/>
        <v>4.4287119548063867</v>
      </c>
      <c r="BM22" s="29">
        <f t="shared" si="29"/>
        <v>1.8310729750342727E-2</v>
      </c>
      <c r="BN22" s="28">
        <f t="shared" si="30"/>
        <v>14.873596678977275</v>
      </c>
      <c r="BO22" s="28">
        <f t="shared" si="31"/>
        <v>0.3350708388991423</v>
      </c>
      <c r="BP22" s="29">
        <f t="shared" si="32"/>
        <v>2.2527895984482359E-2</v>
      </c>
    </row>
    <row r="23" spans="2:68" ht="45" x14ac:dyDescent="0.25">
      <c r="B23" s="4" t="s">
        <v>11</v>
      </c>
      <c r="C23" s="4">
        <v>4.9700000000000001E-2</v>
      </c>
      <c r="D23" s="4">
        <v>4.8765000000000001</v>
      </c>
      <c r="E23" s="4">
        <v>98.118712273641847</v>
      </c>
      <c r="F23" s="18">
        <f t="shared" si="3"/>
        <v>0.39486441854832172</v>
      </c>
      <c r="G23" s="19">
        <f t="shared" si="4"/>
        <v>4.0243538607303581E-3</v>
      </c>
      <c r="H23" s="23"/>
      <c r="I23" s="1" t="s">
        <v>11</v>
      </c>
      <c r="J23">
        <v>82.4</v>
      </c>
      <c r="K23">
        <f t="shared" si="33"/>
        <v>1.4352700094407325</v>
      </c>
      <c r="L23">
        <v>13315.1</v>
      </c>
      <c r="M23">
        <f t="shared" si="5"/>
        <v>18.244930802828495</v>
      </c>
      <c r="N23">
        <v>4667425.1999999993</v>
      </c>
      <c r="O23">
        <f t="shared" si="6"/>
        <v>341.59278388162704</v>
      </c>
      <c r="P23">
        <v>135913.54</v>
      </c>
      <c r="Q23">
        <f t="shared" si="7"/>
        <v>18.997345687004639</v>
      </c>
      <c r="R23">
        <v>11029.64</v>
      </c>
      <c r="S23">
        <f t="shared" si="8"/>
        <v>5.4118061538218534</v>
      </c>
      <c r="T23">
        <v>12483.02</v>
      </c>
      <c r="U23">
        <f t="shared" si="9"/>
        <v>5.7573336238716539</v>
      </c>
      <c r="V23">
        <v>216</v>
      </c>
      <c r="W23">
        <f t="shared" si="10"/>
        <v>0.75733571647223608</v>
      </c>
      <c r="X23" s="22"/>
      <c r="Y23">
        <v>1.1944755437873101E-5</v>
      </c>
      <c r="Z23">
        <v>7.0988714131646159E-7</v>
      </c>
      <c r="AA23">
        <v>1.15314020670288E-5</v>
      </c>
      <c r="AB23">
        <v>5.9675977515360152E-7</v>
      </c>
      <c r="AC23">
        <v>1.1751686135371199E-5</v>
      </c>
      <c r="AD23">
        <v>6.523916924083579E-7</v>
      </c>
      <c r="AE23">
        <v>1.29348034583409E-5</v>
      </c>
      <c r="AF23">
        <v>5.3927227825833837E-7</v>
      </c>
      <c r="AG23">
        <v>1.2939179518469699E-5</v>
      </c>
      <c r="AH23">
        <v>4.7901764338411889E-7</v>
      </c>
      <c r="AJ23" s="43"/>
      <c r="AK23" s="1" t="s">
        <v>11</v>
      </c>
      <c r="AM23" t="s">
        <v>88</v>
      </c>
      <c r="AN23" t="s">
        <v>89</v>
      </c>
      <c r="AO23" s="17" t="s">
        <v>90</v>
      </c>
      <c r="AP23" t="s">
        <v>91</v>
      </c>
      <c r="AQ23" t="s">
        <v>92</v>
      </c>
      <c r="AR23" t="s">
        <v>93</v>
      </c>
      <c r="AS23" t="s">
        <v>94</v>
      </c>
      <c r="AT23">
        <f t="shared" si="11"/>
        <v>1.3117141544292165E-5</v>
      </c>
      <c r="AU23" s="23"/>
      <c r="AV23">
        <f t="shared" si="12"/>
        <v>9.657313141178564E-2</v>
      </c>
      <c r="AW23">
        <f t="shared" si="13"/>
        <v>5.9934666644628929E-3</v>
      </c>
      <c r="AX23" s="21">
        <f t="shared" si="14"/>
        <v>6.2061430305152758E-2</v>
      </c>
      <c r="AY23">
        <f t="shared" si="15"/>
        <v>15.065320915757203</v>
      </c>
      <c r="AZ23">
        <f t="shared" si="16"/>
        <v>0.78226926816147435</v>
      </c>
      <c r="BA23" s="21">
        <f t="shared" si="17"/>
        <v>5.1925164590638027E-2</v>
      </c>
      <c r="BB23">
        <f t="shared" si="18"/>
        <v>5381.8227510319211</v>
      </c>
      <c r="BC23">
        <f t="shared" si="19"/>
        <v>299.55469660944544</v>
      </c>
      <c r="BD23" s="21">
        <f t="shared" si="20"/>
        <v>5.5660453802944036E-2</v>
      </c>
      <c r="BE23">
        <f t="shared" si="21"/>
        <v>172.49416081738821</v>
      </c>
      <c r="BF23">
        <f t="shared" si="22"/>
        <v>7.2250184899377325</v>
      </c>
      <c r="BG23" s="21">
        <f t="shared" si="23"/>
        <v>4.1885583000032874E-2</v>
      </c>
      <c r="BH23">
        <f t="shared" si="24"/>
        <v>14.002962176266299</v>
      </c>
      <c r="BI23">
        <f t="shared" si="25"/>
        <v>0.52149883485735127</v>
      </c>
      <c r="BJ23" s="21">
        <f t="shared" si="26"/>
        <v>3.7242036955669466E-2</v>
      </c>
      <c r="BK23">
        <f t="shared" si="27"/>
        <v>16.02126541388818</v>
      </c>
      <c r="BL23">
        <f t="shared" si="28"/>
        <v>0.14188073965826123</v>
      </c>
      <c r="BM23" s="21">
        <f t="shared" si="29"/>
        <v>8.8557761196110391E-3</v>
      </c>
      <c r="BN23">
        <f t="shared" si="30"/>
        <v>0.27772501509054326</v>
      </c>
      <c r="BO23">
        <f t="shared" si="31"/>
        <v>4.493856443668902E-3</v>
      </c>
      <c r="BP23" s="21">
        <f t="shared" si="32"/>
        <v>1.6180956699935099E-2</v>
      </c>
    </row>
    <row r="24" spans="2:68" ht="45" x14ac:dyDescent="0.25">
      <c r="B24" s="4" t="s">
        <v>12</v>
      </c>
      <c r="C24" s="4">
        <v>2.7699999999999999E-2</v>
      </c>
      <c r="D24" s="4">
        <v>4.9138999999999999</v>
      </c>
      <c r="E24" s="4">
        <v>177.39711191335741</v>
      </c>
      <c r="F24" s="18">
        <f t="shared" si="3"/>
        <v>1.2808659236544595</v>
      </c>
      <c r="G24" s="19">
        <f t="shared" si="4"/>
        <v>7.2203313224177392E-3</v>
      </c>
      <c r="H24" s="23"/>
      <c r="I24" s="1" t="s">
        <v>12</v>
      </c>
      <c r="J24">
        <v>329.6</v>
      </c>
      <c r="K24">
        <f t="shared" si="33"/>
        <v>2.8705400188814649</v>
      </c>
      <c r="L24">
        <v>59910.44</v>
      </c>
      <c r="M24">
        <f t="shared" si="5"/>
        <v>38.700917301790149</v>
      </c>
      <c r="N24">
        <v>20400142.16</v>
      </c>
      <c r="O24">
        <f t="shared" si="6"/>
        <v>714.14533114765936</v>
      </c>
      <c r="P24">
        <v>888428.42000000016</v>
      </c>
      <c r="Q24">
        <f t="shared" si="7"/>
        <v>48.570523540263295</v>
      </c>
      <c r="R24">
        <v>72935.439999999988</v>
      </c>
      <c r="S24">
        <f t="shared" si="8"/>
        <v>13.916527015020561</v>
      </c>
      <c r="T24">
        <v>32185.4</v>
      </c>
      <c r="U24">
        <f t="shared" si="9"/>
        <v>9.2446616071556704</v>
      </c>
      <c r="V24">
        <v>1643.3</v>
      </c>
      <c r="W24">
        <f t="shared" si="10"/>
        <v>2.0889112603569751</v>
      </c>
      <c r="X24" s="22"/>
      <c r="Y24">
        <v>1.19224763034519E-5</v>
      </c>
      <c r="Z24">
        <v>7.0988714131646159E-7</v>
      </c>
      <c r="AA24">
        <v>1.14771028299117E-5</v>
      </c>
      <c r="AB24">
        <v>5.9675977515360152E-7</v>
      </c>
      <c r="AC24">
        <v>1.16923004778086E-5</v>
      </c>
      <c r="AD24">
        <v>6.523916924083579E-7</v>
      </c>
      <c r="AE24">
        <v>1.27987124158595E-5</v>
      </c>
      <c r="AF24">
        <v>5.3927227825833837E-7</v>
      </c>
      <c r="AG24">
        <v>1.28192733184076E-5</v>
      </c>
      <c r="AH24">
        <v>4.7901764338411889E-7</v>
      </c>
      <c r="AJ24" s="43"/>
      <c r="AK24" s="1" t="s">
        <v>12</v>
      </c>
      <c r="AM24" t="s">
        <v>95</v>
      </c>
      <c r="AN24" t="s">
        <v>96</v>
      </c>
      <c r="AO24" s="17" t="s">
        <v>97</v>
      </c>
      <c r="AP24" t="s">
        <v>98</v>
      </c>
      <c r="AQ24" t="s">
        <v>99</v>
      </c>
      <c r="AR24" t="s">
        <v>100</v>
      </c>
      <c r="AS24" t="s">
        <v>101</v>
      </c>
      <c r="AT24">
        <f t="shared" si="11"/>
        <v>1.3103881666492213E-5</v>
      </c>
      <c r="AU24" s="23"/>
      <c r="AV24">
        <f t="shared" si="12"/>
        <v>0.6971082396737418</v>
      </c>
      <c r="AW24">
        <f t="shared" si="13"/>
        <v>4.2249723033801402E-2</v>
      </c>
      <c r="AX24" s="21">
        <f t="shared" si="14"/>
        <v>6.0607120428780144E-2</v>
      </c>
      <c r="AY24">
        <f t="shared" si="15"/>
        <v>121.97794911112699</v>
      </c>
      <c r="AZ24">
        <f t="shared" si="16"/>
        <v>6.4036695760723887</v>
      </c>
      <c r="BA24" s="21">
        <f t="shared" si="17"/>
        <v>5.2498583741872717E-2</v>
      </c>
      <c r="BB24">
        <f t="shared" si="18"/>
        <v>42313.573727759474</v>
      </c>
      <c r="BC24">
        <f t="shared" si="19"/>
        <v>2380.6435177990043</v>
      </c>
      <c r="BD24" s="21">
        <f t="shared" si="20"/>
        <v>5.6261934600839503E-2</v>
      </c>
      <c r="BE24">
        <f t="shared" si="21"/>
        <v>2017.1364096471762</v>
      </c>
      <c r="BF24">
        <f t="shared" si="22"/>
        <v>86.230746569845621</v>
      </c>
      <c r="BG24" s="21">
        <f t="shared" si="23"/>
        <v>4.2749090323013168E-2</v>
      </c>
      <c r="BH24">
        <f t="shared" si="24"/>
        <v>165.86263460726283</v>
      </c>
      <c r="BI24">
        <f t="shared" si="25"/>
        <v>6.3125092847787565</v>
      </c>
      <c r="BJ24" s="21">
        <f t="shared" si="26"/>
        <v>3.8058657995670972E-2</v>
      </c>
      <c r="BK24">
        <f t="shared" si="27"/>
        <v>74.684549387235535</v>
      </c>
      <c r="BL24">
        <f t="shared" si="28"/>
        <v>0.7982248701469018</v>
      </c>
      <c r="BM24" s="21">
        <f t="shared" si="29"/>
        <v>1.0687951881561835E-2</v>
      </c>
      <c r="BN24">
        <f t="shared" si="30"/>
        <v>3.8200830823029488</v>
      </c>
      <c r="BO24">
        <f t="shared" si="31"/>
        <v>6.4725743642399969E-2</v>
      </c>
      <c r="BP24" s="21">
        <f t="shared" si="32"/>
        <v>1.6943543438165187E-2</v>
      </c>
    </row>
    <row r="25" spans="2:68" ht="30" x14ac:dyDescent="0.25">
      <c r="F25" s="18"/>
      <c r="G25" s="19"/>
      <c r="H25" s="23"/>
      <c r="I25" s="8" t="s">
        <v>209</v>
      </c>
      <c r="J25" s="9"/>
      <c r="K25" s="9"/>
      <c r="L25" s="9"/>
      <c r="M25" s="9"/>
      <c r="N25" s="9"/>
      <c r="O25" s="9"/>
      <c r="P25" s="9">
        <v>1.2664053229061313E-5</v>
      </c>
      <c r="Q25" s="9">
        <v>6.3639000000000005E-8</v>
      </c>
      <c r="R25" s="9">
        <v>1.2700478278198484E-5</v>
      </c>
      <c r="S25" s="9">
        <v>6.3944999999999995E-8</v>
      </c>
      <c r="T25" s="9">
        <v>1.2019945595711185E-5</v>
      </c>
      <c r="U25" s="9">
        <v>9.2353000000000006E-8</v>
      </c>
      <c r="V25" s="9">
        <v>1.1232142857142857E-5</v>
      </c>
      <c r="W25" s="9">
        <v>1.6026000000000001E-7</v>
      </c>
      <c r="X25" s="42"/>
      <c r="Y25" s="9">
        <v>1.1900238723655399E-5</v>
      </c>
      <c r="Z25" s="9">
        <v>7.0988714131646159E-7</v>
      </c>
      <c r="AA25" s="9">
        <v>1.14230592778479E-5</v>
      </c>
      <c r="AB25" s="9">
        <v>5.9675977515360152E-7</v>
      </c>
      <c r="AC25" s="9">
        <v>1.1633214918145501E-5</v>
      </c>
      <c r="AD25" s="9">
        <v>6.523916924083579E-7</v>
      </c>
      <c r="AE25" s="9">
        <v>1.26640532290613E-5</v>
      </c>
      <c r="AF25" s="9">
        <v>5.3927227825833837E-7</v>
      </c>
      <c r="AG25" s="9">
        <v>1.27004782781985E-5</v>
      </c>
      <c r="AH25" s="9">
        <v>4.7901764338411889E-7</v>
      </c>
      <c r="AI25" s="9"/>
      <c r="AJ25" s="43"/>
      <c r="AO25" s="17"/>
      <c r="AU25" s="23"/>
      <c r="AX25" s="21"/>
      <c r="BA25" s="21"/>
      <c r="BD25" s="21"/>
      <c r="BG25" s="21"/>
      <c r="BJ25" s="21"/>
      <c r="BM25" s="21"/>
      <c r="BP25" s="21"/>
    </row>
    <row r="26" spans="2:68" x14ac:dyDescent="0.25">
      <c r="B26" s="4" t="s">
        <v>31</v>
      </c>
      <c r="C26" s="4">
        <v>1.01E-2</v>
      </c>
      <c r="D26" s="4">
        <v>5.0003000000000002</v>
      </c>
      <c r="E26" s="4">
        <v>495.0792079207921</v>
      </c>
      <c r="F26" s="18">
        <f t="shared" si="3"/>
        <v>9.8035686704785281</v>
      </c>
      <c r="G26" s="19">
        <f t="shared" si="4"/>
        <v>1.9802020593131037E-2</v>
      </c>
      <c r="H26" s="23"/>
      <c r="I26" s="1" t="s">
        <v>31</v>
      </c>
      <c r="J26">
        <v>0</v>
      </c>
      <c r="K26">
        <f t="shared" si="33"/>
        <v>0</v>
      </c>
      <c r="L26">
        <v>9.6</v>
      </c>
      <c r="M26">
        <f t="shared" si="5"/>
        <v>0.4898979485566356</v>
      </c>
      <c r="N26">
        <v>2648.3</v>
      </c>
      <c r="O26">
        <f>(N26/$E$5)^0.5</f>
        <v>2.6518267892583567</v>
      </c>
      <c r="P26">
        <v>389.6</v>
      </c>
      <c r="Q26">
        <f>(P26/$E$5)^0.5</f>
        <v>1.0171172911814508</v>
      </c>
      <c r="R26">
        <v>33.6</v>
      </c>
      <c r="S26">
        <f>(R26/$E$5)^0.5</f>
        <v>0.29869723474937726</v>
      </c>
      <c r="T26">
        <v>69.599999999999994</v>
      </c>
      <c r="U26">
        <f>(T26/$E$5)^0.5</f>
        <v>0.42989875081737994</v>
      </c>
      <c r="V26">
        <v>1.6</v>
      </c>
      <c r="W26">
        <f>(V26/$E$5)^0.5</f>
        <v>6.518108038633405E-2</v>
      </c>
      <c r="X26" s="22"/>
      <c r="Y26">
        <v>1.18780426209768E-5</v>
      </c>
      <c r="Z26">
        <v>7.0988714131646159E-7</v>
      </c>
      <c r="AA26">
        <v>1.13692702068638E-5</v>
      </c>
      <c r="AB26">
        <v>5.9675977515360152E-7</v>
      </c>
      <c r="AC26">
        <v>1.1574427939875E-5</v>
      </c>
      <c r="AD26">
        <v>6.523916924083579E-7</v>
      </c>
      <c r="AE26">
        <v>1.2530810832952699E-5</v>
      </c>
      <c r="AF26">
        <v>5.3927227825833837E-7</v>
      </c>
      <c r="AG26">
        <v>1.25827841008253E-5</v>
      </c>
      <c r="AH26">
        <v>4.7901764338411889E-7</v>
      </c>
      <c r="AJ26" s="43"/>
      <c r="AK26" s="1" t="s">
        <v>31</v>
      </c>
      <c r="AM26" t="s">
        <v>41</v>
      </c>
      <c r="AN26" t="s">
        <v>195</v>
      </c>
      <c r="AO26" s="17" t="s">
        <v>196</v>
      </c>
      <c r="AP26" t="s">
        <v>197</v>
      </c>
      <c r="AQ26" t="s">
        <v>50</v>
      </c>
      <c r="AR26" t="s">
        <v>198</v>
      </c>
      <c r="AS26" t="s">
        <v>41</v>
      </c>
      <c r="AU26" s="23"/>
      <c r="AV26">
        <f t="shared" si="12"/>
        <v>0</v>
      </c>
      <c r="AW26">
        <f t="shared" si="13"/>
        <v>0</v>
      </c>
      <c r="AX26" s="21" t="e">
        <f t="shared" si="14"/>
        <v>#DIV/0!</v>
      </c>
      <c r="AY26">
        <f t="shared" si="15"/>
        <v>5.4035417171055269E-2</v>
      </c>
      <c r="AZ26">
        <f t="shared" si="16"/>
        <v>4.0979246053195507E-3</v>
      </c>
      <c r="BA26" s="21">
        <f t="shared" si="17"/>
        <v>7.583775271591045E-2</v>
      </c>
      <c r="BB26">
        <f t="shared" si="18"/>
        <v>15.175443894367206</v>
      </c>
      <c r="BC26">
        <f t="shared" si="19"/>
        <v>0.90674093436732006</v>
      </c>
      <c r="BD26" s="21">
        <f t="shared" si="20"/>
        <v>5.9750537821426267E-2</v>
      </c>
      <c r="BE26">
        <f t="shared" si="21"/>
        <v>2.416978624134853</v>
      </c>
      <c r="BF26">
        <f t="shared" si="22"/>
        <v>0.11467302864869677</v>
      </c>
      <c r="BG26" s="21">
        <f t="shared" si="23"/>
        <v>4.744478395614421E-2</v>
      </c>
      <c r="BH26">
        <f t="shared" si="24"/>
        <v>0.20931035281211752</v>
      </c>
      <c r="BI26">
        <f t="shared" si="25"/>
        <v>9.1725215457929415E-3</v>
      </c>
      <c r="BJ26" s="21">
        <f t="shared" si="26"/>
        <v>4.3822588909524403E-2</v>
      </c>
      <c r="BK26">
        <f t="shared" si="27"/>
        <v>0.45072249743607062</v>
      </c>
      <c r="BL26">
        <f t="shared" si="28"/>
        <v>1.0000437830757106E-2</v>
      </c>
      <c r="BM26" s="21">
        <f t="shared" si="29"/>
        <v>2.2187571926505719E-2</v>
      </c>
      <c r="BN26">
        <f t="shared" si="30"/>
        <v>1.0380160726072609E-2</v>
      </c>
      <c r="BO26">
        <f t="shared" si="31"/>
        <v>4.9619486944084185E-4</v>
      </c>
      <c r="BP26" s="21">
        <f t="shared" si="32"/>
        <v>4.7802233754869791E-2</v>
      </c>
    </row>
    <row r="27" spans="2:68" x14ac:dyDescent="0.25">
      <c r="B27" s="4" t="s">
        <v>32</v>
      </c>
      <c r="C27" s="4">
        <v>5.7000000000000002E-3</v>
      </c>
      <c r="D27" s="4">
        <v>4.8712999999999997</v>
      </c>
      <c r="E27" s="4">
        <v>854.61403508771923</v>
      </c>
      <c r="F27" s="18">
        <f t="shared" si="3"/>
        <v>29.986477899892936</v>
      </c>
      <c r="G27" s="19">
        <f t="shared" si="4"/>
        <v>3.5087743318906607E-2</v>
      </c>
      <c r="H27" s="23"/>
      <c r="I27" s="1" t="s">
        <v>32</v>
      </c>
      <c r="J27">
        <v>0</v>
      </c>
      <c r="K27">
        <f t="shared" si="33"/>
        <v>0</v>
      </c>
      <c r="L27">
        <v>0</v>
      </c>
      <c r="M27">
        <f t="shared" si="5"/>
        <v>0</v>
      </c>
      <c r="N27">
        <v>0</v>
      </c>
      <c r="O27">
        <f t="shared" ref="O27:O33" si="34">(N27/$E$5)^0.5</f>
        <v>0</v>
      </c>
      <c r="P27">
        <v>12.800000000000004</v>
      </c>
      <c r="Q27">
        <f t="shared" ref="Q27:Q33" si="35">(P27/$E$5)^0.5</f>
        <v>0.18435993578496912</v>
      </c>
      <c r="R27">
        <v>1.6</v>
      </c>
      <c r="S27">
        <f t="shared" ref="S27:S33" si="36">(R27/$E$5)^0.5</f>
        <v>6.518108038633405E-2</v>
      </c>
      <c r="T27">
        <v>3.2</v>
      </c>
      <c r="U27">
        <f t="shared" ref="U27:U33" si="37">(T27/$E$5)^0.5</f>
        <v>9.217996789248456E-2</v>
      </c>
      <c r="V27">
        <v>0</v>
      </c>
      <c r="W27">
        <f t="shared" ref="W27:W33" si="38">(V27/$E$5)^0.5</f>
        <v>0</v>
      </c>
      <c r="X27" s="22"/>
      <c r="Y27">
        <v>1.1855887918053799E-5</v>
      </c>
      <c r="Z27">
        <v>7.0988714131646159E-7</v>
      </c>
      <c r="AA27">
        <v>1.1315734418655E-5</v>
      </c>
      <c r="AB27">
        <v>5.9675977515360152E-7</v>
      </c>
      <c r="AC27">
        <v>1.15159380341541E-5</v>
      </c>
      <c r="AD27">
        <v>6.523916924083579E-7</v>
      </c>
      <c r="AE27">
        <v>1.2398970321043401E-5</v>
      </c>
      <c r="AF27">
        <v>5.3927227825833837E-7</v>
      </c>
      <c r="AG27">
        <v>1.2466180584692E-5</v>
      </c>
      <c r="AH27">
        <v>4.7901764338411889E-7</v>
      </c>
      <c r="AJ27" s="43"/>
      <c r="AK27" s="1" t="s">
        <v>32</v>
      </c>
      <c r="AM27" t="s">
        <v>41</v>
      </c>
      <c r="AN27" t="s">
        <v>41</v>
      </c>
      <c r="AO27" s="17" t="s">
        <v>41</v>
      </c>
      <c r="AP27" t="s">
        <v>158</v>
      </c>
      <c r="AQ27" t="s">
        <v>41</v>
      </c>
      <c r="AR27" t="s">
        <v>41</v>
      </c>
      <c r="AS27" t="s">
        <v>41</v>
      </c>
      <c r="AU27" s="23"/>
      <c r="AV27">
        <f t="shared" si="12"/>
        <v>0</v>
      </c>
      <c r="AW27">
        <f t="shared" si="13"/>
        <v>0</v>
      </c>
      <c r="AX27" s="21" t="e">
        <f t="shared" si="14"/>
        <v>#DIV/0!</v>
      </c>
      <c r="AY27">
        <f t="shared" si="15"/>
        <v>0</v>
      </c>
      <c r="AZ27">
        <f t="shared" si="16"/>
        <v>0</v>
      </c>
      <c r="BA27" s="21" t="e">
        <f t="shared" si="17"/>
        <v>#DIV/0!</v>
      </c>
      <c r="BB27">
        <f t="shared" si="18"/>
        <v>0</v>
      </c>
      <c r="BC27">
        <f t="shared" si="19"/>
        <v>0</v>
      </c>
      <c r="BD27" s="21" t="e">
        <f t="shared" si="20"/>
        <v>#DIV/0!</v>
      </c>
      <c r="BE27">
        <f t="shared" si="21"/>
        <v>0.13563307592959714</v>
      </c>
      <c r="BF27">
        <f t="shared" si="22"/>
        <v>7.8271775642794177E-3</v>
      </c>
      <c r="BG27" s="21">
        <f t="shared" si="23"/>
        <v>5.7708471997953203E-2</v>
      </c>
      <c r="BH27">
        <f t="shared" si="24"/>
        <v>1.7046036626585302E-2</v>
      </c>
      <c r="BI27">
        <f t="shared" si="25"/>
        <v>1.1264912958336879E-3</v>
      </c>
      <c r="BJ27" s="21">
        <f t="shared" si="26"/>
        <v>6.608523262684958E-2</v>
      </c>
      <c r="BK27">
        <f t="shared" si="27"/>
        <v>3.5772171827027487E-2</v>
      </c>
      <c r="BL27">
        <f t="shared" si="28"/>
        <v>1.648226184662034E-3</v>
      </c>
      <c r="BM27" s="21">
        <f t="shared" si="29"/>
        <v>4.6075653237713815E-2</v>
      </c>
      <c r="BN27">
        <f t="shared" si="30"/>
        <v>0</v>
      </c>
      <c r="BO27">
        <f t="shared" si="31"/>
        <v>0</v>
      </c>
      <c r="BP27" s="21" t="e">
        <f t="shared" si="32"/>
        <v>#DIV/0!</v>
      </c>
    </row>
    <row r="28" spans="2:68" x14ac:dyDescent="0.25">
      <c r="B28" s="4" t="s">
        <v>13</v>
      </c>
      <c r="C28" s="5">
        <v>2.5381</v>
      </c>
      <c r="D28" s="4">
        <v>5.0625</v>
      </c>
      <c r="E28" s="4">
        <v>1.9946022615342185</v>
      </c>
      <c r="F28" s="18">
        <f t="shared" si="3"/>
        <v>1.7581981791480486E-4</v>
      </c>
      <c r="G28" s="19">
        <f t="shared" si="4"/>
        <v>8.8147808365346417E-5</v>
      </c>
      <c r="H28" s="23"/>
      <c r="I28" s="1" t="s">
        <v>13</v>
      </c>
      <c r="J28">
        <v>653.6</v>
      </c>
      <c r="K28">
        <f t="shared" si="33"/>
        <v>4.0422765862815471</v>
      </c>
      <c r="L28">
        <v>115199.84000000001</v>
      </c>
      <c r="M28">
        <f t="shared" si="5"/>
        <v>53.66559419218239</v>
      </c>
      <c r="N28">
        <v>39290999.959999993</v>
      </c>
      <c r="O28">
        <f t="shared" si="34"/>
        <v>323.00415149794605</v>
      </c>
      <c r="P28">
        <v>2891237.32</v>
      </c>
      <c r="Q28">
        <f t="shared" si="35"/>
        <v>87.62003733876557</v>
      </c>
      <c r="R28">
        <v>239268.5</v>
      </c>
      <c r="S28">
        <f t="shared" si="36"/>
        <v>25.206022920547145</v>
      </c>
      <c r="T28">
        <v>86971.260000000009</v>
      </c>
      <c r="U28">
        <f t="shared" si="37"/>
        <v>15.196705397753169</v>
      </c>
      <c r="V28">
        <v>5373.9400000000005</v>
      </c>
      <c r="W28">
        <f t="shared" si="38"/>
        <v>3.7775304167486206</v>
      </c>
      <c r="X28" s="22"/>
      <c r="Y28">
        <v>1.1833774537668299E-5</v>
      </c>
      <c r="Z28">
        <v>7.0988714131646159E-7</v>
      </c>
      <c r="AA28">
        <v>1.1262450720560001E-5</v>
      </c>
      <c r="AB28">
        <v>5.9675977515360152E-7</v>
      </c>
      <c r="AC28">
        <v>1.1457743699764101E-5</v>
      </c>
      <c r="AD28">
        <v>6.523916924083579E-7</v>
      </c>
      <c r="AE28">
        <v>1.22685169436789E-5</v>
      </c>
      <c r="AF28">
        <v>5.3927227825833837E-7</v>
      </c>
      <c r="AG28">
        <v>1.2350657622740199E-5</v>
      </c>
      <c r="AH28">
        <v>4.7901764338411889E-7</v>
      </c>
      <c r="AJ28" s="43"/>
      <c r="AK28" s="1" t="s">
        <v>13</v>
      </c>
      <c r="AM28" t="s">
        <v>102</v>
      </c>
      <c r="AN28" t="s">
        <v>103</v>
      </c>
      <c r="AO28" s="17" t="s">
        <v>104</v>
      </c>
      <c r="AP28" t="s">
        <v>105</v>
      </c>
      <c r="AQ28" t="s">
        <v>106</v>
      </c>
      <c r="AR28" t="s">
        <v>107</v>
      </c>
      <c r="AS28" t="s">
        <v>108</v>
      </c>
      <c r="AT28">
        <f t="shared" si="11"/>
        <v>1.3061074760560304E-5</v>
      </c>
      <c r="AU28" s="23"/>
      <c r="AV28">
        <f t="shared" si="12"/>
        <v>1.5427360970396655E-2</v>
      </c>
      <c r="AW28">
        <f t="shared" si="13"/>
        <v>9.3036640683009475E-4</v>
      </c>
      <c r="AX28" s="21">
        <f t="shared" si="14"/>
        <v>6.0306257733604714E-2</v>
      </c>
      <c r="AY28">
        <f t="shared" si="15"/>
        <v>2.5878618406073475</v>
      </c>
      <c r="AZ28">
        <f t="shared" si="16"/>
        <v>0.13712767400548564</v>
      </c>
      <c r="BA28" s="21">
        <f t="shared" si="17"/>
        <v>5.2988792467105986E-2</v>
      </c>
      <c r="BB28">
        <f t="shared" si="18"/>
        <v>897.94242709061007</v>
      </c>
      <c r="BC28">
        <f t="shared" si="19"/>
        <v>51.127944832883635</v>
      </c>
      <c r="BD28" s="21">
        <f t="shared" si="20"/>
        <v>5.6939001087788439E-2</v>
      </c>
      <c r="BE28">
        <f t="shared" si="21"/>
        <v>70.750923868690123</v>
      </c>
      <c r="BF28">
        <f t="shared" si="22"/>
        <v>3.1099193052776801</v>
      </c>
      <c r="BG28" s="21">
        <f t="shared" si="23"/>
        <v>4.3955882626345935E-2</v>
      </c>
      <c r="BH28">
        <f t="shared" si="24"/>
        <v>5.8942956639793467</v>
      </c>
      <c r="BI28">
        <f t="shared" si="25"/>
        <v>0.22861044422806232</v>
      </c>
      <c r="BJ28" s="21">
        <f t="shared" si="26"/>
        <v>3.8785031708728913E-2</v>
      </c>
      <c r="BK28">
        <f t="shared" si="27"/>
        <v>2.2691195528169712</v>
      </c>
      <c r="BL28">
        <f t="shared" si="28"/>
        <v>1.7874978374330365E-2</v>
      </c>
      <c r="BM28" s="21">
        <f t="shared" si="29"/>
        <v>7.8774951950591095E-3</v>
      </c>
      <c r="BN28">
        <f t="shared" si="30"/>
        <v>0.14046189666359682</v>
      </c>
      <c r="BO28">
        <f t="shared" si="31"/>
        <v>2.1479030641751687E-3</v>
      </c>
      <c r="BP28" s="21">
        <f t="shared" si="32"/>
        <v>1.529171337704025E-2</v>
      </c>
    </row>
    <row r="29" spans="2:68" x14ac:dyDescent="0.25">
      <c r="B29" s="4" t="s">
        <v>14</v>
      </c>
      <c r="C29" s="5">
        <v>2.7002000000000002</v>
      </c>
      <c r="D29" s="4">
        <v>5.3585000000000003</v>
      </c>
      <c r="E29" s="4">
        <v>1.9844826309162285</v>
      </c>
      <c r="F29" s="18">
        <f t="shared" si="3"/>
        <v>1.6459518971101252E-4</v>
      </c>
      <c r="G29" s="19">
        <f t="shared" si="4"/>
        <v>8.2941108753881867E-5</v>
      </c>
      <c r="H29" s="23"/>
      <c r="I29" s="1" t="s">
        <v>14</v>
      </c>
      <c r="J29">
        <v>723.2</v>
      </c>
      <c r="K29">
        <f t="shared" si="33"/>
        <v>4.2520583250938602</v>
      </c>
      <c r="L29">
        <v>122858.76000000001</v>
      </c>
      <c r="M29">
        <f t="shared" si="5"/>
        <v>55.420835432172979</v>
      </c>
      <c r="N29">
        <v>42591898.220000006</v>
      </c>
      <c r="O29">
        <f t="shared" si="34"/>
        <v>336.29860153621286</v>
      </c>
      <c r="P29">
        <v>583959.65999999992</v>
      </c>
      <c r="Q29">
        <f t="shared" si="35"/>
        <v>39.377939453043169</v>
      </c>
      <c r="R29">
        <v>48281.9</v>
      </c>
      <c r="S29">
        <f t="shared" si="36"/>
        <v>11.322797477111072</v>
      </c>
      <c r="T29">
        <v>17792.660000000003</v>
      </c>
      <c r="U29">
        <f t="shared" si="37"/>
        <v>6.8735643569350806</v>
      </c>
      <c r="V29">
        <v>1075.24</v>
      </c>
      <c r="W29">
        <f t="shared" si="38"/>
        <v>1.6897181515958792</v>
      </c>
      <c r="X29" s="22"/>
      <c r="Y29">
        <v>1.18117024027463E-5</v>
      </c>
      <c r="Z29">
        <v>7.0988714131646159E-7</v>
      </c>
      <c r="AA29">
        <v>1.1209417925532899E-5</v>
      </c>
      <c r="AB29">
        <v>5.9675977515360152E-7</v>
      </c>
      <c r="AC29">
        <v>1.1399843443072701E-5</v>
      </c>
      <c r="AD29">
        <v>6.523916924083579E-7</v>
      </c>
      <c r="AE29">
        <v>1.2139436106390301E-5</v>
      </c>
      <c r="AF29">
        <v>5.3927227825833837E-7</v>
      </c>
      <c r="AG29">
        <v>1.22362052015726E-5</v>
      </c>
      <c r="AH29">
        <v>4.7901764338411889E-7</v>
      </c>
      <c r="AJ29" s="43"/>
      <c r="AK29" s="1" t="s">
        <v>14</v>
      </c>
      <c r="AM29" t="s">
        <v>109</v>
      </c>
      <c r="AN29" t="s">
        <v>110</v>
      </c>
      <c r="AO29" s="17" t="s">
        <v>111</v>
      </c>
      <c r="AP29" t="s">
        <v>112</v>
      </c>
      <c r="AQ29" t="s">
        <v>113</v>
      </c>
      <c r="AR29" t="s">
        <v>114</v>
      </c>
      <c r="AS29" t="s">
        <v>115</v>
      </c>
      <c r="AT29">
        <f t="shared" si="11"/>
        <v>1.3122159642526362E-5</v>
      </c>
      <c r="AU29" s="23"/>
      <c r="AV29">
        <f t="shared" si="12"/>
        <v>1.6951893525488457E-2</v>
      </c>
      <c r="AW29">
        <f t="shared" si="13"/>
        <v>1.0236788561719307E-3</v>
      </c>
      <c r="AX29" s="21">
        <f t="shared" si="14"/>
        <v>6.038728680266614E-2</v>
      </c>
      <c r="AY29">
        <f t="shared" si="15"/>
        <v>2.7329802376411862</v>
      </c>
      <c r="AZ29">
        <f t="shared" si="16"/>
        <v>0.14550204198315814</v>
      </c>
      <c r="BA29" s="21">
        <f t="shared" si="17"/>
        <v>5.3239331912893671E-2</v>
      </c>
      <c r="BB29">
        <f t="shared" si="18"/>
        <v>963.54762484016771</v>
      </c>
      <c r="BC29">
        <f t="shared" si="19"/>
        <v>55.142084626194809</v>
      </c>
      <c r="BD29" s="21">
        <f t="shared" si="20"/>
        <v>5.722818800507315E-2</v>
      </c>
      <c r="BE29">
        <f t="shared" si="21"/>
        <v>14.06788024893922</v>
      </c>
      <c r="BF29">
        <f t="shared" si="22"/>
        <v>0.62494169653675724</v>
      </c>
      <c r="BG29" s="21">
        <f t="shared" si="23"/>
        <v>4.4423302265732649E-2</v>
      </c>
      <c r="BH29">
        <f t="shared" si="24"/>
        <v>1.1724070082538363</v>
      </c>
      <c r="BI29">
        <f t="shared" si="25"/>
        <v>4.5897806569050716E-2</v>
      </c>
      <c r="BJ29" s="21">
        <f t="shared" si="26"/>
        <v>3.9148355686998287E-2</v>
      </c>
      <c r="BK29">
        <f t="shared" si="27"/>
        <v>0.4618633391008895</v>
      </c>
      <c r="BL29">
        <f t="shared" si="28"/>
        <v>3.6417784371506248E-3</v>
      </c>
      <c r="BM29" s="21">
        <f t="shared" si="29"/>
        <v>7.8849697060608525E-3</v>
      </c>
      <c r="BN29">
        <f t="shared" si="30"/>
        <v>2.7961606676203E-2</v>
      </c>
      <c r="BO29">
        <f t="shared" si="31"/>
        <v>4.2938234973859845E-4</v>
      </c>
      <c r="BP29" s="21">
        <f t="shared" si="32"/>
        <v>1.5356140107071477E-2</v>
      </c>
    </row>
    <row r="30" spans="2:68" x14ac:dyDescent="0.25">
      <c r="B30" s="4" t="s">
        <v>15</v>
      </c>
      <c r="C30" s="5">
        <v>2.6623999999999999</v>
      </c>
      <c r="D30" s="4">
        <v>5.5254000000000003</v>
      </c>
      <c r="E30" s="4">
        <v>2.0753455528846154</v>
      </c>
      <c r="F30" s="18">
        <f t="shared" si="3"/>
        <v>1.7305480235115642E-4</v>
      </c>
      <c r="G30" s="19">
        <f t="shared" si="4"/>
        <v>8.3386018347942026E-5</v>
      </c>
      <c r="H30" s="23"/>
      <c r="I30" s="1" t="s">
        <v>15</v>
      </c>
      <c r="J30">
        <v>556.79999999999995</v>
      </c>
      <c r="K30">
        <f t="shared" si="33"/>
        <v>3.7309516212355258</v>
      </c>
      <c r="L30">
        <v>99838.779999999984</v>
      </c>
      <c r="M30">
        <f t="shared" si="5"/>
        <v>49.959678741961497</v>
      </c>
      <c r="N30">
        <v>34546762.140000001</v>
      </c>
      <c r="O30">
        <f t="shared" si="34"/>
        <v>302.87626306798194</v>
      </c>
      <c r="P30">
        <v>123069.16000000002</v>
      </c>
      <c r="Q30">
        <f t="shared" si="35"/>
        <v>18.077408896981396</v>
      </c>
      <c r="R30">
        <v>10342.679999999998</v>
      </c>
      <c r="S30">
        <f t="shared" si="36"/>
        <v>5.2405649433823926</v>
      </c>
      <c r="T30">
        <v>3785.4</v>
      </c>
      <c r="U30">
        <f t="shared" si="37"/>
        <v>3.1704247688543452</v>
      </c>
      <c r="V30">
        <v>251.2</v>
      </c>
      <c r="W30">
        <f t="shared" si="38"/>
        <v>0.8167165963366787</v>
      </c>
      <c r="X30" s="22"/>
      <c r="Y30">
        <v>1.1789671436357401E-5</v>
      </c>
      <c r="Z30">
        <v>7.0988714131646159E-7</v>
      </c>
      <c r="AA30">
        <v>1.11566348521179E-5</v>
      </c>
      <c r="AB30">
        <v>5.9675977515360152E-7</v>
      </c>
      <c r="AC30">
        <v>1.13422357779956E-5</v>
      </c>
      <c r="AD30">
        <v>6.523916924083579E-7</v>
      </c>
      <c r="AE30">
        <v>1.20117133682616E-5</v>
      </c>
      <c r="AF30">
        <v>5.3927227825833837E-7</v>
      </c>
      <c r="AG30">
        <v>1.2122813400584901E-5</v>
      </c>
      <c r="AH30">
        <v>4.7901764338411889E-7</v>
      </c>
      <c r="AJ30" s="43"/>
      <c r="AK30" s="1" t="s">
        <v>15</v>
      </c>
      <c r="AM30" t="s">
        <v>116</v>
      </c>
      <c r="AN30" t="s">
        <v>117</v>
      </c>
      <c r="AO30" s="17" t="s">
        <v>119</v>
      </c>
      <c r="AP30" t="s">
        <v>120</v>
      </c>
      <c r="AQ30" t="s">
        <v>121</v>
      </c>
      <c r="AR30" t="s">
        <v>122</v>
      </c>
      <c r="AS30" t="s">
        <v>123</v>
      </c>
      <c r="AT30">
        <f t="shared" si="11"/>
        <v>1.3101187129087003E-5</v>
      </c>
      <c r="AU30" s="23"/>
      <c r="AV30">
        <f t="shared" si="12"/>
        <v>1.3623583168839132E-2</v>
      </c>
      <c r="AW30">
        <f t="shared" si="13"/>
        <v>8.253763696525957E-4</v>
      </c>
      <c r="AX30" s="21">
        <f t="shared" si="14"/>
        <v>6.058438220133288E-2</v>
      </c>
      <c r="AY30">
        <f t="shared" si="15"/>
        <v>2.3116543852214777</v>
      </c>
      <c r="AZ30">
        <f t="shared" si="16"/>
        <v>0.12365416735962104</v>
      </c>
      <c r="BA30" s="21">
        <f t="shared" si="17"/>
        <v>5.349163272422916E-2</v>
      </c>
      <c r="BB30">
        <f t="shared" si="18"/>
        <v>813.19825781916461</v>
      </c>
      <c r="BC30">
        <f t="shared" si="19"/>
        <v>46.774230559544456</v>
      </c>
      <c r="BD30" s="21">
        <f t="shared" si="20"/>
        <v>5.7518852395212462E-2</v>
      </c>
      <c r="BE30">
        <f t="shared" si="21"/>
        <v>3.0679241303371279</v>
      </c>
      <c r="BF30">
        <f t="shared" si="22"/>
        <v>0.1377370649154325</v>
      </c>
      <c r="BG30" s="21">
        <f t="shared" si="23"/>
        <v>4.4895851091433889E-2</v>
      </c>
      <c r="BH30">
        <f t="shared" si="24"/>
        <v>0.26021176412455588</v>
      </c>
      <c r="BI30">
        <f t="shared" si="25"/>
        <v>1.0282807059038342E-2</v>
      </c>
      <c r="BJ30" s="21">
        <f t="shared" si="26"/>
        <v>3.9517072157107619E-2</v>
      </c>
      <c r="BK30">
        <f t="shared" si="27"/>
        <v>0.10276080684254538</v>
      </c>
      <c r="BL30">
        <f t="shared" si="28"/>
        <v>8.1385687055264338E-4</v>
      </c>
      <c r="BM30" s="21">
        <f t="shared" si="29"/>
        <v>7.9199151462451111E-3</v>
      </c>
      <c r="BN30">
        <f t="shared" si="30"/>
        <v>6.8315533128004806E-3</v>
      </c>
      <c r="BO30">
        <f t="shared" si="31"/>
        <v>1.0669308545413917E-4</v>
      </c>
      <c r="BP30" s="21">
        <f t="shared" si="32"/>
        <v>1.5617690526431994E-2</v>
      </c>
    </row>
    <row r="31" spans="2:68" x14ac:dyDescent="0.25">
      <c r="B31" s="4" t="s">
        <v>16</v>
      </c>
      <c r="C31" s="5">
        <v>2.5741999999999998</v>
      </c>
      <c r="D31" s="4">
        <v>5.1252000000000004</v>
      </c>
      <c r="E31" s="4">
        <v>1.9909874912594208</v>
      </c>
      <c r="F31" s="18">
        <f t="shared" si="3"/>
        <v>1.7310314585262601E-4</v>
      </c>
      <c r="G31" s="19">
        <f t="shared" si="4"/>
        <v>8.6943361830529498E-5</v>
      </c>
      <c r="H31" s="23"/>
      <c r="I31" s="1" t="s">
        <v>16</v>
      </c>
      <c r="J31">
        <v>233.6</v>
      </c>
      <c r="K31">
        <f t="shared" si="33"/>
        <v>2.4166091947189146</v>
      </c>
      <c r="L31">
        <v>39603.46</v>
      </c>
      <c r="M31">
        <f t="shared" si="5"/>
        <v>31.465639990313242</v>
      </c>
      <c r="N31">
        <v>13620846.580000002</v>
      </c>
      <c r="O31">
        <f t="shared" si="34"/>
        <v>190.17946177628002</v>
      </c>
      <c r="P31">
        <v>1389603.6400000001</v>
      </c>
      <c r="Q31">
        <f t="shared" si="35"/>
        <v>60.74451024356442</v>
      </c>
      <c r="R31">
        <v>114055.78000000001</v>
      </c>
      <c r="S31">
        <f t="shared" si="36"/>
        <v>17.402843424512131</v>
      </c>
      <c r="T31">
        <v>42714.520000000004</v>
      </c>
      <c r="U31">
        <f t="shared" si="37"/>
        <v>10.649993152742212</v>
      </c>
      <c r="V31">
        <v>2533.84</v>
      </c>
      <c r="W31">
        <f t="shared" si="38"/>
        <v>2.5938876251773508</v>
      </c>
      <c r="X31" s="22"/>
      <c r="Y31">
        <v>1.1767681561715E-5</v>
      </c>
      <c r="Z31">
        <v>7.0988714131646159E-7</v>
      </c>
      <c r="AA31">
        <v>1.11041003244219E-5</v>
      </c>
      <c r="AB31">
        <v>5.9675977515360152E-7</v>
      </c>
      <c r="AC31">
        <v>1.12849192259581E-5</v>
      </c>
      <c r="AD31">
        <v>6.523916924083579E-7</v>
      </c>
      <c r="AE31">
        <v>1.18853344403143E-5</v>
      </c>
      <c r="AF31">
        <v>5.3927227825833837E-7</v>
      </c>
      <c r="AG31">
        <v>1.2010472391106601E-5</v>
      </c>
      <c r="AH31">
        <v>4.7901764338411889E-7</v>
      </c>
      <c r="AJ31" s="43"/>
      <c r="AK31" s="1" t="s">
        <v>16</v>
      </c>
      <c r="AM31" t="s">
        <v>124</v>
      </c>
      <c r="AN31" t="s">
        <v>125</v>
      </c>
      <c r="AO31" s="17" t="s">
        <v>126</v>
      </c>
      <c r="AP31" t="s">
        <v>127</v>
      </c>
      <c r="AQ31" t="s">
        <v>128</v>
      </c>
      <c r="AR31" t="s">
        <v>129</v>
      </c>
      <c r="AS31" t="s">
        <v>130</v>
      </c>
      <c r="AT31">
        <f t="shared" si="11"/>
        <v>1.3102487082467422E-5</v>
      </c>
      <c r="AU31" s="23"/>
      <c r="AV31">
        <f t="shared" si="12"/>
        <v>5.4730860662604939E-3</v>
      </c>
      <c r="AW31">
        <f t="shared" si="13"/>
        <v>3.3498468859134072E-4</v>
      </c>
      <c r="AX31" s="21">
        <f t="shared" si="14"/>
        <v>6.1205814148692937E-2</v>
      </c>
      <c r="AY31">
        <f t="shared" si="15"/>
        <v>0.87555823807747446</v>
      </c>
      <c r="AZ31">
        <f t="shared" si="16"/>
        <v>4.7059707824728063E-2</v>
      </c>
      <c r="BA31" s="21">
        <f t="shared" si="17"/>
        <v>5.3748232588228979E-2</v>
      </c>
      <c r="BB31">
        <f t="shared" si="18"/>
        <v>306.03499278750127</v>
      </c>
      <c r="BC31">
        <f t="shared" si="19"/>
        <v>17.692188530093674</v>
      </c>
      <c r="BD31" s="21">
        <f t="shared" si="20"/>
        <v>5.7810998568972267E-2</v>
      </c>
      <c r="BE31">
        <f t="shared" si="21"/>
        <v>32.882958272589747</v>
      </c>
      <c r="BF31">
        <f t="shared" si="22"/>
        <v>1.4919991270010862</v>
      </c>
      <c r="BG31" s="21">
        <f t="shared" si="23"/>
        <v>4.5373020110686703E-2</v>
      </c>
      <c r="BH31">
        <f t="shared" si="24"/>
        <v>2.7273816840307696</v>
      </c>
      <c r="BI31">
        <f t="shared" si="25"/>
        <v>0.10877812039857376</v>
      </c>
      <c r="BJ31" s="21">
        <f t="shared" si="26"/>
        <v>3.9883717425942267E-2</v>
      </c>
      <c r="BK31">
        <f t="shared" si="27"/>
        <v>1.1124214921184845</v>
      </c>
      <c r="BL31">
        <f t="shared" si="28"/>
        <v>8.7653133729507088E-3</v>
      </c>
      <c r="BM31" s="21">
        <f t="shared" si="29"/>
        <v>7.8794894157053121E-3</v>
      </c>
      <c r="BN31">
        <f t="shared" si="30"/>
        <v>6.6108473239841523E-2</v>
      </c>
      <c r="BO31">
        <f t="shared" si="31"/>
        <v>1.012107830996108E-3</v>
      </c>
      <c r="BP31" s="21">
        <f t="shared" si="32"/>
        <v>1.5309804952296828E-2</v>
      </c>
    </row>
    <row r="32" spans="2:68" x14ac:dyDescent="0.25">
      <c r="B32" s="4" t="s">
        <v>17</v>
      </c>
      <c r="C32" s="5">
        <v>2.5093000000000001</v>
      </c>
      <c r="D32" s="4">
        <v>5.0574000000000003</v>
      </c>
      <c r="E32" s="4">
        <v>2.0154624795759775</v>
      </c>
      <c r="F32" s="18">
        <f t="shared" si="3"/>
        <v>1.7932560206231394E-4</v>
      </c>
      <c r="G32" s="19">
        <f t="shared" si="4"/>
        <v>8.8974914631028662E-5</v>
      </c>
      <c r="H32" s="23"/>
      <c r="I32" s="1" t="s">
        <v>17</v>
      </c>
      <c r="J32">
        <v>57.6</v>
      </c>
      <c r="K32">
        <f t="shared" si="33"/>
        <v>1.2</v>
      </c>
      <c r="L32">
        <v>10694.16</v>
      </c>
      <c r="M32">
        <f t="shared" si="5"/>
        <v>16.350963274376223</v>
      </c>
      <c r="N32">
        <v>3743491.7600000002</v>
      </c>
      <c r="O32">
        <f t="shared" si="34"/>
        <v>99.701112446561027</v>
      </c>
      <c r="P32">
        <v>363263</v>
      </c>
      <c r="Q32">
        <f t="shared" si="35"/>
        <v>31.057904197260143</v>
      </c>
      <c r="R32">
        <v>30375.279999999999</v>
      </c>
      <c r="S32">
        <f t="shared" si="36"/>
        <v>8.9809382087676113</v>
      </c>
      <c r="T32">
        <v>11753.54</v>
      </c>
      <c r="U32">
        <f t="shared" si="37"/>
        <v>5.5865785326947455</v>
      </c>
      <c r="V32">
        <v>661.6</v>
      </c>
      <c r="W32">
        <f t="shared" si="38"/>
        <v>1.3254376767228053</v>
      </c>
      <c r="X32" s="22"/>
      <c r="Y32">
        <v>1.17457327021755E-5</v>
      </c>
      <c r="Z32">
        <v>7.0988714131646159E-7</v>
      </c>
      <c r="AA32">
        <v>1.1051813172089301E-5</v>
      </c>
      <c r="AB32">
        <v>5.9675977515360152E-7</v>
      </c>
      <c r="AC32">
        <v>1.12278923158574E-5</v>
      </c>
      <c r="AD32">
        <v>6.523916924083579E-7</v>
      </c>
      <c r="AE32">
        <v>1.1760285183908301E-5</v>
      </c>
      <c r="AF32">
        <v>5.3927227825833837E-7</v>
      </c>
      <c r="AG32">
        <v>1.1899172435548E-5</v>
      </c>
      <c r="AH32">
        <v>4.7901764338411889E-7</v>
      </c>
      <c r="AJ32" s="43"/>
      <c r="AK32" s="1" t="s">
        <v>17</v>
      </c>
      <c r="AM32" t="s">
        <v>131</v>
      </c>
      <c r="AN32" t="s">
        <v>132</v>
      </c>
      <c r="AO32" s="17" t="s">
        <v>133</v>
      </c>
      <c r="AP32" t="s">
        <v>134</v>
      </c>
      <c r="AQ32" t="s">
        <v>135</v>
      </c>
      <c r="AR32" t="s">
        <v>136</v>
      </c>
      <c r="AS32" t="s">
        <v>137</v>
      </c>
      <c r="AT32">
        <f t="shared" si="11"/>
        <v>1.3124048737901227E-5</v>
      </c>
      <c r="AU32" s="23"/>
      <c r="AV32">
        <f t="shared" si="12"/>
        <v>1.3635696128465251E-3</v>
      </c>
      <c r="AW32">
        <f t="shared" si="13"/>
        <v>8.7170101326500895E-5</v>
      </c>
      <c r="AX32" s="21">
        <f t="shared" si="14"/>
        <v>6.3927870279045465E-2</v>
      </c>
      <c r="AY32">
        <f t="shared" si="15"/>
        <v>0.23820722497572314</v>
      </c>
      <c r="AZ32">
        <f t="shared" si="16"/>
        <v>1.2867541063608214E-2</v>
      </c>
      <c r="BA32" s="21">
        <f t="shared" si="17"/>
        <v>5.4018265251692545E-2</v>
      </c>
      <c r="BB32">
        <f t="shared" si="18"/>
        <v>84.71295628929947</v>
      </c>
      <c r="BC32">
        <f t="shared" si="19"/>
        <v>4.9222149597320222</v>
      </c>
      <c r="BD32" s="21">
        <f t="shared" si="20"/>
        <v>5.8104629744267021E-2</v>
      </c>
      <c r="BE32">
        <f t="shared" si="21"/>
        <v>8.6102098487931098</v>
      </c>
      <c r="BF32">
        <f t="shared" si="22"/>
        <v>0.39482582439490521</v>
      </c>
      <c r="BG32" s="21">
        <f t="shared" si="23"/>
        <v>4.5855540263080558E-2</v>
      </c>
      <c r="BH32">
        <f t="shared" si="24"/>
        <v>0.72847015835270823</v>
      </c>
      <c r="BI32">
        <f t="shared" si="25"/>
        <v>2.9326436292097899E-2</v>
      </c>
      <c r="BJ32" s="21">
        <f t="shared" si="26"/>
        <v>4.0257567116289097E-2</v>
      </c>
      <c r="BK32">
        <f t="shared" si="27"/>
        <v>0.3098622829590143</v>
      </c>
      <c r="BL32">
        <f t="shared" si="28"/>
        <v>2.4447813161811009E-3</v>
      </c>
      <c r="BM32" s="21">
        <f t="shared" si="29"/>
        <v>7.8898964173205743E-3</v>
      </c>
      <c r="BN32">
        <f t="shared" si="30"/>
        <v>1.7473488650221178E-2</v>
      </c>
      <c r="BO32">
        <f t="shared" si="31"/>
        <v>2.6920293530475228E-4</v>
      </c>
      <c r="BP32" s="21">
        <f t="shared" si="32"/>
        <v>1.5406364504168133E-2</v>
      </c>
    </row>
    <row r="33" spans="2:68" x14ac:dyDescent="0.25">
      <c r="B33" s="4" t="s">
        <v>18</v>
      </c>
      <c r="C33" s="5">
        <v>2.4788999999999999</v>
      </c>
      <c r="D33" s="4">
        <v>5.0540000000000003</v>
      </c>
      <c r="E33" s="4">
        <v>2.0388075356004682</v>
      </c>
      <c r="F33" s="18">
        <f t="shared" si="3"/>
        <v>1.8321391048842223E-4</v>
      </c>
      <c r="G33" s="19">
        <f t="shared" si="4"/>
        <v>8.9863269234220384E-5</v>
      </c>
      <c r="H33" s="23"/>
      <c r="I33" s="1" t="s">
        <v>18</v>
      </c>
      <c r="J33">
        <v>88</v>
      </c>
      <c r="K33">
        <f t="shared" si="33"/>
        <v>1.4832396974191326</v>
      </c>
      <c r="L33">
        <v>15815.6</v>
      </c>
      <c r="M33">
        <f t="shared" si="5"/>
        <v>19.884416008522855</v>
      </c>
      <c r="N33">
        <v>5451577.0800000001</v>
      </c>
      <c r="O33">
        <f t="shared" si="34"/>
        <v>120.31579410992492</v>
      </c>
      <c r="P33">
        <v>505314.48</v>
      </c>
      <c r="Q33">
        <f t="shared" si="35"/>
        <v>36.630465272085495</v>
      </c>
      <c r="R33">
        <v>41570.679999999993</v>
      </c>
      <c r="S33">
        <f t="shared" si="36"/>
        <v>10.506428943458582</v>
      </c>
      <c r="T33">
        <v>16401.940000000002</v>
      </c>
      <c r="U33">
        <f t="shared" si="37"/>
        <v>6.5994717294972753</v>
      </c>
      <c r="V33">
        <v>940.8</v>
      </c>
      <c r="W33">
        <f t="shared" si="38"/>
        <v>1.5805572008990652</v>
      </c>
      <c r="X33" s="22"/>
      <c r="Y33">
        <v>1.17238247812382E-5</v>
      </c>
      <c r="Z33">
        <v>7.0988714131646159E-7</v>
      </c>
      <c r="AA33">
        <v>1.09997722302752E-5</v>
      </c>
      <c r="AB33">
        <v>5.9675977515360152E-7</v>
      </c>
      <c r="AC33">
        <v>1.11711535840245E-5</v>
      </c>
      <c r="AD33">
        <v>6.523916924083579E-7</v>
      </c>
      <c r="AE33">
        <v>1.1636551609160801E-5</v>
      </c>
      <c r="AF33">
        <v>5.3927227825833837E-7</v>
      </c>
      <c r="AG33">
        <v>1.17889038865574E-5</v>
      </c>
      <c r="AH33">
        <v>4.7901764338411889E-7</v>
      </c>
      <c r="AJ33" s="43"/>
      <c r="AK33" s="1" t="s">
        <v>18</v>
      </c>
      <c r="AM33" t="s">
        <v>138</v>
      </c>
      <c r="AN33" t="s">
        <v>139</v>
      </c>
      <c r="AO33" s="17" t="s">
        <v>140</v>
      </c>
      <c r="AP33" t="s">
        <v>141</v>
      </c>
      <c r="AQ33" t="s">
        <v>69</v>
      </c>
      <c r="AR33" t="s">
        <v>142</v>
      </c>
      <c r="AS33" t="s">
        <v>143</v>
      </c>
      <c r="AT33">
        <f t="shared" si="11"/>
        <v>1.3085797115640874E-5</v>
      </c>
      <c r="AU33" s="23"/>
      <c r="AV33">
        <f t="shared" si="12"/>
        <v>2.10343076328422E-3</v>
      </c>
      <c r="AW33">
        <f t="shared" si="13"/>
        <v>1.3220694263755382E-4</v>
      </c>
      <c r="AX33" s="21">
        <f t="shared" si="14"/>
        <v>6.2853004218275638E-2</v>
      </c>
      <c r="AY33">
        <f t="shared" si="15"/>
        <v>0.35468726463378919</v>
      </c>
      <c r="AZ33">
        <f t="shared" si="16"/>
        <v>1.92476906238036E-2</v>
      </c>
      <c r="BA33" s="21">
        <f t="shared" si="17"/>
        <v>5.4266652747390398E-2</v>
      </c>
      <c r="BB33">
        <f t="shared" si="18"/>
        <v>124.16420430040495</v>
      </c>
      <c r="BC33">
        <f t="shared" si="19"/>
        <v>7.2511577658532973</v>
      </c>
      <c r="BD33" s="21">
        <f t="shared" si="20"/>
        <v>5.8399744167084787E-2</v>
      </c>
      <c r="BE33">
        <f t="shared" si="21"/>
        <v>11.988428940357251</v>
      </c>
      <c r="BF33">
        <f t="shared" si="22"/>
        <v>0.55558104052203783</v>
      </c>
      <c r="BG33" s="21">
        <f t="shared" si="23"/>
        <v>4.6343106614391935E-2</v>
      </c>
      <c r="BH33">
        <f t="shared" si="24"/>
        <v>0.99916401776965058</v>
      </c>
      <c r="BI33">
        <f t="shared" si="25"/>
        <v>4.0599840881900807E-2</v>
      </c>
      <c r="BJ33" s="21">
        <f t="shared" si="26"/>
        <v>4.0633810025033128E-2</v>
      </c>
      <c r="BK33">
        <f t="shared" si="27"/>
        <v>0.43741810822088262</v>
      </c>
      <c r="BL33">
        <f t="shared" si="28"/>
        <v>3.4494126787636193E-3</v>
      </c>
      <c r="BM33" s="21">
        <f t="shared" si="29"/>
        <v>7.8858479197248341E-3</v>
      </c>
      <c r="BN33">
        <f t="shared" si="30"/>
        <v>2.5135234821896814E-2</v>
      </c>
      <c r="BO33">
        <f t="shared" si="31"/>
        <v>3.8626987284047677E-4</v>
      </c>
      <c r="BP33" s="21">
        <f t="shared" si="32"/>
        <v>1.536766517510208E-2</v>
      </c>
    </row>
    <row r="34" spans="2:68" ht="30" x14ac:dyDescent="0.25">
      <c r="I34" s="8" t="s">
        <v>207</v>
      </c>
      <c r="J34" s="39">
        <v>1.2915000000000001E-5</v>
      </c>
      <c r="K34" s="9">
        <v>8.9296999999999996E-8</v>
      </c>
      <c r="L34" s="9">
        <v>1.1036371994916034E-5</v>
      </c>
      <c r="M34" s="9">
        <v>5.6308999999999998E-8</v>
      </c>
      <c r="N34" s="9">
        <v>1.1102984244887701E-5</v>
      </c>
      <c r="O34" s="9">
        <v>5.5795999999999999E-8</v>
      </c>
      <c r="P34" s="9"/>
      <c r="Q34" s="9"/>
      <c r="R34" s="9"/>
      <c r="S34" s="9"/>
      <c r="T34" s="9"/>
      <c r="U34" s="9"/>
      <c r="V34" s="9"/>
      <c r="W34" s="9"/>
      <c r="X34" s="42"/>
      <c r="Y34" s="9">
        <v>1.1701957722545299E-5</v>
      </c>
      <c r="Z34" s="9">
        <v>7.0988714131646159E-7</v>
      </c>
      <c r="AA34" s="9">
        <v>1.094797633962E-5</v>
      </c>
      <c r="AB34" s="9">
        <v>5.9675977515360152E-7</v>
      </c>
      <c r="AC34" s="9">
        <v>1.1114701574187101E-5</v>
      </c>
      <c r="AD34" s="9">
        <v>6.523916924083579E-7</v>
      </c>
      <c r="AE34" s="9">
        <v>1.1514119873380701E-5</v>
      </c>
      <c r="AF34" s="9">
        <v>5.3927227825833837E-7</v>
      </c>
      <c r="AG34" s="9">
        <v>1.16796571861837E-5</v>
      </c>
      <c r="AH34" s="9">
        <v>4.7901764338411889E-7</v>
      </c>
      <c r="AI34" s="9"/>
      <c r="AJ34" s="43"/>
      <c r="AT34">
        <f>AVERAGE(AT5:AT33)</f>
        <v>1.3071695484151439E-5</v>
      </c>
      <c r="AU34" s="23"/>
    </row>
    <row r="35" spans="2:68" ht="30" x14ac:dyDescent="0.25">
      <c r="I35" s="8" t="s">
        <v>208</v>
      </c>
      <c r="J35" s="9"/>
      <c r="K35" s="9"/>
      <c r="L35" s="9"/>
      <c r="M35" s="9"/>
      <c r="N35" s="9"/>
      <c r="O35" s="9"/>
      <c r="P35" s="9">
        <v>1.1392976279520019E-5</v>
      </c>
      <c r="Q35" s="9">
        <v>5.7251000000000001E-8</v>
      </c>
      <c r="R35" s="9">
        <v>1.1571422865048787E-5</v>
      </c>
      <c r="S35" s="9">
        <v>5.8251000000000003E-8</v>
      </c>
      <c r="T35" s="9">
        <v>1.3080529030626879E-5</v>
      </c>
      <c r="U35" s="9">
        <v>1.0300999999999999E-7</v>
      </c>
      <c r="V35" s="9">
        <v>1.3104166666666667E-5</v>
      </c>
      <c r="W35" s="9">
        <v>2.0017E-7</v>
      </c>
      <c r="X35" s="42"/>
      <c r="Y35" s="9">
        <v>1.1680131449881301E-5</v>
      </c>
      <c r="Z35" s="9">
        <v>7.0988714131646159E-7</v>
      </c>
      <c r="AA35" s="9">
        <v>1.0896424346223E-5</v>
      </c>
      <c r="AB35" s="9">
        <v>5.9675977515360152E-7</v>
      </c>
      <c r="AC35" s="9">
        <v>1.1058534837431901E-5</v>
      </c>
      <c r="AD35" s="9">
        <v>6.523916924083579E-7</v>
      </c>
      <c r="AE35" s="9">
        <v>1.139297627952E-5</v>
      </c>
      <c r="AF35" s="9">
        <v>5.3927227825833837E-7</v>
      </c>
      <c r="AG35" s="9">
        <v>1.15714228650488E-5</v>
      </c>
      <c r="AH35" s="9">
        <v>4.7901764338411889E-7</v>
      </c>
      <c r="AI35" s="9"/>
      <c r="AJ35" s="43"/>
    </row>
    <row r="36" spans="2:68" ht="30" x14ac:dyDescent="0.25">
      <c r="I36" s="8" t="s">
        <v>206</v>
      </c>
      <c r="J36" s="9">
        <v>1.0628654580303529E-5</v>
      </c>
      <c r="K36" s="9">
        <v>8.3700000000000002E-8</v>
      </c>
      <c r="L36" s="9">
        <v>1.0764373795201335E-5</v>
      </c>
      <c r="M36" s="9">
        <v>5.4393000000000003E-8</v>
      </c>
      <c r="N36" s="9">
        <v>1.1013537303406163E-5</v>
      </c>
      <c r="O36" s="9">
        <v>5.5342E-8</v>
      </c>
      <c r="P36" s="9"/>
      <c r="Q36" s="9"/>
      <c r="R36" s="9"/>
      <c r="S36" s="9"/>
      <c r="T36" s="9"/>
      <c r="U36" s="9"/>
      <c r="V36" s="9"/>
      <c r="W36" s="9"/>
      <c r="X36" s="42"/>
      <c r="Y36" s="9">
        <v>1.16583458871727E-5</v>
      </c>
      <c r="Z36" s="9">
        <v>7.0988714131646159E-7</v>
      </c>
      <c r="AA36" s="9">
        <v>1.0845115101617401E-5</v>
      </c>
      <c r="AB36" s="9">
        <v>5.9675977515360152E-7</v>
      </c>
      <c r="AC36" s="9">
        <v>1.10026519321675E-5</v>
      </c>
      <c r="AD36" s="9">
        <v>6.523916924083579E-7</v>
      </c>
      <c r="AE36" s="9">
        <v>1.12731072746419E-5</v>
      </c>
      <c r="AF36" s="9">
        <v>5.3927227825833837E-7</v>
      </c>
      <c r="AG36" s="9">
        <v>1.14641915415263E-5</v>
      </c>
      <c r="AH36" s="9">
        <v>4.7901764338411889E-7</v>
      </c>
      <c r="AI36" s="9"/>
      <c r="AJ36" s="43"/>
    </row>
    <row r="39" spans="2:68" x14ac:dyDescent="0.25">
      <c r="K39" s="1"/>
      <c r="L39" s="1"/>
      <c r="M39" s="1"/>
      <c r="N39" s="1"/>
      <c r="O39" s="1"/>
      <c r="P39" s="1"/>
      <c r="Q39" s="1"/>
    </row>
    <row r="59" spans="37:37" x14ac:dyDescent="0.25">
      <c r="AK5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Q19" sqref="Q19"/>
    </sheetView>
  </sheetViews>
  <sheetFormatPr defaultRowHeight="15" x14ac:dyDescent="0.25"/>
  <cols>
    <col min="1" max="1" width="17" bestFit="1" customWidth="1"/>
    <col min="8" max="8" width="9.140625" style="12"/>
  </cols>
  <sheetData>
    <row r="1" spans="1:22" x14ac:dyDescent="0.25">
      <c r="A1" t="str">
        <f>U_Pu_Calculations!B4</f>
        <v>Sample ID</v>
      </c>
      <c r="B1" t="str">
        <f>U_Pu_Calculations!AV4</f>
        <v>234U ppb</v>
      </c>
      <c r="C1" t="str">
        <f>U_Pu_Calculations!AW4</f>
        <v>±</v>
      </c>
      <c r="D1" t="str">
        <f>U_Pu_Calculations!AX4</f>
        <v>%</v>
      </c>
      <c r="E1" s="22" t="str">
        <f>U_Pu_Calculations!AY4</f>
        <v>235U</v>
      </c>
      <c r="F1" t="str">
        <f>U_Pu_Calculations!AZ4</f>
        <v>±</v>
      </c>
      <c r="G1" t="str">
        <f>U_Pu_Calculations!BA4</f>
        <v>%</v>
      </c>
      <c r="H1" s="34" t="str">
        <f>U_Pu_Calculations!BB4</f>
        <v>238U</v>
      </c>
      <c r="I1" t="str">
        <f>U_Pu_Calculations!BC4</f>
        <v>±</v>
      </c>
      <c r="J1" s="21" t="str">
        <f>U_Pu_Calculations!BD4</f>
        <v>%</v>
      </c>
      <c r="K1" s="22" t="str">
        <f>U_Pu_Calculations!BE4</f>
        <v>239Pu</v>
      </c>
      <c r="L1" t="str">
        <f>U_Pu_Calculations!BF4</f>
        <v>±</v>
      </c>
      <c r="M1" t="str">
        <f>U_Pu_Calculations!BG4</f>
        <v>%</v>
      </c>
      <c r="N1" t="str">
        <f>U_Pu_Calculations!BH4</f>
        <v>240Pu</v>
      </c>
      <c r="O1" t="str">
        <f>U_Pu_Calculations!BI4</f>
        <v>±</v>
      </c>
      <c r="P1" t="str">
        <f>U_Pu_Calculations!BJ4</f>
        <v>%</v>
      </c>
      <c r="Q1" t="str">
        <f>U_Pu_Calculations!BK4</f>
        <v>241Pu</v>
      </c>
      <c r="R1" t="str">
        <f>U_Pu_Calculations!BL4</f>
        <v>±</v>
      </c>
      <c r="S1" t="str">
        <f>U_Pu_Calculations!BM4</f>
        <v>%</v>
      </c>
      <c r="T1" t="str">
        <f>U_Pu_Calculations!BN4</f>
        <v>242Pu</v>
      </c>
      <c r="U1" t="str">
        <f>U_Pu_Calculations!BO4</f>
        <v>±</v>
      </c>
      <c r="V1" t="str">
        <f>U_Pu_Calculations!BP4</f>
        <v>%</v>
      </c>
    </row>
    <row r="2" spans="1:22" s="26" customFormat="1" x14ac:dyDescent="0.25">
      <c r="A2" s="26" t="str">
        <f>U_Pu_Calculations!B5</f>
        <v>87G Trace</v>
      </c>
      <c r="B2" s="26">
        <f>U_Pu_Calculations!AV5</f>
        <v>0</v>
      </c>
      <c r="C2" s="26">
        <f>U_Pu_Calculations!AW5</f>
        <v>0</v>
      </c>
      <c r="D2" s="27" t="e">
        <f>U_Pu_Calculations!AX5</f>
        <v>#DIV/0!</v>
      </c>
      <c r="E2" s="33">
        <f>U_Pu_Calculations!AY5</f>
        <v>1.1233176565463765</v>
      </c>
      <c r="F2" s="26">
        <f>U_Pu_Calculations!AZ5</f>
        <v>5.7141810441047297E-2</v>
      </c>
      <c r="G2" s="27">
        <f>U_Pu_Calculations!BA5</f>
        <v>5.0868790415641595E-2</v>
      </c>
      <c r="H2" s="34">
        <f>U_Pu_Calculations!BB5</f>
        <v>416.58092113432019</v>
      </c>
      <c r="I2" s="26">
        <f>U_Pu_Calculations!BC5</f>
        <v>22.008487573379782</v>
      </c>
      <c r="J2" s="27">
        <f>U_Pu_Calculations!BD5</f>
        <v>5.283124227929651E-2</v>
      </c>
      <c r="K2" s="33">
        <f>U_Pu_Calculations!BE5</f>
        <v>35.398318990174573</v>
      </c>
      <c r="L2" s="26">
        <f>U_Pu_Calculations!BF5</f>
        <v>1.3296628833599047</v>
      </c>
      <c r="M2" s="27">
        <f>U_Pu_Calculations!BG5</f>
        <v>3.7562882116774415E-2</v>
      </c>
      <c r="N2">
        <f>U_Pu_Calculations!BH5</f>
        <v>2.6412419170535024</v>
      </c>
      <c r="O2" s="26">
        <f>U_Pu_Calculations!BI5</f>
        <v>9.1829971966896226E-2</v>
      </c>
      <c r="P2" s="27">
        <f>U_Pu_Calculations!BJ5</f>
        <v>3.4767724748719434E-2</v>
      </c>
      <c r="Q2">
        <f>U_Pu_Calculations!BK5</f>
        <v>13.644968711531988</v>
      </c>
      <c r="R2" s="26">
        <f>U_Pu_Calculations!BL5</f>
        <v>0.23065389760227434</v>
      </c>
      <c r="S2" s="27">
        <f>U_Pu_Calculations!BM5</f>
        <v>1.6903952107075054E-2</v>
      </c>
      <c r="T2">
        <f>U_Pu_Calculations!BN5</f>
        <v>5.1323896517412926E-2</v>
      </c>
      <c r="U2" s="26">
        <f>U_Pu_Calculations!BO5</f>
        <v>1.3689400926144069E-3</v>
      </c>
      <c r="V2" s="27">
        <f>U_Pu_Calculations!BP5</f>
        <v>2.6672567468644152E-2</v>
      </c>
    </row>
    <row r="3" spans="1:22" s="26" customFormat="1" x14ac:dyDescent="0.25">
      <c r="A3" s="26" t="str">
        <f>U_Pu_Calculations!B6</f>
        <v>90G Trace</v>
      </c>
      <c r="B3" s="26">
        <f>U_Pu_Calculations!AV6</f>
        <v>2.1279923935897449E-2</v>
      </c>
      <c r="C3" s="26">
        <f>U_Pu_Calculations!AW6</f>
        <v>1.5314647752103867E-3</v>
      </c>
      <c r="D3" s="27">
        <f>U_Pu_Calculations!AX6</f>
        <v>7.1967586906029016E-2</v>
      </c>
      <c r="E3" s="33">
        <f>U_Pu_Calculations!AY6</f>
        <v>4.8526077308906661</v>
      </c>
      <c r="F3" s="26">
        <f>U_Pu_Calculations!AZ6</f>
        <v>0.2335081427165091</v>
      </c>
      <c r="G3" s="27">
        <f>U_Pu_Calculations!BA6</f>
        <v>4.812013574269481E-2</v>
      </c>
      <c r="H3" s="34">
        <f>U_Pu_Calculations!BB6</f>
        <v>1701.2369355407184</v>
      </c>
      <c r="I3" s="26">
        <f>U_Pu_Calculations!BC6</f>
        <v>87.088674954126219</v>
      </c>
      <c r="J3" s="27">
        <f>U_Pu_Calculations!BD6</f>
        <v>5.1191385006254933E-2</v>
      </c>
      <c r="K3" s="33">
        <f>U_Pu_Calculations!BE6</f>
        <v>483.22168737125401</v>
      </c>
      <c r="L3" s="26">
        <f>U_Pu_Calculations!BF6</f>
        <v>17.012315396885533</v>
      </c>
      <c r="M3" s="27">
        <f>U_Pu_Calculations!BG6</f>
        <v>3.5206026222525805E-2</v>
      </c>
      <c r="N3">
        <f>U_Pu_Calculations!BH6</f>
        <v>39.29340181790208</v>
      </c>
      <c r="O3" s="26">
        <f>U_Pu_Calculations!BI6</f>
        <v>1.2580560311527798</v>
      </c>
      <c r="P3" s="27">
        <f>U_Pu_Calculations!BJ6</f>
        <v>3.2016979262396397E-2</v>
      </c>
      <c r="Q3">
        <f>U_Pu_Calculations!BK6</f>
        <v>12.073366981436315</v>
      </c>
      <c r="R3" s="26">
        <f>U_Pu_Calculations!BL6</f>
        <v>0.11369614235302833</v>
      </c>
      <c r="S3" s="27">
        <f>U_Pu_Calculations!BM6</f>
        <v>9.4171031600252409E-3</v>
      </c>
      <c r="T3">
        <f>U_Pu_Calculations!BN6</f>
        <v>0.76628844307692312</v>
      </c>
      <c r="U3" s="26">
        <f>U_Pu_Calculations!BO6</f>
        <v>1.2483617878902165E-2</v>
      </c>
      <c r="V3" s="27">
        <f>U_Pu_Calculations!BP6</f>
        <v>1.6291016772712844E-2</v>
      </c>
    </row>
    <row r="4" spans="1:22" x14ac:dyDescent="0.25">
      <c r="A4" t="str">
        <f>U_Pu_Calculations!B7</f>
        <v>93G Trace</v>
      </c>
      <c r="B4">
        <f>U_Pu_Calculations!AV7</f>
        <v>0</v>
      </c>
      <c r="C4">
        <f>U_Pu_Calculations!AW7</f>
        <v>0</v>
      </c>
      <c r="D4" s="21" t="e">
        <f>U_Pu_Calculations!AX7</f>
        <v>#DIV/0!</v>
      </c>
      <c r="E4" s="22">
        <f>U_Pu_Calculations!AY7</f>
        <v>1.973298834211502E-2</v>
      </c>
      <c r="F4">
        <f>U_Pu_Calculations!AZ7</f>
        <v>1.2293231713978159E-3</v>
      </c>
      <c r="G4" s="21">
        <f>U_Pu_Calculations!BA7</f>
        <v>6.2297871467046871E-2</v>
      </c>
      <c r="H4" s="34">
        <f>U_Pu_Calculations!BB7</f>
        <v>6.8707909216403333</v>
      </c>
      <c r="I4">
        <f>U_Pu_Calculations!BC7</f>
        <v>0.35309871051404151</v>
      </c>
      <c r="J4" s="21">
        <f>U_Pu_Calculations!BD7</f>
        <v>5.1391275697520819E-2</v>
      </c>
      <c r="K4" s="24">
        <f>U_Pu_Calculations!BE7</f>
        <v>29.122860177778918</v>
      </c>
      <c r="L4" s="17">
        <f>U_Pu_Calculations!BF7</f>
        <v>1.0317221730453285</v>
      </c>
      <c r="M4" s="25">
        <f>U_Pu_Calculations!BG7</f>
        <v>3.5426540070145465E-2</v>
      </c>
      <c r="N4">
        <f>U_Pu_Calculations!BH7</f>
        <v>2.508194422914114</v>
      </c>
      <c r="O4" s="17">
        <f>U_Pu_Calculations!BI7</f>
        <v>8.0684927197049949E-2</v>
      </c>
      <c r="P4" s="25">
        <f>U_Pu_Calculations!BJ7</f>
        <v>3.2168529863529152E-2</v>
      </c>
      <c r="Q4">
        <f>U_Pu_Calculations!BK7</f>
        <v>0.7036201617352692</v>
      </c>
      <c r="R4" s="17">
        <f>U_Pu_Calculations!BL7</f>
        <v>6.399599352601852E-3</v>
      </c>
      <c r="S4" s="25">
        <f>U_Pu_Calculations!BM7</f>
        <v>9.0952472663932051E-3</v>
      </c>
      <c r="T4">
        <f>U_Pu_Calculations!BN7</f>
        <v>4.574518170974156E-2</v>
      </c>
      <c r="U4" s="17">
        <f>U_Pu_Calculations!BO7</f>
        <v>8.241527993249235E-4</v>
      </c>
      <c r="V4" s="25">
        <f>U_Pu_Calculations!BP7</f>
        <v>1.8016166261056035E-2</v>
      </c>
    </row>
    <row r="5" spans="1:22" x14ac:dyDescent="0.25">
      <c r="A5" t="str">
        <f>U_Pu_Calculations!B8</f>
        <v>96G Trace</v>
      </c>
      <c r="B5">
        <f>U_Pu_Calculations!AV8</f>
        <v>0</v>
      </c>
      <c r="C5">
        <f>U_Pu_Calculations!AW8</f>
        <v>0</v>
      </c>
      <c r="D5" s="21" t="e">
        <f>U_Pu_Calculations!AX8</f>
        <v>#DIV/0!</v>
      </c>
      <c r="E5" s="22">
        <f>U_Pu_Calculations!AY8</f>
        <v>5.5359254774367303E-2</v>
      </c>
      <c r="F5">
        <f>U_Pu_Calculations!AZ8</f>
        <v>3.0906829737195889E-3</v>
      </c>
      <c r="G5" s="21">
        <f>U_Pu_Calculations!BA8</f>
        <v>5.5829562488089186E-2</v>
      </c>
      <c r="H5" s="34">
        <f>U_Pu_Calculations!BB8</f>
        <v>7.0899953134624578</v>
      </c>
      <c r="I5">
        <f>U_Pu_Calculations!BC8</f>
        <v>0.36728840666669338</v>
      </c>
      <c r="J5" s="21">
        <f>U_Pu_Calculations!BD8</f>
        <v>5.1803758737228991E-2</v>
      </c>
      <c r="K5" s="22">
        <f>U_Pu_Calculations!BE8</f>
        <v>2.9602140974929849</v>
      </c>
      <c r="L5">
        <f>U_Pu_Calculations!BF8</f>
        <v>0.10663455083281724</v>
      </c>
      <c r="M5" s="21">
        <f>U_Pu_Calculations!BG8</f>
        <v>3.6022580570481841E-2</v>
      </c>
      <c r="N5">
        <f>U_Pu_Calculations!BH8</f>
        <v>0.26131191397750103</v>
      </c>
      <c r="O5">
        <f>U_Pu_Calculations!BI8</f>
        <v>8.6167808906521346E-3</v>
      </c>
      <c r="P5" s="21">
        <f>U_Pu_Calculations!BJ8</f>
        <v>3.2975078554566169E-2</v>
      </c>
      <c r="Q5">
        <f>U_Pu_Calculations!BK8</f>
        <v>6.8492524845907565E-2</v>
      </c>
      <c r="R5">
        <f>U_Pu_Calculations!BL8</f>
        <v>8.7003786851710886E-4</v>
      </c>
      <c r="S5" s="21">
        <f>U_Pu_Calculations!BM8</f>
        <v>1.2702668947808452E-2</v>
      </c>
      <c r="T5">
        <f>U_Pu_Calculations!BN8</f>
        <v>2.8590123626373643E-3</v>
      </c>
      <c r="U5">
        <f>U_Pu_Calculations!BO8</f>
        <v>1.2537754492835274E-4</v>
      </c>
      <c r="V5" s="21">
        <f>U_Pu_Calculations!BP8</f>
        <v>4.3853446234382573E-2</v>
      </c>
    </row>
    <row r="6" spans="1:22" s="26" customFormat="1" x14ac:dyDescent="0.25">
      <c r="A6" s="26" t="str">
        <f>U_Pu_Calculations!B9</f>
        <v>30G Trace Waste</v>
      </c>
      <c r="B6" s="26">
        <f>U_Pu_Calculations!AV9</f>
        <v>9.3306999580945529E-2</v>
      </c>
      <c r="C6" s="26">
        <f>U_Pu_Calculations!AW9</f>
        <v>5.8777583623251381E-3</v>
      </c>
      <c r="D6" s="27">
        <f>U_Pu_Calculations!AX9</f>
        <v>6.2993755974610197E-2</v>
      </c>
      <c r="E6" s="33">
        <f>U_Pu_Calculations!AY9</f>
        <v>21.207641976356459</v>
      </c>
      <c r="F6" s="26">
        <f>U_Pu_Calculations!AZ9</f>
        <v>1.0383098874140941</v>
      </c>
      <c r="G6" s="27">
        <f>U_Pu_Calculations!BA9</f>
        <v>4.8959233118498688E-2</v>
      </c>
      <c r="H6" s="34">
        <f>U_Pu_Calculations!BB9</f>
        <v>7592.5379527312916</v>
      </c>
      <c r="I6" s="26">
        <f>U_Pu_Calculations!BC9</f>
        <v>396.13864213581445</v>
      </c>
      <c r="J6" s="27">
        <f>U_Pu_Calculations!BD9</f>
        <v>5.2174733218595247E-2</v>
      </c>
      <c r="K6" s="33">
        <f>U_Pu_Calculations!BE9</f>
        <v>298.00512609845657</v>
      </c>
      <c r="L6" s="26">
        <f>U_Pu_Calculations!BF9</f>
        <v>10.911038376436624</v>
      </c>
      <c r="M6" s="27">
        <f>U_Pu_Calculations!BG9</f>
        <v>3.661359292467934E-2</v>
      </c>
      <c r="N6">
        <f>U_Pu_Calculations!BH9</f>
        <v>24.641405330224682</v>
      </c>
      <c r="O6" s="26">
        <f>U_Pu_Calculations!BI9</f>
        <v>0.81882114967908493</v>
      </c>
      <c r="P6" s="27">
        <f>U_Pu_Calculations!BJ9</f>
        <v>3.3229482600764429E-2</v>
      </c>
      <c r="Q6">
        <f>U_Pu_Calculations!BK9</f>
        <v>22.989297378130491</v>
      </c>
      <c r="R6" s="26">
        <f>U_Pu_Calculations!BL9</f>
        <v>0.24130187566217204</v>
      </c>
      <c r="S6" s="27">
        <f>U_Pu_Calculations!BM9</f>
        <v>1.0496270142284572E-2</v>
      </c>
      <c r="T6">
        <f>U_Pu_Calculations!BN9</f>
        <v>0.52943836862745108</v>
      </c>
      <c r="U6" s="26">
        <f>U_Pu_Calculations!BO9</f>
        <v>9.0562669102073612E-3</v>
      </c>
      <c r="V6" s="27">
        <f>U_Pu_Calculations!BP9</f>
        <v>1.7105422362352372E-2</v>
      </c>
    </row>
    <row r="7" spans="1:22" s="26" customFormat="1" x14ac:dyDescent="0.25">
      <c r="A7" s="26" t="str">
        <f>U_Pu_Calculations!B10</f>
        <v>30G Trace Original</v>
      </c>
      <c r="B7" s="26">
        <f>U_Pu_Calculations!AV10</f>
        <v>4.7295415846501925</v>
      </c>
      <c r="C7" s="26">
        <f>U_Pu_Calculations!AW10</f>
        <v>0.27546164497048697</v>
      </c>
      <c r="D7" s="27">
        <f>U_Pu_Calculations!AX10</f>
        <v>5.8242778933269644E-2</v>
      </c>
      <c r="E7" s="33">
        <f>U_Pu_Calculations!AY10</f>
        <v>821.11543713287188</v>
      </c>
      <c r="F7" s="26">
        <f>U_Pu_Calculations!AZ10</f>
        <v>40.136361529095801</v>
      </c>
      <c r="G7" s="27">
        <f>U_Pu_Calculations!BA10</f>
        <v>4.888029102125014E-2</v>
      </c>
      <c r="H7" s="34">
        <f>U_Pu_Calculations!BB10</f>
        <v>290920.1139746033</v>
      </c>
      <c r="I7" s="26">
        <f>U_Pu_Calculations!BC10</f>
        <v>15177.892776640363</v>
      </c>
      <c r="J7" s="27">
        <f>U_Pu_Calculations!BD10</f>
        <v>5.2172029528234548E-2</v>
      </c>
      <c r="K7" s="33">
        <f>U_Pu_Calculations!BE10</f>
        <v>5351.048167509286</v>
      </c>
      <c r="L7" s="26">
        <f>U_Pu_Calculations!BF10</f>
        <v>195.92868100737013</v>
      </c>
      <c r="M7" s="27">
        <f>U_Pu_Calculations!BG10</f>
        <v>3.6615009783880839E-2</v>
      </c>
      <c r="N7">
        <f>U_Pu_Calculations!BH10</f>
        <v>435.50379988073598</v>
      </c>
      <c r="O7" s="26">
        <f>U_Pu_Calculations!BI10</f>
        <v>14.419527243265103</v>
      </c>
      <c r="P7" s="27">
        <f>U_Pu_Calculations!BJ10</f>
        <v>3.3109991800792403E-2</v>
      </c>
      <c r="Q7">
        <f>U_Pu_Calculations!BK10</f>
        <v>150.46046377574976</v>
      </c>
      <c r="R7" s="26">
        <f>U_Pu_Calculations!BL10</f>
        <v>1.3660129135706316</v>
      </c>
      <c r="S7" s="27">
        <f>U_Pu_Calculations!BM10</f>
        <v>9.0788827795092626E-3</v>
      </c>
      <c r="T7">
        <f>U_Pu_Calculations!BN10</f>
        <v>8.7065524975065838</v>
      </c>
      <c r="U7" s="26">
        <f>U_Pu_Calculations!BO10</f>
        <v>0.13880355088860147</v>
      </c>
      <c r="V7" s="27">
        <f>U_Pu_Calculations!BP10</f>
        <v>1.5942423930522736E-2</v>
      </c>
    </row>
    <row r="8" spans="1:22" x14ac:dyDescent="0.25">
      <c r="A8" t="str">
        <f>U_Pu_Calculations!B11</f>
        <v>42G taper</v>
      </c>
      <c r="B8">
        <f>U_Pu_Calculations!AV11</f>
        <v>9.8653931880252926E-2</v>
      </c>
      <c r="C8">
        <f>U_Pu_Calculations!AW11</f>
        <v>5.8756393854968759E-3</v>
      </c>
      <c r="D8" s="21">
        <f>U_Pu_Calculations!AX11</f>
        <v>5.9558086266939494E-2</v>
      </c>
      <c r="E8" s="22">
        <f>U_Pu_Calculations!AY11</f>
        <v>18.77250332843424</v>
      </c>
      <c r="F8">
        <f>U_Pu_Calculations!AZ11</f>
        <v>0.91903834732029743</v>
      </c>
      <c r="G8" s="21">
        <f>U_Pu_Calculations!BA11</f>
        <v>4.8956621886877126E-2</v>
      </c>
      <c r="H8" s="34">
        <f>U_Pu_Calculations!BB11</f>
        <v>6727.6039205196785</v>
      </c>
      <c r="I8">
        <f>U_Pu_Calculations!BC11</f>
        <v>351.74553609418621</v>
      </c>
      <c r="J8" s="21">
        <f>U_Pu_Calculations!BD11</f>
        <v>5.2283924596294509E-2</v>
      </c>
      <c r="K8" s="24">
        <f>U_Pu_Calculations!BE11</f>
        <v>314.40559995728188</v>
      </c>
      <c r="L8" s="17">
        <f>U_Pu_Calculations!BF11</f>
        <v>11.565106002886687</v>
      </c>
      <c r="M8" s="25">
        <f>U_Pu_Calculations!BG11</f>
        <v>3.6784033123004267E-2</v>
      </c>
      <c r="N8">
        <f>U_Pu_Calculations!BH11</f>
        <v>25.579212150354483</v>
      </c>
      <c r="O8" s="17">
        <f>U_Pu_Calculations!BI11</f>
        <v>0.84865038601926224</v>
      </c>
      <c r="P8" s="25">
        <f>U_Pu_Calculations!BJ11</f>
        <v>3.317734655121117E-2</v>
      </c>
      <c r="Q8">
        <f>U_Pu_Calculations!BK11</f>
        <v>8.4150961242407654</v>
      </c>
      <c r="R8" s="17">
        <f>U_Pu_Calculations!BL11</f>
        <v>6.8774899360335734E-2</v>
      </c>
      <c r="S8" s="25">
        <f>U_Pu_Calculations!BM11</f>
        <v>8.1728002086893341E-3</v>
      </c>
      <c r="T8">
        <f>U_Pu_Calculations!BN11</f>
        <v>0.51404115400213446</v>
      </c>
      <c r="U8" s="17">
        <f>U_Pu_Calculations!BO11</f>
        <v>7.988468468963816E-3</v>
      </c>
      <c r="V8" s="25">
        <f>U_Pu_Calculations!BP11</f>
        <v>1.5540523179454705E-2</v>
      </c>
    </row>
    <row r="9" spans="1:22" x14ac:dyDescent="0.25">
      <c r="A9" t="str">
        <f>U_Pu_Calculations!B12</f>
        <v>70G</v>
      </c>
      <c r="B9">
        <f>U_Pu_Calculations!AV12</f>
        <v>1.676612936682512E-3</v>
      </c>
      <c r="C9">
        <f>U_Pu_Calculations!AW12</f>
        <v>3.1226645443143222E-4</v>
      </c>
      <c r="D9" s="21">
        <f>U_Pu_Calculations!AX12</f>
        <v>0.18624838661289886</v>
      </c>
      <c r="E9" s="22">
        <f>U_Pu_Calculations!AY12</f>
        <v>0.45095266425538255</v>
      </c>
      <c r="F9">
        <f>U_Pu_Calculations!AZ12</f>
        <v>2.2898052270170815E-2</v>
      </c>
      <c r="G9" s="21">
        <f>U_Pu_Calculations!BA12</f>
        <v>5.0777063947455112E-2</v>
      </c>
      <c r="H9" s="34">
        <f>U_Pu_Calculations!BB12</f>
        <v>165.13814846235073</v>
      </c>
      <c r="I9">
        <f>U_Pu_Calculations!BC12</f>
        <v>8.7472228321940193</v>
      </c>
      <c r="J9" s="21">
        <f>U_Pu_Calculations!BD12</f>
        <v>5.2969122602148276E-2</v>
      </c>
      <c r="K9" s="22">
        <f>U_Pu_Calculations!BE12</f>
        <v>60.696924248682265</v>
      </c>
      <c r="L9">
        <f>U_Pu_Calculations!BF12</f>
        <v>2.2920656292085893</v>
      </c>
      <c r="M9" s="21">
        <f>U_Pu_Calculations!BG12</f>
        <v>3.7762467498645126E-2</v>
      </c>
      <c r="N9">
        <f>U_Pu_Calculations!BH12</f>
        <v>5.0742389577492633</v>
      </c>
      <c r="O9">
        <f>U_Pu_Calculations!BI12</f>
        <v>0.17330976237552845</v>
      </c>
      <c r="P9" s="21">
        <f>U_Pu_Calculations!BJ12</f>
        <v>3.4154828698174274E-2</v>
      </c>
      <c r="Q9">
        <f>U_Pu_Calculations!BK12</f>
        <v>1.6817976177278262</v>
      </c>
      <c r="R9">
        <f>U_Pu_Calculations!BL12</f>
        <v>1.7966934157390826E-2</v>
      </c>
      <c r="S9" s="21">
        <f>U_Pu_Calculations!BM12</f>
        <v>1.0683172557744999E-2</v>
      </c>
      <c r="T9">
        <f>U_Pu_Calculations!BN12</f>
        <v>7.9286436236933822E-2</v>
      </c>
      <c r="U9">
        <f>U_Pu_Calculations!BO12</f>
        <v>1.498774821907724E-3</v>
      </c>
      <c r="V9" s="21">
        <f>U_Pu_Calculations!BP12</f>
        <v>1.8903294094703593E-2</v>
      </c>
    </row>
    <row r="10" spans="1:22" x14ac:dyDescent="0.25">
      <c r="A10" t="str">
        <f>U_Pu_Calculations!B13</f>
        <v>71G</v>
      </c>
      <c r="B10">
        <f>U_Pu_Calculations!AV13</f>
        <v>1.0899341140142686E-2</v>
      </c>
      <c r="C10">
        <f>U_Pu_Calculations!AW13</f>
        <v>9.0530620778793425E-4</v>
      </c>
      <c r="D10" s="21">
        <f>U_Pu_Calculations!AX13</f>
        <v>8.3060636064840404E-2</v>
      </c>
      <c r="E10" s="22">
        <f>U_Pu_Calculations!AY13</f>
        <v>1.8647464501921085</v>
      </c>
      <c r="F10">
        <f>U_Pu_Calculations!AZ13</f>
        <v>9.2888511822151368E-2</v>
      </c>
      <c r="G10" s="21">
        <f>U_Pu_Calculations!BA13</f>
        <v>4.9812944710301968E-2</v>
      </c>
      <c r="H10" s="34">
        <f>U_Pu_Calculations!BB13</f>
        <v>646.17949700717486</v>
      </c>
      <c r="I10">
        <f>U_Pu_Calculations!BC13</f>
        <v>34.249000450661647</v>
      </c>
      <c r="J10" s="21">
        <f>U_Pu_Calculations!BD13</f>
        <v>5.3002301387289862E-2</v>
      </c>
      <c r="K10" s="22">
        <f>U_Pu_Calculations!BE13</f>
        <v>235.82418851906399</v>
      </c>
      <c r="L10">
        <f>U_Pu_Calculations!BF13</f>
        <v>8.9210949724729129</v>
      </c>
      <c r="M10" s="21">
        <f>U_Pu_Calculations!BG13</f>
        <v>3.7829431444229192E-2</v>
      </c>
      <c r="N10">
        <f>U_Pu_Calculations!BH13</f>
        <v>19.777117081119062</v>
      </c>
      <c r="O10">
        <f>U_Pu_Calculations!BI13</f>
        <v>0.67422063689989187</v>
      </c>
      <c r="P10" s="21">
        <f>U_Pu_Calculations!BJ13</f>
        <v>3.4090946326224711E-2</v>
      </c>
      <c r="Q10">
        <f>U_Pu_Calculations!BK13</f>
        <v>6.4702957113539608</v>
      </c>
      <c r="R10">
        <f>U_Pu_Calculations!BL13</f>
        <v>6.0334416498351737E-2</v>
      </c>
      <c r="S10" s="21">
        <f>U_Pu_Calculations!BM13</f>
        <v>9.3248313817370001E-3</v>
      </c>
      <c r="T10">
        <f>U_Pu_Calculations!BN13</f>
        <v>0.39120391625615764</v>
      </c>
      <c r="U10">
        <f>U_Pu_Calculations!BO13</f>
        <v>6.4122452804498678E-3</v>
      </c>
      <c r="V10" s="21">
        <f>U_Pu_Calculations!BP13</f>
        <v>1.6391055953159664E-2</v>
      </c>
    </row>
    <row r="11" spans="1:22" x14ac:dyDescent="0.25">
      <c r="A11" t="str">
        <f>U_Pu_Calculations!B14</f>
        <v>72G</v>
      </c>
      <c r="B11">
        <f>U_Pu_Calculations!AV14</f>
        <v>0</v>
      </c>
      <c r="C11">
        <f>U_Pu_Calculations!AW14</f>
        <v>0</v>
      </c>
      <c r="D11" s="21" t="e">
        <f>U_Pu_Calculations!AX14</f>
        <v>#DIV/0!</v>
      </c>
      <c r="E11" s="22">
        <f>U_Pu_Calculations!AY14</f>
        <v>0.1232845510510691</v>
      </c>
      <c r="F11">
        <f>U_Pu_Calculations!AZ14</f>
        <v>6.6042763289752013E-3</v>
      </c>
      <c r="G11" s="21">
        <f>U_Pu_Calculations!BA14</f>
        <v>5.3569374854108537E-2</v>
      </c>
      <c r="H11" s="34">
        <f>U_Pu_Calculations!BB14</f>
        <v>45.741698918982443</v>
      </c>
      <c r="I11">
        <f>U_Pu_Calculations!BC14</f>
        <v>2.4427703637540246</v>
      </c>
      <c r="J11" s="21">
        <f>U_Pu_Calculations!BD14</f>
        <v>5.3403577512078242E-2</v>
      </c>
      <c r="K11" s="22">
        <f>U_Pu_Calculations!BE14</f>
        <v>15.140528615092107</v>
      </c>
      <c r="L11">
        <f>U_Pu_Calculations!BF14</f>
        <v>0.58145812909517836</v>
      </c>
      <c r="M11" s="21">
        <f>U_Pu_Calculations!BG14</f>
        <v>3.8404083759372827E-2</v>
      </c>
      <c r="N11">
        <f>U_Pu_Calculations!BH14</f>
        <v>1.2837988815501729</v>
      </c>
      <c r="O11">
        <f>U_Pu_Calculations!BI14</f>
        <v>4.4493340693334917E-2</v>
      </c>
      <c r="P11" s="21">
        <f>U_Pu_Calculations!BJ14</f>
        <v>3.4657563059729189E-2</v>
      </c>
      <c r="Q11">
        <f>U_Pu_Calculations!BK14</f>
        <v>0.35422316570816442</v>
      </c>
      <c r="R11">
        <f>U_Pu_Calculations!BL14</f>
        <v>3.7921312684837684E-3</v>
      </c>
      <c r="S11" s="21">
        <f>U_Pu_Calculations!BM14</f>
        <v>1.070548635886793E-2</v>
      </c>
      <c r="T11">
        <f>U_Pu_Calculations!BN14</f>
        <v>3.0371181390593048E-2</v>
      </c>
      <c r="U11">
        <f>U_Pu_Calculations!BO14</f>
        <v>6.4116196789911276E-4</v>
      </c>
      <c r="V11" s="21">
        <f>U_Pu_Calculations!BP14</f>
        <v>2.1110866898898496E-2</v>
      </c>
    </row>
    <row r="12" spans="1:22" x14ac:dyDescent="0.25">
      <c r="A12" t="str">
        <f>U_Pu_Calculations!B15</f>
        <v>73G</v>
      </c>
      <c r="B12">
        <f>U_Pu_Calculations!AV15</f>
        <v>0</v>
      </c>
      <c r="C12">
        <f>U_Pu_Calculations!AW15</f>
        <v>0</v>
      </c>
      <c r="D12" s="21" t="e">
        <f>U_Pu_Calculations!AX15</f>
        <v>#DIV/0!</v>
      </c>
      <c r="E12" s="22">
        <f>U_Pu_Calculations!AY15</f>
        <v>5.4044636731282326E-2</v>
      </c>
      <c r="F12">
        <f>U_Pu_Calculations!AZ15</f>
        <v>3.1464506594703384E-3</v>
      </c>
      <c r="G12" s="21">
        <f>U_Pu_Calculations!BA15</f>
        <v>5.8219480225483643E-2</v>
      </c>
      <c r="H12" s="34">
        <f>U_Pu_Calculations!BB15</f>
        <v>17.686238964203081</v>
      </c>
      <c r="I12">
        <f>U_Pu_Calculations!BC15</f>
        <v>0.94959521677560721</v>
      </c>
      <c r="J12" s="21">
        <f>U_Pu_Calculations!BD15</f>
        <v>5.3691190009226175E-2</v>
      </c>
      <c r="K12" s="22">
        <f>U_Pu_Calculations!BE15</f>
        <v>5.7272006128626254</v>
      </c>
      <c r="L12">
        <f>U_Pu_Calculations!BF15</f>
        <v>0.22230843834526876</v>
      </c>
      <c r="M12" s="21">
        <f>U_Pu_Calculations!BG15</f>
        <v>3.8816247827252619E-2</v>
      </c>
      <c r="N12">
        <f>U_Pu_Calculations!BH15</f>
        <v>0.5504694093015231</v>
      </c>
      <c r="O12">
        <f>U_Pu_Calculations!BI15</f>
        <v>1.93017586441772E-2</v>
      </c>
      <c r="P12" s="21">
        <f>U_Pu_Calculations!BJ15</f>
        <v>3.5064180348674999E-2</v>
      </c>
      <c r="Q12">
        <f>U_Pu_Calculations!BK15</f>
        <v>0.15578231825823174</v>
      </c>
      <c r="R12">
        <f>U_Pu_Calculations!BL15</f>
        <v>1.8104362139518275E-3</v>
      </c>
      <c r="S12" s="21">
        <f>U_Pu_Calculations!BM15</f>
        <v>1.1621577045417743E-2</v>
      </c>
      <c r="T12">
        <f>U_Pu_Calculations!BN15</f>
        <v>1.6427771604938274E-2</v>
      </c>
      <c r="U12">
        <f>U_Pu_Calculations!BO15</f>
        <v>4.035216824380497E-4</v>
      </c>
      <c r="V12" s="21">
        <f>U_Pu_Calculations!BP15</f>
        <v>2.45633852321607E-2</v>
      </c>
    </row>
    <row r="13" spans="1:22" x14ac:dyDescent="0.25">
      <c r="A13" t="str">
        <f>U_Pu_Calculations!B16</f>
        <v xml:space="preserve">74G </v>
      </c>
      <c r="B13">
        <f>U_Pu_Calculations!AV16</f>
        <v>7.1248166622218478E-4</v>
      </c>
      <c r="C13">
        <f>U_Pu_Calculations!AW16</f>
        <v>1.3271983508977077E-4</v>
      </c>
      <c r="D13" s="21">
        <f>U_Pu_Calculations!AX16</f>
        <v>0.1862782459982382</v>
      </c>
      <c r="E13" s="22">
        <f>U_Pu_Calculations!AY16</f>
        <v>0.34453502150038817</v>
      </c>
      <c r="F13">
        <f>U_Pu_Calculations!AZ16</f>
        <v>1.7497575076511642E-2</v>
      </c>
      <c r="G13" s="21">
        <f>U_Pu_Calculations!BA16</f>
        <v>5.0786056524276819E-2</v>
      </c>
      <c r="H13" s="34">
        <f>U_Pu_Calculations!BB16</f>
        <v>123.62578452035861</v>
      </c>
      <c r="I13">
        <f>U_Pu_Calculations!BC16</f>
        <v>6.6341428581210007</v>
      </c>
      <c r="J13" s="21">
        <f>U_Pu_Calculations!BD16</f>
        <v>5.3663100168464407E-2</v>
      </c>
      <c r="K13" s="22">
        <f>U_Pu_Calculations!BE16</f>
        <v>44.682559287437925</v>
      </c>
      <c r="L13">
        <f>U_Pu_Calculations!BF16</f>
        <v>1.7349768009347728</v>
      </c>
      <c r="M13" s="21">
        <f>U_Pu_Calculations!BG16</f>
        <v>3.882894866817857E-2</v>
      </c>
      <c r="N13">
        <f>U_Pu_Calculations!BH16</f>
        <v>3.6601817657514495</v>
      </c>
      <c r="O13">
        <f>U_Pu_Calculations!BI16</f>
        <v>0.12744912765717545</v>
      </c>
      <c r="P13" s="21">
        <f>U_Pu_Calculations!BJ16</f>
        <v>3.4820436747083149E-2</v>
      </c>
      <c r="Q13">
        <f>U_Pu_Calculations!BK16</f>
        <v>1.2792295836143006</v>
      </c>
      <c r="R13">
        <f>U_Pu_Calculations!BL16</f>
        <v>1.0906691596086655E-2</v>
      </c>
      <c r="S13" s="21">
        <f>U_Pu_Calculations!BM16</f>
        <v>8.5259844955048528E-3</v>
      </c>
      <c r="T13">
        <f>U_Pu_Calculations!BN16</f>
        <v>8.3320915758468353E-2</v>
      </c>
      <c r="U13">
        <f>U_Pu_Calculations!BO16</f>
        <v>1.3760457277105353E-3</v>
      </c>
      <c r="V13" s="21">
        <f>U_Pu_Calculations!BP16</f>
        <v>1.6515009648950963E-2</v>
      </c>
    </row>
    <row r="14" spans="1:22" x14ac:dyDescent="0.25">
      <c r="A14" t="str">
        <f>U_Pu_Calculations!B17</f>
        <v xml:space="preserve">75G trace waste </v>
      </c>
      <c r="B14" t="e">
        <f>U_Pu_Calculations!AV17</f>
        <v>#VALUE!</v>
      </c>
      <c r="C14" t="e">
        <f>U_Pu_Calculations!AW17</f>
        <v>#VALUE!</v>
      </c>
      <c r="D14" s="21" t="e">
        <f>U_Pu_Calculations!AX17</f>
        <v>#VALUE!</v>
      </c>
      <c r="E14" s="22" t="e">
        <f>U_Pu_Calculations!AY17</f>
        <v>#VALUE!</v>
      </c>
      <c r="F14" t="e">
        <f>U_Pu_Calculations!AZ17</f>
        <v>#VALUE!</v>
      </c>
      <c r="G14" s="21" t="e">
        <f>U_Pu_Calculations!BA17</f>
        <v>#VALUE!</v>
      </c>
      <c r="H14" s="34" t="e">
        <f>U_Pu_Calculations!BB17</f>
        <v>#VALUE!</v>
      </c>
      <c r="I14" t="e">
        <f>U_Pu_Calculations!BC17</f>
        <v>#VALUE!</v>
      </c>
      <c r="J14" s="21" t="e">
        <f>U_Pu_Calculations!BD17</f>
        <v>#VALUE!</v>
      </c>
      <c r="K14" s="22" t="e">
        <f>U_Pu_Calculations!BE17</f>
        <v>#VALUE!</v>
      </c>
      <c r="L14" t="e">
        <f>U_Pu_Calculations!BF17</f>
        <v>#VALUE!</v>
      </c>
      <c r="M14" s="21" t="e">
        <f>U_Pu_Calculations!BG17</f>
        <v>#VALUE!</v>
      </c>
      <c r="N14" t="e">
        <f>U_Pu_Calculations!BH17</f>
        <v>#VALUE!</v>
      </c>
      <c r="O14" t="e">
        <f>U_Pu_Calculations!BI17</f>
        <v>#VALUE!</v>
      </c>
      <c r="P14" s="21" t="e">
        <f>U_Pu_Calculations!BJ17</f>
        <v>#VALUE!</v>
      </c>
      <c r="Q14" t="e">
        <f>U_Pu_Calculations!BK17</f>
        <v>#VALUE!</v>
      </c>
      <c r="R14" t="e">
        <f>U_Pu_Calculations!BL17</f>
        <v>#VALUE!</v>
      </c>
      <c r="S14" s="21" t="e">
        <f>U_Pu_Calculations!BM17</f>
        <v>#VALUE!</v>
      </c>
      <c r="T14" t="e">
        <f>U_Pu_Calculations!BN17</f>
        <v>#VALUE!</v>
      </c>
      <c r="U14" t="e">
        <f>U_Pu_Calculations!BO17</f>
        <v>#VALUE!</v>
      </c>
      <c r="V14" s="21" t="e">
        <f>U_Pu_Calculations!BP17</f>
        <v>#VALUE!</v>
      </c>
    </row>
    <row r="15" spans="1:22" x14ac:dyDescent="0.25">
      <c r="A15" t="str">
        <f>U_Pu_Calculations!B18</f>
        <v>81G trace</v>
      </c>
      <c r="B15">
        <f>U_Pu_Calculations!AV18</f>
        <v>0</v>
      </c>
      <c r="C15">
        <f>U_Pu_Calculations!AW18</f>
        <v>0</v>
      </c>
      <c r="D15" s="21" t="e">
        <f>U_Pu_Calculations!AX18</f>
        <v>#DIV/0!</v>
      </c>
      <c r="E15" s="22">
        <f>U_Pu_Calculations!AY18</f>
        <v>7.5087489357334308E-2</v>
      </c>
      <c r="F15">
        <f>U_Pu_Calculations!AZ18</f>
        <v>4.6645061730227963E-3</v>
      </c>
      <c r="G15" s="21">
        <f>U_Pu_Calculations!BA18</f>
        <v>6.2120950013721324E-2</v>
      </c>
      <c r="H15" s="34">
        <f>U_Pu_Calculations!BB18</f>
        <v>23.462444720225776</v>
      </c>
      <c r="I15">
        <f>U_Pu_Calculations!BC18</f>
        <v>1.3021862392393742</v>
      </c>
      <c r="J15" s="21">
        <f>U_Pu_Calculations!BD18</f>
        <v>5.5500876177529183E-2</v>
      </c>
      <c r="K15" s="22">
        <f>U_Pu_Calculations!BE18</f>
        <v>57.37028664871611</v>
      </c>
      <c r="L15">
        <f>U_Pu_Calculations!BF18</f>
        <v>2.3729660740645828</v>
      </c>
      <c r="M15" s="21">
        <f>U_Pu_Calculations!BG18</f>
        <v>4.1362283730504726E-2</v>
      </c>
      <c r="N15">
        <f>U_Pu_Calculations!BH18</f>
        <v>4.6844176001292794</v>
      </c>
      <c r="O15">
        <f>U_Pu_Calculations!BI18</f>
        <v>0.17514225498843616</v>
      </c>
      <c r="P15" s="21">
        <f>U_Pu_Calculations!BJ18</f>
        <v>3.7388266789793172E-2</v>
      </c>
      <c r="Q15">
        <f>U_Pu_Calculations!BK18</f>
        <v>1.5898183433300963</v>
      </c>
      <c r="R15">
        <f>U_Pu_Calculations!BL18</f>
        <v>2.3331615307625644E-2</v>
      </c>
      <c r="S15" s="21">
        <f>U_Pu_Calculations!BM18</f>
        <v>1.467564857677659E-2</v>
      </c>
      <c r="T15">
        <f>U_Pu_Calculations!BN18</f>
        <v>0.11420460737373739</v>
      </c>
      <c r="U15">
        <f>U_Pu_Calculations!BO18</f>
        <v>2.4758129655733877E-3</v>
      </c>
      <c r="V15" s="21">
        <f>U_Pu_Calculations!BP18</f>
        <v>2.1678748541827466E-2</v>
      </c>
    </row>
    <row r="16" spans="1:22" x14ac:dyDescent="0.25">
      <c r="A16" t="str">
        <f>U_Pu_Calculations!B19</f>
        <v>82G trace</v>
      </c>
      <c r="B16">
        <f>U_Pu_Calculations!AV19</f>
        <v>0</v>
      </c>
      <c r="C16">
        <f>U_Pu_Calculations!AW19</f>
        <v>0</v>
      </c>
      <c r="D16" s="21" t="e">
        <f>U_Pu_Calculations!AX19</f>
        <v>#DIV/0!</v>
      </c>
      <c r="E16" s="22">
        <f>U_Pu_Calculations!AY19</f>
        <v>1.266316480337171E-2</v>
      </c>
      <c r="F16">
        <f>U_Pu_Calculations!AZ19</f>
        <v>9.3436032309388451E-4</v>
      </c>
      <c r="G16" s="21">
        <f>U_Pu_Calculations!BA19</f>
        <v>7.3785687669886482E-2</v>
      </c>
      <c r="H16" s="34">
        <f>U_Pu_Calculations!BB19</f>
        <v>3.2310323875523221</v>
      </c>
      <c r="I16">
        <f>U_Pu_Calculations!BC19</f>
        <v>0.17683364188951511</v>
      </c>
      <c r="J16" s="21">
        <f>U_Pu_Calculations!BD19</f>
        <v>5.4729764570226408E-2</v>
      </c>
      <c r="K16" s="22">
        <f>U_Pu_Calculations!BE19</f>
        <v>7.5812243018965173</v>
      </c>
      <c r="L16">
        <f>U_Pu_Calculations!BF19</f>
        <v>0.30534989843542343</v>
      </c>
      <c r="M16" s="21">
        <f>U_Pu_Calculations!BG19</f>
        <v>4.0277122305830887E-2</v>
      </c>
      <c r="N16">
        <f>U_Pu_Calculations!BH19</f>
        <v>0.66046813551739159</v>
      </c>
      <c r="O16">
        <f>U_Pu_Calculations!BI19</f>
        <v>2.3843580047372446E-2</v>
      </c>
      <c r="P16" s="21">
        <f>U_Pu_Calculations!BJ19</f>
        <v>3.6101030110550415E-2</v>
      </c>
      <c r="Q16">
        <f>U_Pu_Calculations!BK19</f>
        <v>0.24859656801468424</v>
      </c>
      <c r="R16">
        <f>U_Pu_Calculations!BL19</f>
        <v>2.5307439765013388E-3</v>
      </c>
      <c r="S16" s="21">
        <f>U_Pu_Calculations!BM19</f>
        <v>1.0180124354539969E-2</v>
      </c>
      <c r="T16">
        <f>U_Pu_Calculations!BN19</f>
        <v>7.7024475247524744E-3</v>
      </c>
      <c r="U16">
        <f>U_Pu_Calculations!BO19</f>
        <v>2.1935662987307178E-4</v>
      </c>
      <c r="V16" s="21">
        <f>U_Pu_Calculations!BP19</f>
        <v>2.8478821721037433E-2</v>
      </c>
    </row>
    <row r="17" spans="1:22" x14ac:dyDescent="0.25">
      <c r="A17" t="str">
        <f>U_Pu_Calculations!B20</f>
        <v>83G Trace</v>
      </c>
      <c r="B17" t="e">
        <f>U_Pu_Calculations!AV20</f>
        <v>#VALUE!</v>
      </c>
      <c r="C17" t="e">
        <f>U_Pu_Calculations!AW20</f>
        <v>#VALUE!</v>
      </c>
      <c r="D17" s="21" t="e">
        <f>U_Pu_Calculations!AX20</f>
        <v>#VALUE!</v>
      </c>
      <c r="E17" s="22" t="e">
        <f>U_Pu_Calculations!AY20</f>
        <v>#VALUE!</v>
      </c>
      <c r="F17" t="e">
        <f>U_Pu_Calculations!AZ20</f>
        <v>#VALUE!</v>
      </c>
      <c r="G17" s="21" t="e">
        <f>U_Pu_Calculations!BA20</f>
        <v>#VALUE!</v>
      </c>
      <c r="H17" s="34" t="e">
        <f>U_Pu_Calculations!BB20</f>
        <v>#VALUE!</v>
      </c>
      <c r="I17" t="e">
        <f>U_Pu_Calculations!BC20</f>
        <v>#VALUE!</v>
      </c>
      <c r="J17" s="21" t="e">
        <f>U_Pu_Calculations!BD20</f>
        <v>#VALUE!</v>
      </c>
      <c r="K17" s="22" t="e">
        <f>U_Pu_Calculations!BE20</f>
        <v>#VALUE!</v>
      </c>
      <c r="L17" t="e">
        <f>U_Pu_Calculations!BF20</f>
        <v>#VALUE!</v>
      </c>
      <c r="M17" s="21" t="e">
        <f>U_Pu_Calculations!BG20</f>
        <v>#VALUE!</v>
      </c>
      <c r="N17" t="e">
        <f>U_Pu_Calculations!BH20</f>
        <v>#VALUE!</v>
      </c>
      <c r="O17" t="e">
        <f>U_Pu_Calculations!BI20</f>
        <v>#VALUE!</v>
      </c>
      <c r="P17" s="21" t="e">
        <f>U_Pu_Calculations!BJ20</f>
        <v>#VALUE!</v>
      </c>
      <c r="Q17" t="e">
        <f>U_Pu_Calculations!BK20</f>
        <v>#VALUE!</v>
      </c>
      <c r="R17" t="e">
        <f>U_Pu_Calculations!BL20</f>
        <v>#VALUE!</v>
      </c>
      <c r="S17" s="21" t="e">
        <f>U_Pu_Calculations!BM20</f>
        <v>#VALUE!</v>
      </c>
      <c r="T17" t="e">
        <f>U_Pu_Calculations!BN20</f>
        <v>#VALUE!</v>
      </c>
      <c r="U17" t="e">
        <f>U_Pu_Calculations!BO20</f>
        <v>#VALUE!</v>
      </c>
      <c r="V17" s="21" t="e">
        <f>U_Pu_Calculations!BP20</f>
        <v>#VALUE!</v>
      </c>
    </row>
    <row r="18" spans="1:22" x14ac:dyDescent="0.25">
      <c r="A18" t="str">
        <f>U_Pu_Calculations!B21</f>
        <v>84G trace</v>
      </c>
      <c r="B18">
        <f>U_Pu_Calculations!AV21</f>
        <v>0</v>
      </c>
      <c r="C18">
        <f>U_Pu_Calculations!AW21</f>
        <v>0</v>
      </c>
      <c r="D18" s="21" t="e">
        <f>U_Pu_Calculations!AX21</f>
        <v>#DIV/0!</v>
      </c>
      <c r="E18" s="22">
        <f>U_Pu_Calculations!AY21</f>
        <v>0</v>
      </c>
      <c r="F18">
        <f>U_Pu_Calculations!AZ21</f>
        <v>0</v>
      </c>
      <c r="G18" s="21" t="e">
        <f>U_Pu_Calculations!BA21</f>
        <v>#DIV/0!</v>
      </c>
      <c r="H18" s="34">
        <f>U_Pu_Calculations!BB21</f>
        <v>0.40814155930269647</v>
      </c>
      <c r="I18">
        <f>U_Pu_Calculations!BC21</f>
        <v>2.2901513428710284E-2</v>
      </c>
      <c r="J18" s="21">
        <f>U_Pu_Calculations!BD21</f>
        <v>5.6111691903753112E-2</v>
      </c>
      <c r="K18" s="22">
        <f>U_Pu_Calculations!BE21</f>
        <v>0.9184192907763854</v>
      </c>
      <c r="L18">
        <f>U_Pu_Calculations!BF21</f>
        <v>3.7884487355358383E-2</v>
      </c>
      <c r="M18" s="21">
        <f>U_Pu_Calculations!BG21</f>
        <v>4.1249664217454261E-2</v>
      </c>
      <c r="N18">
        <f>U_Pu_Calculations!BH21</f>
        <v>8.4086929779666447E-2</v>
      </c>
      <c r="O18">
        <f>U_Pu_Calculations!BI21</f>
        <v>3.1539676588256092E-3</v>
      </c>
      <c r="P18" s="21">
        <f>U_Pu_Calculations!BJ21</f>
        <v>3.7508417385317461E-2</v>
      </c>
      <c r="Q18">
        <f>U_Pu_Calculations!BK21</f>
        <v>3.3940609269868874E-2</v>
      </c>
      <c r="R18">
        <f>U_Pu_Calculations!BL21</f>
        <v>5.1530271521341164E-4</v>
      </c>
      <c r="S18" s="21">
        <f>U_Pu_Calculations!BM21</f>
        <v>1.5182482763233038E-2</v>
      </c>
      <c r="T18">
        <f>U_Pu_Calculations!BN21</f>
        <v>2.8334952380952385E-3</v>
      </c>
      <c r="U18">
        <f>U_Pu_Calculations!BO21</f>
        <v>1.2425853202818174E-4</v>
      </c>
      <c r="V18" s="21">
        <f>U_Pu_Calculations!BP21</f>
        <v>4.3853446569302193E-2</v>
      </c>
    </row>
    <row r="19" spans="1:22" s="26" customFormat="1" x14ac:dyDescent="0.25">
      <c r="A19" s="26" t="str">
        <f>U_Pu_Calculations!B22</f>
        <v>86G Trace</v>
      </c>
      <c r="B19" s="26">
        <f>U_Pu_Calculations!AV22</f>
        <v>1.0341033406534552</v>
      </c>
      <c r="C19" s="26">
        <f>U_Pu_Calculations!AW22</f>
        <v>6.4673603306713193E-2</v>
      </c>
      <c r="D19" s="27">
        <f>U_Pu_Calculations!AX22</f>
        <v>6.2540754646286709E-2</v>
      </c>
      <c r="E19" s="33">
        <f>U_Pu_Calculations!AY22</f>
        <v>196.18060539868239</v>
      </c>
      <c r="F19" s="26">
        <f>U_Pu_Calculations!AZ22</f>
        <v>10.613358009255828</v>
      </c>
      <c r="G19" s="27">
        <f>U_Pu_Calculations!BA22</f>
        <v>5.4099935045501243E-2</v>
      </c>
      <c r="H19" s="34">
        <f>U_Pu_Calculations!BB22</f>
        <v>68241.607464154702</v>
      </c>
      <c r="I19" s="26">
        <f>U_Pu_Calculations!BC22</f>
        <v>3934.4260558017477</v>
      </c>
      <c r="J19" s="27">
        <f>U_Pu_Calculations!BD22</f>
        <v>5.7654357832476105E-2</v>
      </c>
      <c r="K19" s="33">
        <f>U_Pu_Calculations!BE22</f>
        <v>8057.216565916332</v>
      </c>
      <c r="L19" s="26">
        <f>U_Pu_Calculations!BF22</f>
        <v>358.07164969805177</v>
      </c>
      <c r="M19" s="27">
        <f>U_Pu_Calculations!BG22</f>
        <v>4.4441110248018875E-2</v>
      </c>
      <c r="N19" s="26">
        <f>U_Pu_Calculations!BH22</f>
        <v>667.45801247871475</v>
      </c>
      <c r="O19" s="26">
        <f>U_Pu_Calculations!BI22</f>
        <v>26.852044379449378</v>
      </c>
      <c r="P19" s="27">
        <f>U_Pu_Calculations!BJ22</f>
        <v>4.0230312435279497E-2</v>
      </c>
      <c r="Q19" s="26">
        <f>U_Pu_Calculations!BK22</f>
        <v>241.86430662183159</v>
      </c>
      <c r="R19" s="26">
        <f>U_Pu_Calculations!BL22</f>
        <v>4.4287119548063867</v>
      </c>
      <c r="S19" s="27">
        <f>U_Pu_Calculations!BM22</f>
        <v>1.8310729750342727E-2</v>
      </c>
      <c r="T19">
        <f>U_Pu_Calculations!BN22</f>
        <v>14.873596678977275</v>
      </c>
      <c r="U19" s="26">
        <f>U_Pu_Calculations!BO22</f>
        <v>0.3350708388991423</v>
      </c>
      <c r="V19" s="27">
        <f>U_Pu_Calculations!BP22</f>
        <v>2.2527895984482359E-2</v>
      </c>
    </row>
    <row r="20" spans="1:22" x14ac:dyDescent="0.25">
      <c r="A20" t="str">
        <f>U_Pu_Calculations!B23</f>
        <v>24G Taper Waste</v>
      </c>
      <c r="B20">
        <f>U_Pu_Calculations!AV23</f>
        <v>9.657313141178564E-2</v>
      </c>
      <c r="C20">
        <f>U_Pu_Calculations!AW23</f>
        <v>5.9934666644628929E-3</v>
      </c>
      <c r="D20" s="21">
        <f>U_Pu_Calculations!AX23</f>
        <v>6.2061430305152758E-2</v>
      </c>
      <c r="E20" s="22">
        <f>U_Pu_Calculations!AY23</f>
        <v>15.065320915757203</v>
      </c>
      <c r="F20">
        <f>U_Pu_Calculations!AZ23</f>
        <v>0.78226926816147435</v>
      </c>
      <c r="G20" s="21">
        <f>U_Pu_Calculations!BA23</f>
        <v>5.1925164590638027E-2</v>
      </c>
      <c r="H20" s="34">
        <f>U_Pu_Calculations!BB23</f>
        <v>5381.8227510319211</v>
      </c>
      <c r="I20">
        <f>U_Pu_Calculations!BC23</f>
        <v>299.55469660944544</v>
      </c>
      <c r="J20" s="21">
        <f>U_Pu_Calculations!BD23</f>
        <v>5.5660453802944036E-2</v>
      </c>
      <c r="K20" s="22">
        <f>U_Pu_Calculations!BE23</f>
        <v>172.49416081738821</v>
      </c>
      <c r="L20">
        <f>U_Pu_Calculations!BF23</f>
        <v>7.2250184899377325</v>
      </c>
      <c r="M20" s="21">
        <f>U_Pu_Calculations!BG23</f>
        <v>4.1885583000032874E-2</v>
      </c>
      <c r="N20">
        <f>U_Pu_Calculations!BH23</f>
        <v>14.002962176266299</v>
      </c>
      <c r="O20">
        <f>U_Pu_Calculations!BI23</f>
        <v>0.52149883485735127</v>
      </c>
      <c r="P20" s="21">
        <f>U_Pu_Calculations!BJ23</f>
        <v>3.7242036955669466E-2</v>
      </c>
      <c r="Q20">
        <f>U_Pu_Calculations!BK23</f>
        <v>16.02126541388818</v>
      </c>
      <c r="R20">
        <f>U_Pu_Calculations!BL23</f>
        <v>0.14188073965826123</v>
      </c>
      <c r="S20" s="21">
        <f>U_Pu_Calculations!BM23</f>
        <v>8.8557761196110391E-3</v>
      </c>
      <c r="T20">
        <f>U_Pu_Calculations!BN23</f>
        <v>0.27772501509054326</v>
      </c>
      <c r="U20">
        <f>U_Pu_Calculations!BO23</f>
        <v>4.493856443668902E-3</v>
      </c>
      <c r="V20" s="21">
        <f>U_Pu_Calculations!BP23</f>
        <v>1.6180956699935099E-2</v>
      </c>
    </row>
    <row r="21" spans="1:22" x14ac:dyDescent="0.25">
      <c r="A21" t="str">
        <f>U_Pu_Calculations!B24</f>
        <v>24G Trace Original</v>
      </c>
      <c r="B21">
        <f>U_Pu_Calculations!AV24</f>
        <v>0.6971082396737418</v>
      </c>
      <c r="C21">
        <f>U_Pu_Calculations!AW24</f>
        <v>4.2249723033801402E-2</v>
      </c>
      <c r="D21" s="21">
        <f>U_Pu_Calculations!AX24</f>
        <v>6.0607120428780144E-2</v>
      </c>
      <c r="E21" s="22">
        <f>U_Pu_Calculations!AY24</f>
        <v>121.97794911112699</v>
      </c>
      <c r="F21">
        <f>U_Pu_Calculations!AZ24</f>
        <v>6.4036695760723887</v>
      </c>
      <c r="G21" s="21">
        <f>U_Pu_Calculations!BA24</f>
        <v>5.2498583741872717E-2</v>
      </c>
      <c r="H21" s="34">
        <f>U_Pu_Calculations!BB24</f>
        <v>42313.573727759474</v>
      </c>
      <c r="I21">
        <f>U_Pu_Calculations!BC24</f>
        <v>2380.6435177990043</v>
      </c>
      <c r="J21" s="21">
        <f>U_Pu_Calculations!BD24</f>
        <v>5.6261934600839503E-2</v>
      </c>
      <c r="K21" s="22">
        <f>U_Pu_Calculations!BE24</f>
        <v>2017.1364096471762</v>
      </c>
      <c r="L21">
        <f>U_Pu_Calculations!BF24</f>
        <v>86.230746569845621</v>
      </c>
      <c r="M21" s="21">
        <f>U_Pu_Calculations!BG24</f>
        <v>4.2749090323013168E-2</v>
      </c>
      <c r="N21">
        <f>U_Pu_Calculations!BH24</f>
        <v>165.86263460726283</v>
      </c>
      <c r="O21">
        <f>U_Pu_Calculations!BI24</f>
        <v>6.3125092847787565</v>
      </c>
      <c r="P21" s="21">
        <f>U_Pu_Calculations!BJ24</f>
        <v>3.8058657995670972E-2</v>
      </c>
      <c r="Q21">
        <f>U_Pu_Calculations!BK24</f>
        <v>74.684549387235535</v>
      </c>
      <c r="R21">
        <f>U_Pu_Calculations!BL24</f>
        <v>0.7982248701469018</v>
      </c>
      <c r="S21" s="21">
        <f>U_Pu_Calculations!BM24</f>
        <v>1.0687951881561835E-2</v>
      </c>
      <c r="T21">
        <f>U_Pu_Calculations!BN24</f>
        <v>3.8200830823029488</v>
      </c>
      <c r="U21">
        <f>U_Pu_Calculations!BO24</f>
        <v>6.4725743642399969E-2</v>
      </c>
      <c r="V21" s="21">
        <f>U_Pu_Calculations!BP24</f>
        <v>1.6943543438165187E-2</v>
      </c>
    </row>
    <row r="22" spans="1:22" x14ac:dyDescent="0.25">
      <c r="D22" s="21"/>
      <c r="E22" s="22">
        <f>U_Pu_Calculations!AY25</f>
        <v>0</v>
      </c>
      <c r="G22" s="21"/>
      <c r="H22" s="34"/>
      <c r="J22" s="21"/>
      <c r="K22" s="22">
        <f>U_Pu_Calculations!BE25</f>
        <v>0</v>
      </c>
      <c r="M22" s="21"/>
      <c r="P22" s="21"/>
      <c r="S22" s="21"/>
      <c r="V22" s="21"/>
    </row>
    <row r="23" spans="1:22" x14ac:dyDescent="0.25">
      <c r="A23" t="str">
        <f>U_Pu_Calculations!B26</f>
        <v>53G</v>
      </c>
      <c r="B23">
        <f>U_Pu_Calculations!AV26</f>
        <v>0</v>
      </c>
      <c r="C23">
        <f>U_Pu_Calculations!AW26</f>
        <v>0</v>
      </c>
      <c r="D23" s="21" t="e">
        <f>U_Pu_Calculations!AX26</f>
        <v>#DIV/0!</v>
      </c>
      <c r="E23" s="22">
        <f>U_Pu_Calculations!AY26</f>
        <v>5.4035417171055269E-2</v>
      </c>
      <c r="F23">
        <f>U_Pu_Calculations!AZ26</f>
        <v>4.0979246053195507E-3</v>
      </c>
      <c r="G23" s="21">
        <f>U_Pu_Calculations!BA26</f>
        <v>7.583775271591045E-2</v>
      </c>
      <c r="H23" s="34">
        <f>U_Pu_Calculations!BB26</f>
        <v>15.175443894367206</v>
      </c>
      <c r="I23">
        <f>U_Pu_Calculations!BC26</f>
        <v>0.90674093436732006</v>
      </c>
      <c r="J23" s="21">
        <f>U_Pu_Calculations!BD26</f>
        <v>5.9750537821426267E-2</v>
      </c>
      <c r="K23" s="22">
        <f>U_Pu_Calculations!BE26</f>
        <v>2.416978624134853</v>
      </c>
      <c r="L23">
        <f>U_Pu_Calculations!BF26</f>
        <v>0.11467302864869677</v>
      </c>
      <c r="M23" s="21">
        <f>U_Pu_Calculations!BG26</f>
        <v>4.744478395614421E-2</v>
      </c>
      <c r="N23">
        <f>U_Pu_Calculations!BH26</f>
        <v>0.20931035281211752</v>
      </c>
      <c r="O23">
        <f>U_Pu_Calculations!BI26</f>
        <v>9.1725215457929415E-3</v>
      </c>
      <c r="P23" s="21">
        <f>U_Pu_Calculations!BJ26</f>
        <v>4.3822588909524403E-2</v>
      </c>
      <c r="Q23">
        <f>U_Pu_Calculations!BK26</f>
        <v>0.45072249743607062</v>
      </c>
      <c r="R23">
        <f>U_Pu_Calculations!BL26</f>
        <v>1.0000437830757106E-2</v>
      </c>
      <c r="S23" s="21">
        <f>U_Pu_Calculations!BM26</f>
        <v>2.2187571926505719E-2</v>
      </c>
      <c r="T23">
        <f>U_Pu_Calculations!BN26</f>
        <v>1.0380160726072609E-2</v>
      </c>
      <c r="U23">
        <f>U_Pu_Calculations!BO26</f>
        <v>4.9619486944084185E-4</v>
      </c>
      <c r="V23" s="21">
        <f>U_Pu_Calculations!BP26</f>
        <v>4.7802233754869791E-2</v>
      </c>
    </row>
    <row r="24" spans="1:22" x14ac:dyDescent="0.25">
      <c r="A24" t="str">
        <f>U_Pu_Calculations!B27</f>
        <v>94G</v>
      </c>
      <c r="B24">
        <f>U_Pu_Calculations!AV27</f>
        <v>0</v>
      </c>
      <c r="C24">
        <f>U_Pu_Calculations!AW27</f>
        <v>0</v>
      </c>
      <c r="D24" s="21" t="e">
        <f>U_Pu_Calculations!AX27</f>
        <v>#DIV/0!</v>
      </c>
      <c r="E24" s="22">
        <f>U_Pu_Calculations!AY27</f>
        <v>0</v>
      </c>
      <c r="F24">
        <f>U_Pu_Calculations!AZ27</f>
        <v>0</v>
      </c>
      <c r="G24" s="21" t="e">
        <f>U_Pu_Calculations!BA27</f>
        <v>#DIV/0!</v>
      </c>
      <c r="H24" s="34">
        <f>U_Pu_Calculations!BB27</f>
        <v>0</v>
      </c>
      <c r="I24">
        <f>U_Pu_Calculations!BC27</f>
        <v>0</v>
      </c>
      <c r="J24" s="21" t="e">
        <f>U_Pu_Calculations!BD27</f>
        <v>#DIV/0!</v>
      </c>
      <c r="K24" s="22">
        <f>U_Pu_Calculations!BE27</f>
        <v>0.13563307592959714</v>
      </c>
      <c r="L24">
        <f>U_Pu_Calculations!BF27</f>
        <v>7.8271775642794177E-3</v>
      </c>
      <c r="M24" s="21">
        <f>U_Pu_Calculations!BG27</f>
        <v>5.7708471997953203E-2</v>
      </c>
      <c r="N24">
        <f>U_Pu_Calculations!BH27</f>
        <v>1.7046036626585302E-2</v>
      </c>
      <c r="O24">
        <f>U_Pu_Calculations!BI27</f>
        <v>1.1264912958336879E-3</v>
      </c>
      <c r="P24" s="21">
        <f>U_Pu_Calculations!BJ27</f>
        <v>6.608523262684958E-2</v>
      </c>
      <c r="Q24">
        <f>U_Pu_Calculations!BK27</f>
        <v>3.5772171827027487E-2</v>
      </c>
      <c r="R24">
        <f>U_Pu_Calculations!BL27</f>
        <v>1.648226184662034E-3</v>
      </c>
      <c r="S24" s="21">
        <f>U_Pu_Calculations!BM27</f>
        <v>4.6075653237713815E-2</v>
      </c>
      <c r="T24">
        <f>U_Pu_Calculations!BN27</f>
        <v>0</v>
      </c>
      <c r="U24">
        <f>U_Pu_Calculations!BO27</f>
        <v>0</v>
      </c>
      <c r="V24" s="21" t="e">
        <f>U_Pu_Calculations!BP27</f>
        <v>#DIV/0!</v>
      </c>
    </row>
    <row r="25" spans="1:22" x14ac:dyDescent="0.25">
      <c r="A25" t="str">
        <f>U_Pu_Calculations!B28</f>
        <v>47G</v>
      </c>
      <c r="B25">
        <f>U_Pu_Calculations!AV28</f>
        <v>1.5427360970396655E-2</v>
      </c>
      <c r="C25">
        <f>U_Pu_Calculations!AW28</f>
        <v>9.3036640683009475E-4</v>
      </c>
      <c r="D25" s="21">
        <f>U_Pu_Calculations!AX28</f>
        <v>6.0306257733604714E-2</v>
      </c>
      <c r="E25" s="22">
        <f>U_Pu_Calculations!AY28</f>
        <v>2.5878618406073475</v>
      </c>
      <c r="F25">
        <f>U_Pu_Calculations!AZ28</f>
        <v>0.13712767400548564</v>
      </c>
      <c r="G25" s="21">
        <f>U_Pu_Calculations!BA28</f>
        <v>5.2988792467105986E-2</v>
      </c>
      <c r="H25" s="34">
        <f>U_Pu_Calculations!BB28</f>
        <v>897.94242709061007</v>
      </c>
      <c r="I25">
        <f>U_Pu_Calculations!BC28</f>
        <v>51.127944832883635</v>
      </c>
      <c r="J25" s="21">
        <f>U_Pu_Calculations!BD28</f>
        <v>5.6939001087788439E-2</v>
      </c>
      <c r="K25" s="22">
        <f>U_Pu_Calculations!BE28</f>
        <v>70.750923868690123</v>
      </c>
      <c r="L25">
        <f>U_Pu_Calculations!BF28</f>
        <v>3.1099193052776801</v>
      </c>
      <c r="M25" s="21">
        <f>U_Pu_Calculations!BG28</f>
        <v>4.3955882626345935E-2</v>
      </c>
      <c r="N25">
        <f>U_Pu_Calculations!BH28</f>
        <v>5.8942956639793467</v>
      </c>
      <c r="O25">
        <f>U_Pu_Calculations!BI28</f>
        <v>0.22861044422806232</v>
      </c>
      <c r="P25" s="21">
        <f>U_Pu_Calculations!BJ28</f>
        <v>3.8785031708728913E-2</v>
      </c>
      <c r="Q25">
        <f>U_Pu_Calculations!BK28</f>
        <v>2.2691195528169712</v>
      </c>
      <c r="R25">
        <f>U_Pu_Calculations!BL28</f>
        <v>1.7874978374330365E-2</v>
      </c>
      <c r="S25" s="21">
        <f>U_Pu_Calculations!BM28</f>
        <v>7.8774951950591095E-3</v>
      </c>
      <c r="T25">
        <f>U_Pu_Calculations!BN28</f>
        <v>0.14046189666359682</v>
      </c>
      <c r="U25">
        <f>U_Pu_Calculations!BO28</f>
        <v>2.1479030641751687E-3</v>
      </c>
      <c r="V25" s="21">
        <f>U_Pu_Calculations!BP28</f>
        <v>1.529171337704025E-2</v>
      </c>
    </row>
    <row r="26" spans="1:22" x14ac:dyDescent="0.25">
      <c r="A26" t="str">
        <f>U_Pu_Calculations!B29</f>
        <v>48G</v>
      </c>
      <c r="B26">
        <f>U_Pu_Calculations!AV29</f>
        <v>1.6951893525488457E-2</v>
      </c>
      <c r="C26">
        <f>U_Pu_Calculations!AW29</f>
        <v>1.0236788561719307E-3</v>
      </c>
      <c r="D26" s="21">
        <f>U_Pu_Calculations!AX29</f>
        <v>6.038728680266614E-2</v>
      </c>
      <c r="E26" s="22">
        <f>U_Pu_Calculations!AY29</f>
        <v>2.7329802376411862</v>
      </c>
      <c r="F26">
        <f>U_Pu_Calculations!AZ29</f>
        <v>0.14550204198315814</v>
      </c>
      <c r="G26" s="21">
        <f>U_Pu_Calculations!BA29</f>
        <v>5.3239331912893671E-2</v>
      </c>
      <c r="H26" s="34">
        <f>U_Pu_Calculations!BB29</f>
        <v>963.54762484016771</v>
      </c>
      <c r="I26">
        <f>U_Pu_Calculations!BC29</f>
        <v>55.142084626194809</v>
      </c>
      <c r="J26" s="21">
        <f>U_Pu_Calculations!BD29</f>
        <v>5.722818800507315E-2</v>
      </c>
      <c r="K26" s="22">
        <f>U_Pu_Calculations!BE29</f>
        <v>14.06788024893922</v>
      </c>
      <c r="L26">
        <f>U_Pu_Calculations!BF29</f>
        <v>0.62494169653675724</v>
      </c>
      <c r="M26" s="21">
        <f>U_Pu_Calculations!BG29</f>
        <v>4.4423302265732649E-2</v>
      </c>
      <c r="N26">
        <f>U_Pu_Calculations!BH29</f>
        <v>1.1724070082538363</v>
      </c>
      <c r="O26">
        <f>U_Pu_Calculations!BI29</f>
        <v>4.5897806569050716E-2</v>
      </c>
      <c r="P26" s="21">
        <f>U_Pu_Calculations!BJ29</f>
        <v>3.9148355686998287E-2</v>
      </c>
      <c r="Q26">
        <f>U_Pu_Calculations!BK29</f>
        <v>0.4618633391008895</v>
      </c>
      <c r="R26">
        <f>U_Pu_Calculations!BL29</f>
        <v>3.6417784371506248E-3</v>
      </c>
      <c r="S26" s="21">
        <f>U_Pu_Calculations!BM29</f>
        <v>7.8849697060608525E-3</v>
      </c>
      <c r="T26">
        <f>U_Pu_Calculations!BN29</f>
        <v>2.7961606676203E-2</v>
      </c>
      <c r="U26">
        <f>U_Pu_Calculations!BO29</f>
        <v>4.2938234973859845E-4</v>
      </c>
      <c r="V26" s="21">
        <f>U_Pu_Calculations!BP29</f>
        <v>1.5356140107071477E-2</v>
      </c>
    </row>
    <row r="27" spans="1:22" x14ac:dyDescent="0.25">
      <c r="A27" t="str">
        <f>U_Pu_Calculations!B30</f>
        <v>49G</v>
      </c>
      <c r="B27">
        <f>U_Pu_Calculations!AV30</f>
        <v>1.3623583168839132E-2</v>
      </c>
      <c r="C27">
        <f>U_Pu_Calculations!AW30</f>
        <v>8.253763696525957E-4</v>
      </c>
      <c r="D27" s="21">
        <f>U_Pu_Calculations!AX30</f>
        <v>6.058438220133288E-2</v>
      </c>
      <c r="E27" s="22">
        <f>U_Pu_Calculations!AY30</f>
        <v>2.3116543852214777</v>
      </c>
      <c r="F27">
        <f>U_Pu_Calculations!AZ30</f>
        <v>0.12365416735962104</v>
      </c>
      <c r="G27" s="21">
        <f>U_Pu_Calculations!BA30</f>
        <v>5.349163272422916E-2</v>
      </c>
      <c r="H27" s="34">
        <f>U_Pu_Calculations!BB30</f>
        <v>813.19825781916461</v>
      </c>
      <c r="I27">
        <f>U_Pu_Calculations!BC30</f>
        <v>46.774230559544456</v>
      </c>
      <c r="J27" s="21">
        <f>U_Pu_Calculations!BD30</f>
        <v>5.7518852395212462E-2</v>
      </c>
      <c r="K27" s="22">
        <f>U_Pu_Calculations!BE30</f>
        <v>3.0679241303371279</v>
      </c>
      <c r="L27">
        <f>U_Pu_Calculations!BF30</f>
        <v>0.1377370649154325</v>
      </c>
      <c r="M27" s="21">
        <f>U_Pu_Calculations!BG30</f>
        <v>4.4895851091433889E-2</v>
      </c>
      <c r="N27">
        <f>U_Pu_Calculations!BH30</f>
        <v>0.26021176412455588</v>
      </c>
      <c r="O27">
        <f>U_Pu_Calculations!BI30</f>
        <v>1.0282807059038342E-2</v>
      </c>
      <c r="P27" s="21">
        <f>U_Pu_Calculations!BJ30</f>
        <v>3.9517072157107619E-2</v>
      </c>
      <c r="Q27">
        <f>U_Pu_Calculations!BK30</f>
        <v>0.10276080684254538</v>
      </c>
      <c r="R27">
        <f>U_Pu_Calculations!BL30</f>
        <v>8.1385687055264338E-4</v>
      </c>
      <c r="S27" s="21">
        <f>U_Pu_Calculations!BM30</f>
        <v>7.9199151462451111E-3</v>
      </c>
      <c r="T27">
        <f>U_Pu_Calculations!BN30</f>
        <v>6.8315533128004806E-3</v>
      </c>
      <c r="U27">
        <f>U_Pu_Calculations!BO30</f>
        <v>1.0669308545413917E-4</v>
      </c>
      <c r="V27" s="21">
        <f>U_Pu_Calculations!BP30</f>
        <v>1.5617690526431994E-2</v>
      </c>
    </row>
    <row r="28" spans="1:22" x14ac:dyDescent="0.25">
      <c r="A28" t="str">
        <f>U_Pu_Calculations!B31</f>
        <v>50G</v>
      </c>
      <c r="B28">
        <f>U_Pu_Calculations!AV31</f>
        <v>5.4730860662604939E-3</v>
      </c>
      <c r="C28">
        <f>U_Pu_Calculations!AW31</f>
        <v>3.3498468859134072E-4</v>
      </c>
      <c r="D28" s="21">
        <f>U_Pu_Calculations!AX31</f>
        <v>6.1205814148692937E-2</v>
      </c>
      <c r="E28" s="22">
        <f>U_Pu_Calculations!AY31</f>
        <v>0.87555823807747446</v>
      </c>
      <c r="F28">
        <f>U_Pu_Calculations!AZ31</f>
        <v>4.7059707824728063E-2</v>
      </c>
      <c r="G28" s="21">
        <f>U_Pu_Calculations!BA31</f>
        <v>5.3748232588228979E-2</v>
      </c>
      <c r="H28" s="34">
        <f>U_Pu_Calculations!BB31</f>
        <v>306.03499278750127</v>
      </c>
      <c r="I28">
        <f>U_Pu_Calculations!BC31</f>
        <v>17.692188530093674</v>
      </c>
      <c r="J28" s="21">
        <f>U_Pu_Calculations!BD31</f>
        <v>5.7810998568972267E-2</v>
      </c>
      <c r="K28" s="22">
        <f>U_Pu_Calculations!BE31</f>
        <v>32.882958272589747</v>
      </c>
      <c r="L28">
        <f>U_Pu_Calculations!BF31</f>
        <v>1.4919991270010862</v>
      </c>
      <c r="M28" s="21">
        <f>U_Pu_Calculations!BG31</f>
        <v>4.5373020110686703E-2</v>
      </c>
      <c r="N28">
        <f>U_Pu_Calculations!BH31</f>
        <v>2.7273816840307696</v>
      </c>
      <c r="O28">
        <f>U_Pu_Calculations!BI31</f>
        <v>0.10877812039857376</v>
      </c>
      <c r="P28" s="21">
        <f>U_Pu_Calculations!BJ31</f>
        <v>3.9883717425942267E-2</v>
      </c>
      <c r="Q28">
        <f>U_Pu_Calculations!BK31</f>
        <v>1.1124214921184845</v>
      </c>
      <c r="R28">
        <f>U_Pu_Calculations!BL31</f>
        <v>8.7653133729507088E-3</v>
      </c>
      <c r="S28" s="21">
        <f>U_Pu_Calculations!BM31</f>
        <v>7.8794894157053121E-3</v>
      </c>
      <c r="T28">
        <f>U_Pu_Calculations!BN31</f>
        <v>6.6108473239841523E-2</v>
      </c>
      <c r="U28">
        <f>U_Pu_Calculations!BO31</f>
        <v>1.012107830996108E-3</v>
      </c>
      <c r="V28" s="21">
        <f>U_Pu_Calculations!BP31</f>
        <v>1.5309804952296828E-2</v>
      </c>
    </row>
    <row r="29" spans="1:22" x14ac:dyDescent="0.25">
      <c r="A29" t="str">
        <f>U_Pu_Calculations!B32</f>
        <v>51G</v>
      </c>
      <c r="B29">
        <f>U_Pu_Calculations!AV32</f>
        <v>1.3635696128465251E-3</v>
      </c>
      <c r="C29">
        <f>U_Pu_Calculations!AW32</f>
        <v>8.7170101326500895E-5</v>
      </c>
      <c r="D29" s="21">
        <f>U_Pu_Calculations!AX32</f>
        <v>6.3927870279045465E-2</v>
      </c>
      <c r="E29" s="22">
        <f>U_Pu_Calculations!AY32</f>
        <v>0.23820722497572314</v>
      </c>
      <c r="F29">
        <f>U_Pu_Calculations!AZ32</f>
        <v>1.2867541063608214E-2</v>
      </c>
      <c r="G29" s="21">
        <f>U_Pu_Calculations!BA32</f>
        <v>5.4018265251692545E-2</v>
      </c>
      <c r="H29" s="34">
        <f>U_Pu_Calculations!BB32</f>
        <v>84.71295628929947</v>
      </c>
      <c r="I29">
        <f>U_Pu_Calculations!BC32</f>
        <v>4.9222149597320222</v>
      </c>
      <c r="J29" s="21">
        <f>U_Pu_Calculations!BD32</f>
        <v>5.8104629744267021E-2</v>
      </c>
      <c r="K29" s="22">
        <f>U_Pu_Calculations!BE32</f>
        <v>8.6102098487931098</v>
      </c>
      <c r="L29">
        <f>U_Pu_Calculations!BF32</f>
        <v>0.39482582439490521</v>
      </c>
      <c r="M29" s="21">
        <f>U_Pu_Calculations!BG32</f>
        <v>4.5855540263080558E-2</v>
      </c>
      <c r="N29">
        <f>U_Pu_Calculations!BH32</f>
        <v>0.72847015835270823</v>
      </c>
      <c r="O29">
        <f>U_Pu_Calculations!BI32</f>
        <v>2.9326436292097899E-2</v>
      </c>
      <c r="P29" s="21">
        <f>U_Pu_Calculations!BJ32</f>
        <v>4.0257567116289097E-2</v>
      </c>
      <c r="Q29">
        <f>U_Pu_Calculations!BK32</f>
        <v>0.3098622829590143</v>
      </c>
      <c r="R29">
        <f>U_Pu_Calculations!BL32</f>
        <v>2.4447813161811009E-3</v>
      </c>
      <c r="S29" s="21">
        <f>U_Pu_Calculations!BM32</f>
        <v>7.8898964173205743E-3</v>
      </c>
      <c r="T29">
        <f>U_Pu_Calculations!BN32</f>
        <v>1.7473488650221178E-2</v>
      </c>
      <c r="U29">
        <f>U_Pu_Calculations!BO32</f>
        <v>2.6920293530475228E-4</v>
      </c>
      <c r="V29" s="21">
        <f>U_Pu_Calculations!BP32</f>
        <v>1.5406364504168133E-2</v>
      </c>
    </row>
    <row r="30" spans="1:22" x14ac:dyDescent="0.25">
      <c r="A30" t="str">
        <f>U_Pu_Calculations!B33</f>
        <v>52G</v>
      </c>
      <c r="B30">
        <f>U_Pu_Calculations!AV33</f>
        <v>2.10343076328422E-3</v>
      </c>
      <c r="C30">
        <f>U_Pu_Calculations!AW33</f>
        <v>1.3220694263755382E-4</v>
      </c>
      <c r="D30" s="21">
        <f>U_Pu_Calculations!AX33</f>
        <v>6.2853004218275638E-2</v>
      </c>
      <c r="E30" s="22">
        <f>U_Pu_Calculations!AY33</f>
        <v>0.35468726463378919</v>
      </c>
      <c r="F30">
        <f>U_Pu_Calculations!AZ33</f>
        <v>1.92476906238036E-2</v>
      </c>
      <c r="G30" s="21">
        <f>U_Pu_Calculations!BA33</f>
        <v>5.4266652747390398E-2</v>
      </c>
      <c r="H30" s="34">
        <f>U_Pu_Calculations!BB33</f>
        <v>124.16420430040495</v>
      </c>
      <c r="I30">
        <f>U_Pu_Calculations!BC33</f>
        <v>7.2511577658532973</v>
      </c>
      <c r="J30" s="21">
        <f>U_Pu_Calculations!BD33</f>
        <v>5.8399744167084787E-2</v>
      </c>
      <c r="K30" s="22">
        <f>U_Pu_Calculations!BE33</f>
        <v>11.988428940357251</v>
      </c>
      <c r="L30">
        <f>U_Pu_Calculations!BF33</f>
        <v>0.55558104052203783</v>
      </c>
      <c r="M30" s="21">
        <f>U_Pu_Calculations!BG33</f>
        <v>4.6343106614391935E-2</v>
      </c>
      <c r="N30">
        <f>U_Pu_Calculations!BH33</f>
        <v>0.99916401776965058</v>
      </c>
      <c r="O30">
        <f>U_Pu_Calculations!BI33</f>
        <v>4.0599840881900807E-2</v>
      </c>
      <c r="P30" s="21">
        <f>U_Pu_Calculations!BJ33</f>
        <v>4.0633810025033128E-2</v>
      </c>
      <c r="Q30">
        <f>U_Pu_Calculations!BK33</f>
        <v>0.43741810822088262</v>
      </c>
      <c r="R30">
        <f>U_Pu_Calculations!BL33</f>
        <v>3.4494126787636193E-3</v>
      </c>
      <c r="S30" s="21">
        <f>U_Pu_Calculations!BM33</f>
        <v>7.8858479197248341E-3</v>
      </c>
      <c r="T30">
        <f>U_Pu_Calculations!BN33</f>
        <v>2.5135234821896814E-2</v>
      </c>
      <c r="U30">
        <f>U_Pu_Calculations!BO33</f>
        <v>3.8626987284047677E-4</v>
      </c>
      <c r="V30" s="21">
        <f>U_Pu_Calculations!BP33</f>
        <v>1.536766517510208E-2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workbookViewId="0">
      <selection activeCell="C6" sqref="C6:H6"/>
    </sheetView>
  </sheetViews>
  <sheetFormatPr defaultRowHeight="15" x14ac:dyDescent="0.25"/>
  <cols>
    <col min="2" max="2" width="17" bestFit="1" customWidth="1"/>
    <col min="7" max="7" width="12" bestFit="1" customWidth="1"/>
    <col min="9" max="9" width="12.140625" customWidth="1"/>
    <col min="10" max="10" width="12" bestFit="1" customWidth="1"/>
    <col min="11" max="11" width="12.140625" bestFit="1" customWidth="1"/>
    <col min="12" max="12" width="6.140625" customWidth="1"/>
    <col min="13" max="13" width="15" bestFit="1" customWidth="1"/>
    <col min="14" max="14" width="7.7109375" customWidth="1"/>
    <col min="21" max="21" width="4.140625" customWidth="1"/>
    <col min="23" max="23" width="4.140625" customWidth="1"/>
    <col min="24" max="24" width="13.28515625" customWidth="1"/>
  </cols>
  <sheetData>
    <row r="1" spans="1:30" x14ac:dyDescent="0.25">
      <c r="A1" t="s">
        <v>295</v>
      </c>
      <c r="C1" s="45" t="s">
        <v>272</v>
      </c>
      <c r="D1" s="45"/>
      <c r="E1" s="45"/>
      <c r="F1" s="45"/>
      <c r="G1" s="45"/>
      <c r="H1" s="45"/>
      <c r="I1" s="35" t="s">
        <v>286</v>
      </c>
      <c r="K1" s="35"/>
      <c r="O1" s="45" t="s">
        <v>273</v>
      </c>
      <c r="P1" s="45"/>
      <c r="Q1" s="45"/>
      <c r="R1" s="45"/>
      <c r="S1" s="45"/>
      <c r="T1" s="45"/>
    </row>
    <row r="2" spans="1:30" x14ac:dyDescent="0.25">
      <c r="A2" t="s">
        <v>294</v>
      </c>
      <c r="B2" t="str">
        <f>U_Pu_Results!A1</f>
        <v>Sample ID</v>
      </c>
      <c r="C2" t="s">
        <v>219</v>
      </c>
      <c r="D2" s="14" t="s">
        <v>211</v>
      </c>
      <c r="E2" t="s">
        <v>214</v>
      </c>
      <c r="F2" t="s">
        <v>220</v>
      </c>
      <c r="G2" s="14" t="s">
        <v>211</v>
      </c>
      <c r="H2" t="s">
        <v>214</v>
      </c>
      <c r="M2" t="s">
        <v>222</v>
      </c>
      <c r="O2" t="s">
        <v>219</v>
      </c>
      <c r="P2" s="14" t="s">
        <v>211</v>
      </c>
      <c r="Q2" t="s">
        <v>214</v>
      </c>
      <c r="R2" t="s">
        <v>220</v>
      </c>
      <c r="S2" s="14" t="s">
        <v>211</v>
      </c>
      <c r="T2" t="s">
        <v>214</v>
      </c>
      <c r="X2" t="s">
        <v>0</v>
      </c>
      <c r="Y2" t="str">
        <f t="shared" ref="Y2:Y29" si="0">O2</f>
        <v>U ppb</v>
      </c>
      <c r="Z2" t="str">
        <f t="shared" ref="Z2:AD2" si="1">P2</f>
        <v>±</v>
      </c>
      <c r="AA2" t="str">
        <f t="shared" si="1"/>
        <v>%</v>
      </c>
      <c r="AB2" t="str">
        <f t="shared" si="1"/>
        <v>Pu ppb</v>
      </c>
      <c r="AC2" t="str">
        <f t="shared" si="1"/>
        <v>±</v>
      </c>
      <c r="AD2" t="str">
        <f t="shared" si="1"/>
        <v>%</v>
      </c>
    </row>
    <row r="3" spans="1:30" s="28" customFormat="1" x14ac:dyDescent="0.25">
      <c r="B3" s="28" t="str">
        <f>U_Pu_Results!A2</f>
        <v>87G Trace</v>
      </c>
      <c r="C3" s="28">
        <f>U_Pu_Results!B2+U_Pu_Results!E2+U_Pu_Results!H2</f>
        <v>417.70423879086655</v>
      </c>
      <c r="D3" s="28">
        <f>(U_Pu_Results!C2^2+U_Pu_Results!F2^2+U_Pu_Results!I2^2)^0.5</f>
        <v>22.008561753420253</v>
      </c>
      <c r="E3" s="29">
        <f>D3/C3</f>
        <v>5.2689342624649201E-2</v>
      </c>
      <c r="F3" s="28">
        <f>U_Pu_Results!N2+U_Pu_Results!Q2+U_Pu_Results!T2+U_Pu_Results!K2</f>
        <v>51.735853515277476</v>
      </c>
      <c r="G3" s="28">
        <f>(U_Pu_Results!L2^2+U_Pu_Results!O2^2+U_Pu_Results!U2^2+U_Pu_Results!R2^2)^0.5</f>
        <v>1.3526415717449001</v>
      </c>
      <c r="H3" s="29">
        <f>G3/F3</f>
        <v>2.6145148477070515E-2</v>
      </c>
      <c r="I3" s="29"/>
      <c r="J3" s="29" t="s">
        <v>287</v>
      </c>
      <c r="K3" s="14" t="s">
        <v>211</v>
      </c>
      <c r="M3" s="17">
        <f>Evap_calcs!W3</f>
        <v>0.37425064032496902</v>
      </c>
      <c r="N3" s="17"/>
      <c r="O3" s="17">
        <f>M3*C3</f>
        <v>156.32607883393558</v>
      </c>
      <c r="P3" s="17">
        <f>M3*D3</f>
        <v>8.2367183288491521</v>
      </c>
      <c r="Q3" s="25">
        <f>P3/O3</f>
        <v>5.2689342624649194E-2</v>
      </c>
      <c r="R3" s="17">
        <f>M3*F3</f>
        <v>19.362176305851396</v>
      </c>
      <c r="S3" s="17">
        <f t="shared" ref="S3:S30" si="2">M3*G3</f>
        <v>0.50622697435570141</v>
      </c>
      <c r="T3" s="25">
        <f>S3/R3</f>
        <v>2.6145148477070515E-2</v>
      </c>
      <c r="X3" s="28" t="s">
        <v>4</v>
      </c>
      <c r="Y3">
        <f t="shared" si="0"/>
        <v>156.32607883393558</v>
      </c>
      <c r="Z3">
        <f t="shared" ref="Z3:Z29" si="3">P3</f>
        <v>8.2367183288491521</v>
      </c>
      <c r="AA3">
        <f t="shared" ref="AA3:AA29" si="4">Q3</f>
        <v>5.2689342624649194E-2</v>
      </c>
      <c r="AB3">
        <f t="shared" ref="AB3:AB29" si="5">R3</f>
        <v>19.362176305851396</v>
      </c>
      <c r="AC3">
        <f t="shared" ref="AC3:AC29" si="6">S3</f>
        <v>0.50622697435570141</v>
      </c>
      <c r="AD3">
        <f t="shared" ref="AD3:AD29" si="7">T3</f>
        <v>2.6145148477070515E-2</v>
      </c>
    </row>
    <row r="4" spans="1:30" x14ac:dyDescent="0.25">
      <c r="A4">
        <v>0.88120500000000002</v>
      </c>
      <c r="B4" t="str">
        <f>U_Pu_Results!A3</f>
        <v>90G Trace</v>
      </c>
      <c r="C4">
        <f>U_Pu_Results!B3+U_Pu_Results!E3+U_Pu_Results!H3</f>
        <v>1706.110823195545</v>
      </c>
      <c r="D4">
        <f>(U_Pu_Results!C3^2+U_Pu_Results!F3^2+U_Pu_Results!I3^2)^0.5</f>
        <v>87.088988016072108</v>
      </c>
      <c r="E4" s="21">
        <f t="shared" ref="E4:E30" si="8">D4/C4</f>
        <v>5.1045328845024537E-2</v>
      </c>
      <c r="F4">
        <f>U_Pu_Results!N3+U_Pu_Results!Q3+U_Pu_Results!T3+U_Pu_Results!K3</f>
        <v>535.35474461366937</v>
      </c>
      <c r="G4">
        <f>(U_Pu_Results!L3^2+U_Pu_Results!O3^2+U_Pu_Results!U3^2+U_Pu_Results!R3^2)^0.5</f>
        <v>17.059151877925519</v>
      </c>
      <c r="H4" s="21">
        <f t="shared" ref="H4:H30" si="9">G4/F4</f>
        <v>3.1865136247622119E-2</v>
      </c>
      <c r="I4" s="21" t="s">
        <v>289</v>
      </c>
      <c r="J4" s="37">
        <f>C8/C7-1</f>
        <v>37.317852888626717</v>
      </c>
      <c r="K4" s="37">
        <f>(((D8+300)/C7)^2+((C8*(D7+300))/(C7^2))^2)^0.5</f>
        <v>4.0505084053944334</v>
      </c>
      <c r="M4" s="17">
        <f>Evap_calcs!W4</f>
        <v>0.75418713520555147</v>
      </c>
      <c r="N4" s="17"/>
      <c r="O4" s="17">
        <f t="shared" ref="O4:O30" si="10">M4*C4</f>
        <v>1286.7268340890332</v>
      </c>
      <c r="P4" s="17">
        <f t="shared" ref="P4:P30" si="11">M4*D4</f>
        <v>65.681394379792025</v>
      </c>
      <c r="Q4" s="25">
        <f t="shared" ref="Q4:Q30" si="12">P4/O4</f>
        <v>5.104532884502453E-2</v>
      </c>
      <c r="R4" s="17">
        <f t="shared" ref="R4:R30" si="13">M4*F4</f>
        <v>403.75766115888291</v>
      </c>
      <c r="S4" s="17">
        <f t="shared" si="2"/>
        <v>12.86579288384905</v>
      </c>
      <c r="T4" s="25">
        <f t="shared" ref="T4:T30" si="14">S4/R4</f>
        <v>3.1865136247622119E-2</v>
      </c>
      <c r="V4">
        <f>R4*12</f>
        <v>4845.0919339065949</v>
      </c>
      <c r="X4" t="s">
        <v>5</v>
      </c>
      <c r="Y4">
        <f t="shared" si="0"/>
        <v>1286.7268340890332</v>
      </c>
      <c r="Z4">
        <f t="shared" si="3"/>
        <v>65.681394379792025</v>
      </c>
      <c r="AA4">
        <f t="shared" si="4"/>
        <v>5.104532884502453E-2</v>
      </c>
      <c r="AB4">
        <f t="shared" si="5"/>
        <v>403.75766115888291</v>
      </c>
      <c r="AC4">
        <f t="shared" si="6"/>
        <v>12.86579288384905</v>
      </c>
      <c r="AD4">
        <f t="shared" si="7"/>
        <v>3.1865136247622119E-2</v>
      </c>
    </row>
    <row r="5" spans="1:30" x14ac:dyDescent="0.25">
      <c r="B5" t="str">
        <f>U_Pu_Results!A4</f>
        <v>93G Trace</v>
      </c>
      <c r="C5">
        <f>U_Pu_Results!B4+U_Pu_Results!E4+U_Pu_Results!H4</f>
        <v>6.8905239099824485</v>
      </c>
      <c r="D5">
        <f>(U_Pu_Results!C4^2+U_Pu_Results!F4^2+U_Pu_Results!I4^2)^0.5</f>
        <v>0.35310085046929385</v>
      </c>
      <c r="E5" s="21">
        <f t="shared" si="8"/>
        <v>5.124441262844312E-2</v>
      </c>
      <c r="F5">
        <f>U_Pu_Results!N4+U_Pu_Results!Q4+U_Pu_Results!T4+U_Pu_Results!K4</f>
        <v>32.38041994413804</v>
      </c>
      <c r="G5">
        <f>(U_Pu_Results!L4^2+U_Pu_Results!O4^2+U_Pu_Results!U4^2+U_Pu_Results!R4^2)^0.5</f>
        <v>1.0348924262597918</v>
      </c>
      <c r="H5" s="21">
        <f t="shared" si="9"/>
        <v>3.1960438686254367E-2</v>
      </c>
      <c r="I5" s="21" t="s">
        <v>288</v>
      </c>
      <c r="J5" s="37">
        <f>0.5/0.7</f>
        <v>0.7142857142857143</v>
      </c>
      <c r="K5" s="37">
        <f>((0.005/0.7)^2+((0.007*0.5)/(0.7^2))^2)^0.5</f>
        <v>1.0101525445522109E-2</v>
      </c>
      <c r="M5" s="17">
        <f>Evap_calcs!W5</f>
        <v>0.92224001877812622</v>
      </c>
      <c r="N5" s="17"/>
      <c r="O5" s="17">
        <f t="shared" si="10"/>
        <v>6.354716900133341</v>
      </c>
      <c r="P5" s="17">
        <f t="shared" si="11"/>
        <v>0.32564373496737392</v>
      </c>
      <c r="Q5" s="25">
        <f t="shared" si="12"/>
        <v>5.1244412628443127E-2</v>
      </c>
      <c r="R5" s="17">
        <f t="shared" si="13"/>
        <v>29.862519097325478</v>
      </c>
      <c r="S5" s="17">
        <f t="shared" si="2"/>
        <v>0.95441921062717106</v>
      </c>
      <c r="T5" s="25">
        <f t="shared" si="14"/>
        <v>3.1960438686254367E-2</v>
      </c>
      <c r="X5" t="s">
        <v>6</v>
      </c>
      <c r="Y5">
        <f t="shared" si="0"/>
        <v>6.354716900133341</v>
      </c>
      <c r="Z5">
        <f t="shared" si="3"/>
        <v>0.32564373496737392</v>
      </c>
      <c r="AA5">
        <f t="shared" si="4"/>
        <v>5.1244412628443127E-2</v>
      </c>
      <c r="AB5">
        <f t="shared" si="5"/>
        <v>29.862519097325478</v>
      </c>
      <c r="AC5">
        <f t="shared" si="6"/>
        <v>0.95441921062717106</v>
      </c>
      <c r="AD5">
        <f t="shared" si="7"/>
        <v>3.1960438686254367E-2</v>
      </c>
    </row>
    <row r="6" spans="1:30" x14ac:dyDescent="0.25">
      <c r="B6" t="str">
        <f>U_Pu_Results!A5</f>
        <v>96G Trace</v>
      </c>
      <c r="C6">
        <f>U_Pu_Results!B5+U_Pu_Results!E5+U_Pu_Results!H5</f>
        <v>7.1453545682368249</v>
      </c>
      <c r="D6">
        <f>(U_Pu_Results!C5^2+U_Pu_Results!F5^2+U_Pu_Results!I5^2)^0.5</f>
        <v>0.36730141027908181</v>
      </c>
      <c r="E6" s="21">
        <f t="shared" si="8"/>
        <v>5.1404224488990818E-2</v>
      </c>
      <c r="F6">
        <f>U_Pu_Results!N5+U_Pu_Results!Q5+U_Pu_Results!T5+U_Pu_Results!K5</f>
        <v>3.2928775486790309</v>
      </c>
      <c r="G6">
        <f>(U_Pu_Results!L5^2+U_Pu_Results!O5^2+U_Pu_Results!U5^2+U_Pu_Results!R5^2)^0.5</f>
        <v>0.10698574217929983</v>
      </c>
      <c r="H6" s="21">
        <f t="shared" si="9"/>
        <v>3.2490045741973665E-2</v>
      </c>
      <c r="I6" s="21"/>
      <c r="J6" s="35" t="s">
        <v>285</v>
      </c>
      <c r="K6" s="14" t="s">
        <v>211</v>
      </c>
      <c r="M6" s="17">
        <f>Evap_calcs!W6</f>
        <v>0.71552010004725974</v>
      </c>
      <c r="N6" s="17"/>
      <c r="O6" s="17">
        <f t="shared" si="10"/>
        <v>5.1126448155379576</v>
      </c>
      <c r="P6" s="17">
        <f t="shared" si="11"/>
        <v>0.26281154183038824</v>
      </c>
      <c r="Q6" s="25">
        <f t="shared" si="12"/>
        <v>5.1404224488990818E-2</v>
      </c>
      <c r="R6" s="17">
        <f t="shared" si="13"/>
        <v>2.3561200730741958</v>
      </c>
      <c r="S6" s="17">
        <f t="shared" si="2"/>
        <v>7.6550448947762958E-2</v>
      </c>
      <c r="T6" s="25">
        <f t="shared" si="14"/>
        <v>3.2490045741973665E-2</v>
      </c>
      <c r="V6">
        <f>V4/R8</f>
        <v>0.9752078916865875</v>
      </c>
      <c r="X6" t="s">
        <v>7</v>
      </c>
      <c r="Y6">
        <f t="shared" si="0"/>
        <v>5.1126448155379576</v>
      </c>
      <c r="Z6">
        <f t="shared" si="3"/>
        <v>0.26281154183038824</v>
      </c>
      <c r="AA6">
        <f t="shared" si="4"/>
        <v>5.1404224488990818E-2</v>
      </c>
      <c r="AB6">
        <f t="shared" si="5"/>
        <v>2.3561200730741958</v>
      </c>
      <c r="AC6">
        <f t="shared" si="6"/>
        <v>7.6550448947762958E-2</v>
      </c>
      <c r="AD6">
        <f t="shared" si="7"/>
        <v>3.2490045741973665E-2</v>
      </c>
    </row>
    <row r="7" spans="1:30" s="26" customFormat="1" x14ac:dyDescent="0.25">
      <c r="B7" s="26" t="str">
        <f>U_Pu_Results!A6</f>
        <v>30G Trace Waste</v>
      </c>
      <c r="C7" s="26">
        <f>U_Pu_Results!B6+U_Pu_Results!E6+U_Pu_Results!H6</f>
        <v>7613.8389017072286</v>
      </c>
      <c r="D7" s="26">
        <f>(U_Pu_Results!C6^2+U_Pu_Results!F6^2+U_Pu_Results!I6^2)^0.5</f>
        <v>396.14000292217042</v>
      </c>
      <c r="E7" s="27">
        <f t="shared" si="8"/>
        <v>5.202894466723549E-2</v>
      </c>
      <c r="F7" s="26">
        <f>U_Pu_Results!N6+U_Pu_Results!Q6+U_Pu_Results!T6+U_Pu_Results!K6</f>
        <v>346.16526717543923</v>
      </c>
      <c r="G7" s="26">
        <f>(U_Pu_Results!L6^2+U_Pu_Results!O6^2+U_Pu_Results!U6^2+U_Pu_Results!R6^2)^0.5</f>
        <v>10.9443837258387</v>
      </c>
      <c r="H7" s="27">
        <f t="shared" si="9"/>
        <v>3.1616065398877818E-2</v>
      </c>
      <c r="I7" s="27"/>
      <c r="J7" s="36">
        <f>(0.5/0.7)*(C8/C7-1)</f>
        <v>26.655609206161941</v>
      </c>
      <c r="K7" s="38">
        <f>((J5*K4)^2+(K5*J4)^2)^0.5</f>
        <v>2.9176750923286678</v>
      </c>
      <c r="M7" s="26">
        <f>Evap_calcs!W7</f>
        <v>0.60567377492599594</v>
      </c>
      <c r="O7" s="26">
        <f t="shared" si="10"/>
        <v>4611.5025492754157</v>
      </c>
      <c r="P7" s="26">
        <f t="shared" si="11"/>
        <v>239.93161096906601</v>
      </c>
      <c r="Q7" s="27">
        <f t="shared" si="12"/>
        <v>5.202894466723549E-2</v>
      </c>
      <c r="R7" s="26">
        <f t="shared" si="13"/>
        <v>209.66322411841423</v>
      </c>
      <c r="S7" s="26">
        <f t="shared" si="2"/>
        <v>6.6287262054673617</v>
      </c>
      <c r="T7" s="27">
        <f t="shared" si="14"/>
        <v>3.1616065398877818E-2</v>
      </c>
      <c r="X7" s="26" t="s">
        <v>8</v>
      </c>
      <c r="Y7">
        <f t="shared" si="0"/>
        <v>4611.5025492754157</v>
      </c>
      <c r="Z7">
        <f t="shared" si="3"/>
        <v>239.93161096906601</v>
      </c>
      <c r="AA7">
        <f t="shared" si="4"/>
        <v>5.202894466723549E-2</v>
      </c>
      <c r="AB7">
        <f t="shared" si="5"/>
        <v>209.66322411841423</v>
      </c>
      <c r="AC7">
        <f t="shared" si="6"/>
        <v>6.6287262054673617</v>
      </c>
      <c r="AD7">
        <f t="shared" si="7"/>
        <v>3.1616065398877818E-2</v>
      </c>
    </row>
    <row r="8" spans="1:30" s="26" customFormat="1" x14ac:dyDescent="0.25">
      <c r="B8" s="26" t="str">
        <f>U_Pu_Results!A7</f>
        <v>30G Trace Original</v>
      </c>
      <c r="C8" s="26">
        <f>U_Pu_Results!B7+U_Pu_Results!E7+U_Pu_Results!H7</f>
        <v>291745.95895332081</v>
      </c>
      <c r="D8" s="26">
        <f>(U_Pu_Results!C7^2+U_Pu_Results!F7^2+U_Pu_Results!I7^2)^0.5</f>
        <v>15177.945847267594</v>
      </c>
      <c r="E8" s="27">
        <f t="shared" si="8"/>
        <v>5.2024528126184112E-2</v>
      </c>
      <c r="F8" s="30">
        <f>U_Pu_Results!N7+U_Pu_Results!Q7+U_Pu_Results!T7+U_Pu_Results!K7</f>
        <v>5945.7189836632788</v>
      </c>
      <c r="G8" s="26">
        <f>(U_Pu_Results!L7^2+U_Pu_Results!O7^2+U_Pu_Results!U7^2+U_Pu_Results!R7^2)^0.5</f>
        <v>196.46337079698304</v>
      </c>
      <c r="H8" s="27">
        <f t="shared" si="9"/>
        <v>3.3042828182225648E-2</v>
      </c>
      <c r="I8" s="27"/>
      <c r="J8" s="27"/>
      <c r="K8" s="27"/>
      <c r="M8" s="26">
        <f>Evap_calcs!W8</f>
        <v>0.83560385704572571</v>
      </c>
      <c r="O8" s="26">
        <f t="shared" si="10"/>
        <v>243784.04857889883</v>
      </c>
      <c r="P8" s="26">
        <f t="shared" si="11"/>
        <v>12682.750092007956</v>
      </c>
      <c r="Q8" s="27">
        <f t="shared" si="12"/>
        <v>5.2024528126184112E-2</v>
      </c>
      <c r="R8" s="26">
        <f t="shared" si="13"/>
        <v>4968.2657156590276</v>
      </c>
      <c r="S8" s="26">
        <f t="shared" si="2"/>
        <v>164.16555040616362</v>
      </c>
      <c r="T8" s="27">
        <f t="shared" si="14"/>
        <v>3.3042828182225654E-2</v>
      </c>
      <c r="X8" s="26" t="s">
        <v>9</v>
      </c>
      <c r="Y8">
        <f t="shared" si="0"/>
        <v>243784.04857889883</v>
      </c>
      <c r="Z8">
        <f t="shared" si="3"/>
        <v>12682.750092007956</v>
      </c>
      <c r="AA8">
        <f t="shared" si="4"/>
        <v>5.2024528126184112E-2</v>
      </c>
      <c r="AB8">
        <f t="shared" si="5"/>
        <v>4968.2657156590276</v>
      </c>
      <c r="AC8">
        <f t="shared" si="6"/>
        <v>164.16555040616362</v>
      </c>
      <c r="AD8">
        <f t="shared" si="7"/>
        <v>3.3042828182225654E-2</v>
      </c>
    </row>
    <row r="9" spans="1:30" x14ac:dyDescent="0.25">
      <c r="B9" t="str">
        <f>U_Pu_Results!A8</f>
        <v>42G taper</v>
      </c>
      <c r="C9">
        <f>U_Pu_Results!B8+U_Pu_Results!E8+U_Pu_Results!H8</f>
        <v>6746.4750777799927</v>
      </c>
      <c r="D9">
        <f>(U_Pu_Results!C8^2+U_Pu_Results!F8^2+U_Pu_Results!I8^2)^0.5</f>
        <v>351.74673676978648</v>
      </c>
      <c r="E9" s="21">
        <f t="shared" si="8"/>
        <v>5.2137854615114491E-2</v>
      </c>
      <c r="F9">
        <f>U_Pu_Results!N8+U_Pu_Results!Q8+U_Pu_Results!T8+U_Pu_Results!K8</f>
        <v>348.91394938587928</v>
      </c>
      <c r="G9">
        <f>(U_Pu_Results!L8^2+U_Pu_Results!O8^2+U_Pu_Results!U8^2+U_Pu_Results!R8^2)^0.5</f>
        <v>11.596407984290085</v>
      </c>
      <c r="H9" s="21">
        <f t="shared" si="9"/>
        <v>3.3235724753053961E-2</v>
      </c>
      <c r="I9" s="21"/>
      <c r="J9" s="21" t="s">
        <v>284</v>
      </c>
      <c r="K9" s="14" t="s">
        <v>211</v>
      </c>
      <c r="M9" s="17">
        <f>Evap_calcs!W9</f>
        <v>0.87218721847700009</v>
      </c>
      <c r="N9" s="17"/>
      <c r="O9" s="17">
        <f t="shared" si="10"/>
        <v>5884.189332613335</v>
      </c>
      <c r="P9" s="17">
        <f t="shared" si="11"/>
        <v>306.7890079516016</v>
      </c>
      <c r="Q9" s="25">
        <f t="shared" si="12"/>
        <v>5.2137854615114484E-2</v>
      </c>
      <c r="R9" s="17">
        <f t="shared" si="13"/>
        <v>304.31828700269483</v>
      </c>
      <c r="S9" s="17">
        <f t="shared" si="2"/>
        <v>10.114238824142445</v>
      </c>
      <c r="T9" s="25">
        <f t="shared" si="14"/>
        <v>3.3235724753053968E-2</v>
      </c>
      <c r="X9" t="s">
        <v>19</v>
      </c>
      <c r="Y9">
        <f t="shared" si="0"/>
        <v>5884.189332613335</v>
      </c>
      <c r="Z9">
        <f t="shared" si="3"/>
        <v>306.7890079516016</v>
      </c>
      <c r="AA9">
        <f t="shared" si="4"/>
        <v>5.2137854615114484E-2</v>
      </c>
      <c r="AB9">
        <f t="shared" si="5"/>
        <v>304.31828700269483</v>
      </c>
      <c r="AC9">
        <f t="shared" si="6"/>
        <v>10.114238824142445</v>
      </c>
      <c r="AD9">
        <f t="shared" si="7"/>
        <v>3.3235724753053968E-2</v>
      </c>
    </row>
    <row r="10" spans="1:30" x14ac:dyDescent="0.25">
      <c r="B10" t="str">
        <f>U_Pu_Results!A9</f>
        <v>70G</v>
      </c>
      <c r="C10">
        <f>U_Pu_Results!B9+U_Pu_Results!E9+U_Pu_Results!H9</f>
        <v>165.5907777395428</v>
      </c>
      <c r="D10">
        <f>(U_Pu_Results!C9^2+U_Pu_Results!F9^2+U_Pu_Results!I9^2)^0.5</f>
        <v>8.747252808417306</v>
      </c>
      <c r="E10" s="21">
        <f t="shared" si="8"/>
        <v>5.2824516726262566E-2</v>
      </c>
      <c r="F10">
        <f>U_Pu_Results!N9+U_Pu_Results!Q9+U_Pu_Results!T9+U_Pu_Results!K9</f>
        <v>67.532247260396289</v>
      </c>
      <c r="G10">
        <f>(U_Pu_Results!L9^2+U_Pu_Results!O9^2+U_Pu_Results!U9^2+U_Pu_Results!R9^2)^0.5</f>
        <v>2.2986792249861683</v>
      </c>
      <c r="H10" s="21">
        <f t="shared" si="9"/>
        <v>3.4038245700942472E-2</v>
      </c>
      <c r="I10" s="21"/>
      <c r="J10" s="37">
        <f>J11*J12</f>
        <v>11.554253431311679</v>
      </c>
      <c r="K10" s="37">
        <f>((J11*K12)^2+(K11*J12)^2)^0.5</f>
        <v>1.1820200589122012</v>
      </c>
      <c r="M10" s="17">
        <f>Evap_calcs!W10</f>
        <v>0.63696804394613404</v>
      </c>
      <c r="N10" s="17"/>
      <c r="O10" s="17">
        <f t="shared" si="10"/>
        <v>105.47603379227562</v>
      </c>
      <c r="P10" s="17">
        <f t="shared" si="11"/>
        <v>5.5717205112798993</v>
      </c>
      <c r="Q10" s="25">
        <f t="shared" si="12"/>
        <v>5.2824516726262573E-2</v>
      </c>
      <c r="R10" s="17">
        <f t="shared" si="13"/>
        <v>43.015883440741291</v>
      </c>
      <c r="S10" s="17">
        <f t="shared" si="2"/>
        <v>1.4641852095990551</v>
      </c>
      <c r="T10" s="25">
        <f t="shared" si="14"/>
        <v>3.4038245700942479E-2</v>
      </c>
      <c r="V10">
        <f>R5*12</f>
        <v>358.35022916790575</v>
      </c>
      <c r="X10" t="s">
        <v>20</v>
      </c>
      <c r="Y10">
        <f t="shared" si="0"/>
        <v>105.47603379227562</v>
      </c>
      <c r="Z10">
        <f t="shared" si="3"/>
        <v>5.5717205112798993</v>
      </c>
      <c r="AA10">
        <f t="shared" si="4"/>
        <v>5.2824516726262573E-2</v>
      </c>
      <c r="AB10">
        <f t="shared" si="5"/>
        <v>43.015883440741291</v>
      </c>
      <c r="AC10">
        <f t="shared" si="6"/>
        <v>1.4641852095990551</v>
      </c>
      <c r="AD10">
        <f t="shared" si="7"/>
        <v>3.4038245700942479E-2</v>
      </c>
    </row>
    <row r="11" spans="1:30" x14ac:dyDescent="0.25">
      <c r="B11" t="str">
        <f>U_Pu_Results!A10</f>
        <v>71G</v>
      </c>
      <c r="C11">
        <f>U_Pu_Results!B10+U_Pu_Results!E10+U_Pu_Results!H10</f>
        <v>648.05514279850706</v>
      </c>
      <c r="D11">
        <f>(U_Pu_Results!C10^2+U_Pu_Results!F10^2+U_Pu_Results!I10^2)^0.5</f>
        <v>34.249126426299249</v>
      </c>
      <c r="E11" s="21">
        <f t="shared" si="8"/>
        <v>5.2849092869475103E-2</v>
      </c>
      <c r="F11">
        <f>U_Pu_Results!N10+U_Pu_Results!Q10+U_Pu_Results!T10+U_Pu_Results!K10</f>
        <v>262.46280522779318</v>
      </c>
      <c r="G11">
        <f>(U_Pu_Results!L10^2+U_Pu_Results!O10^2+U_Pu_Results!U10^2+U_Pu_Results!R10^2)^0.5</f>
        <v>8.9467418837142549</v>
      </c>
      <c r="H11" s="21">
        <f t="shared" si="9"/>
        <v>3.4087656252661476E-2</v>
      </c>
      <c r="I11" s="21" t="s">
        <v>289</v>
      </c>
      <c r="J11" s="37">
        <f>F8/F7-1</f>
        <v>16.175954803836351</v>
      </c>
      <c r="K11" s="37">
        <f>(((G8+2)/F7)^2+((F8*(G7+20))/(F7^2))^2)^0.5</f>
        <v>1.6389398035899987</v>
      </c>
      <c r="M11" s="17">
        <f>Evap_calcs!W11</f>
        <v>0.82885510282306707</v>
      </c>
      <c r="N11" s="17"/>
      <c r="O11" s="17">
        <f t="shared" si="10"/>
        <v>537.14381201927404</v>
      </c>
      <c r="P11" s="17">
        <f t="shared" si="11"/>
        <v>28.387563205670489</v>
      </c>
      <c r="Q11" s="25">
        <f t="shared" si="12"/>
        <v>5.2849092869475096E-2</v>
      </c>
      <c r="R11" s="17">
        <f t="shared" si="13"/>
        <v>217.54363541431314</v>
      </c>
      <c r="S11" s="17">
        <f t="shared" si="2"/>
        <v>7.4155526639574196</v>
      </c>
      <c r="T11" s="25">
        <f t="shared" si="14"/>
        <v>3.4087656252661476E-2</v>
      </c>
      <c r="V11">
        <f>V10/R4</f>
        <v>0.88753790612753514</v>
      </c>
      <c r="X11" t="s">
        <v>21</v>
      </c>
      <c r="Y11">
        <f t="shared" si="0"/>
        <v>537.14381201927404</v>
      </c>
      <c r="Z11">
        <f t="shared" si="3"/>
        <v>28.387563205670489</v>
      </c>
      <c r="AA11">
        <f t="shared" si="4"/>
        <v>5.2849092869475096E-2</v>
      </c>
      <c r="AB11">
        <f t="shared" si="5"/>
        <v>217.54363541431314</v>
      </c>
      <c r="AC11">
        <f t="shared" si="6"/>
        <v>7.4155526639574196</v>
      </c>
      <c r="AD11">
        <f t="shared" si="7"/>
        <v>3.4087656252661476E-2</v>
      </c>
    </row>
    <row r="12" spans="1:30" x14ac:dyDescent="0.25">
      <c r="B12" t="str">
        <f>U_Pu_Results!A11</f>
        <v>72G</v>
      </c>
      <c r="C12">
        <f>U_Pu_Results!B11+U_Pu_Results!E11+U_Pu_Results!H11</f>
        <v>45.864983470033515</v>
      </c>
      <c r="D12">
        <f>(U_Pu_Results!C11^2+U_Pu_Results!F11^2+U_Pu_Results!I11^2)^0.5</f>
        <v>2.4427792914016604</v>
      </c>
      <c r="E12" s="21">
        <f t="shared" si="8"/>
        <v>5.3260223957077892E-2</v>
      </c>
      <c r="F12">
        <f>U_Pu_Results!N11+U_Pu_Results!Q11+U_Pu_Results!T11+U_Pu_Results!K11</f>
        <v>16.808921843741036</v>
      </c>
      <c r="G12">
        <f>(U_Pu_Results!L11^2+U_Pu_Results!O11^2+U_Pu_Results!U11^2+U_Pu_Results!R11^2)^0.5</f>
        <v>0.58317064792832707</v>
      </c>
      <c r="H12" s="21">
        <f t="shared" si="9"/>
        <v>3.4694113837258178E-2</v>
      </c>
      <c r="I12" s="21" t="s">
        <v>288</v>
      </c>
      <c r="J12" s="37">
        <f>0.5/0.7</f>
        <v>0.7142857142857143</v>
      </c>
      <c r="K12" s="37">
        <f>K5</f>
        <v>1.0101525445522109E-2</v>
      </c>
      <c r="M12" s="17">
        <f>Evap_calcs!W12</f>
        <v>0.6998553993763893</v>
      </c>
      <c r="N12" s="17"/>
      <c r="O12" s="17">
        <f t="shared" si="10"/>
        <v>32.098856323811802</v>
      </c>
      <c r="P12" s="17">
        <f t="shared" si="11"/>
        <v>1.7095922765722822</v>
      </c>
      <c r="Q12" s="25">
        <f t="shared" si="12"/>
        <v>5.3260223957077885E-2</v>
      </c>
      <c r="R12" s="17">
        <f t="shared" si="13"/>
        <v>11.763814710037897</v>
      </c>
      <c r="S12" s="17">
        <f t="shared" si="2"/>
        <v>0.40813512671046703</v>
      </c>
      <c r="T12" s="25">
        <f t="shared" si="14"/>
        <v>3.4694113837258171E-2</v>
      </c>
      <c r="X12" t="s">
        <v>22</v>
      </c>
      <c r="Y12">
        <f t="shared" si="0"/>
        <v>32.098856323811802</v>
      </c>
      <c r="Z12">
        <f t="shared" si="3"/>
        <v>1.7095922765722822</v>
      </c>
      <c r="AA12">
        <f t="shared" si="4"/>
        <v>5.3260223957077885E-2</v>
      </c>
      <c r="AB12">
        <f t="shared" si="5"/>
        <v>11.763814710037897</v>
      </c>
      <c r="AC12">
        <f t="shared" si="6"/>
        <v>0.40813512671046703</v>
      </c>
      <c r="AD12">
        <f t="shared" si="7"/>
        <v>3.4694113837258171E-2</v>
      </c>
    </row>
    <row r="13" spans="1:30" x14ac:dyDescent="0.25">
      <c r="B13" t="str">
        <f>U_Pu_Results!A12</f>
        <v>73G</v>
      </c>
      <c r="C13">
        <f>U_Pu_Results!B12+U_Pu_Results!E12+U_Pu_Results!H12</f>
        <v>17.740283600934365</v>
      </c>
      <c r="D13">
        <f>(U_Pu_Results!C12^2+U_Pu_Results!F12^2+U_Pu_Results!I12^2)^0.5</f>
        <v>0.94960042958860591</v>
      </c>
      <c r="E13" s="21">
        <f t="shared" si="8"/>
        <v>5.3527917081246171E-2</v>
      </c>
      <c r="F13">
        <f>U_Pu_Results!N12+U_Pu_Results!Q12+U_Pu_Results!T12+U_Pu_Results!K12</f>
        <v>6.4498801120273184</v>
      </c>
      <c r="G13">
        <f>(U_Pu_Results!L12^2+U_Pu_Results!O12^2+U_Pu_Results!U12^2+U_Pu_Results!R12^2)^0.5</f>
        <v>0.22315250425505698</v>
      </c>
      <c r="H13" s="21">
        <f t="shared" si="9"/>
        <v>3.4597930562916455E-2</v>
      </c>
      <c r="I13" s="21"/>
      <c r="J13" s="21" t="s">
        <v>290</v>
      </c>
      <c r="K13" s="21"/>
      <c r="M13" s="17">
        <f>Evap_calcs!W13</f>
        <v>0.69663040679022237</v>
      </c>
      <c r="N13" s="17"/>
      <c r="O13" s="17">
        <f t="shared" si="10"/>
        <v>12.358420981492818</v>
      </c>
      <c r="P13" s="17">
        <f t="shared" si="11"/>
        <v>0.66152053355248042</v>
      </c>
      <c r="Q13" s="25">
        <f t="shared" si="12"/>
        <v>5.3527917081246164E-2</v>
      </c>
      <c r="R13" s="17">
        <f t="shared" si="13"/>
        <v>4.4931826061897562</v>
      </c>
      <c r="S13" s="17">
        <f t="shared" si="2"/>
        <v>0.15545481981545717</v>
      </c>
      <c r="T13" s="25">
        <f t="shared" si="14"/>
        <v>3.4597930562916455E-2</v>
      </c>
      <c r="V13">
        <f>(O6*12)/O4</f>
        <v>4.7680468115744869E-2</v>
      </c>
      <c r="X13" t="s">
        <v>23</v>
      </c>
      <c r="Y13">
        <f t="shared" si="0"/>
        <v>12.358420981492818</v>
      </c>
      <c r="Z13">
        <f t="shared" si="3"/>
        <v>0.66152053355248042</v>
      </c>
      <c r="AA13">
        <f t="shared" si="4"/>
        <v>5.3527917081246164E-2</v>
      </c>
      <c r="AB13">
        <f t="shared" si="5"/>
        <v>4.4931826061897562</v>
      </c>
      <c r="AC13">
        <f t="shared" si="6"/>
        <v>0.15545481981545717</v>
      </c>
      <c r="AD13">
        <f t="shared" si="7"/>
        <v>3.4597930562916455E-2</v>
      </c>
    </row>
    <row r="14" spans="1:30" x14ac:dyDescent="0.25">
      <c r="B14" t="str">
        <f>U_Pu_Results!A13</f>
        <v xml:space="preserve">74G </v>
      </c>
      <c r="C14">
        <f>U_Pu_Results!B13+U_Pu_Results!E13+U_Pu_Results!H13</f>
        <v>123.97103202352521</v>
      </c>
      <c r="D14">
        <f>(U_Pu_Results!C13^2+U_Pu_Results!F13^2+U_Pu_Results!I13^2)^0.5</f>
        <v>6.634165934366278</v>
      </c>
      <c r="E14" s="21">
        <f t="shared" si="8"/>
        <v>5.3513839693674195E-2</v>
      </c>
      <c r="F14">
        <f>U_Pu_Results!N13+U_Pu_Results!Q13+U_Pu_Results!T13+U_Pu_Results!K13</f>
        <v>49.705291552562144</v>
      </c>
      <c r="G14">
        <f>(U_Pu_Results!L13^2+U_Pu_Results!O13^2+U_Pu_Results!U13^2+U_Pu_Results!R13^2)^0.5</f>
        <v>1.7396863594757102</v>
      </c>
      <c r="H14" s="21">
        <f t="shared" si="9"/>
        <v>3.5000023239699418E-2</v>
      </c>
      <c r="I14" s="21"/>
      <c r="J14" s="21">
        <f>J17*J5</f>
        <v>6.6046347008252432E-2</v>
      </c>
      <c r="K14" s="21">
        <f>((K17*J5)^2+(J17*K5)^2)^0.5</f>
        <v>2.4696336632707466E-2</v>
      </c>
      <c r="M14" s="17">
        <f>Evap_calcs!W14</f>
        <v>0.67949695655876363</v>
      </c>
      <c r="N14" s="17"/>
      <c r="O14" s="17">
        <f t="shared" si="10"/>
        <v>84.237938961434409</v>
      </c>
      <c r="P14" s="17">
        <f t="shared" si="11"/>
        <v>4.5078955617077128</v>
      </c>
      <c r="Q14" s="25">
        <f t="shared" si="12"/>
        <v>5.3513839693674195E-2</v>
      </c>
      <c r="R14" s="17">
        <f t="shared" si="13"/>
        <v>33.774594334832003</v>
      </c>
      <c r="S14" s="17">
        <f t="shared" si="2"/>
        <v>1.1821115866305403</v>
      </c>
      <c r="T14" s="25">
        <f t="shared" si="14"/>
        <v>3.5000023239699411E-2</v>
      </c>
      <c r="V14">
        <f>1-V13</f>
        <v>0.95231953188425511</v>
      </c>
      <c r="X14" t="s">
        <v>24</v>
      </c>
      <c r="Y14">
        <f t="shared" si="0"/>
        <v>84.237938961434409</v>
      </c>
      <c r="Z14">
        <f t="shared" si="3"/>
        <v>4.5078955617077128</v>
      </c>
      <c r="AA14">
        <f t="shared" si="4"/>
        <v>5.3513839693674195E-2</v>
      </c>
      <c r="AB14">
        <f t="shared" si="5"/>
        <v>33.774594334832003</v>
      </c>
      <c r="AC14">
        <f t="shared" si="6"/>
        <v>1.1821115866305403</v>
      </c>
      <c r="AD14">
        <f t="shared" si="7"/>
        <v>3.5000023239699411E-2</v>
      </c>
    </row>
    <row r="15" spans="1:30" x14ac:dyDescent="0.25">
      <c r="B15" t="str">
        <f>U_Pu_Results!A14</f>
        <v xml:space="preserve">75G trace waste </v>
      </c>
      <c r="C15" t="e">
        <f>U_Pu_Results!B14+U_Pu_Results!E14+U_Pu_Results!H14</f>
        <v>#VALUE!</v>
      </c>
      <c r="D15" t="e">
        <f>(U_Pu_Results!C14^2+U_Pu_Results!F14^2+U_Pu_Results!I14^2)^0.5</f>
        <v>#VALUE!</v>
      </c>
      <c r="E15" s="21" t="e">
        <f t="shared" si="8"/>
        <v>#VALUE!</v>
      </c>
      <c r="F15" t="e">
        <f>U_Pu_Results!N14+U_Pu_Results!Q14+U_Pu_Results!T14+U_Pu_Results!K14</f>
        <v>#VALUE!</v>
      </c>
      <c r="G15" t="e">
        <f>(U_Pu_Results!L14^2+U_Pu_Results!O14^2+U_Pu_Results!U14^2+U_Pu_Results!R14^2)^0.5</f>
        <v>#VALUE!</v>
      </c>
      <c r="H15" s="21" t="e">
        <f t="shared" si="9"/>
        <v>#VALUE!</v>
      </c>
      <c r="I15" s="21"/>
      <c r="J15" s="21" t="s">
        <v>291</v>
      </c>
      <c r="K15" s="21"/>
      <c r="M15" s="17">
        <f>Evap_calcs!W15</f>
        <v>1</v>
      </c>
      <c r="N15" s="17"/>
      <c r="O15" s="17" t="e">
        <f t="shared" si="10"/>
        <v>#VALUE!</v>
      </c>
      <c r="P15" s="17" t="e">
        <f t="shared" si="11"/>
        <v>#VALUE!</v>
      </c>
      <c r="Q15" s="25" t="e">
        <f t="shared" si="12"/>
        <v>#VALUE!</v>
      </c>
      <c r="R15" s="17" t="e">
        <f t="shared" si="13"/>
        <v>#VALUE!</v>
      </c>
      <c r="S15" s="17" t="e">
        <f t="shared" si="2"/>
        <v>#VALUE!</v>
      </c>
      <c r="T15" s="25" t="e">
        <f t="shared" si="14"/>
        <v>#VALUE!</v>
      </c>
      <c r="X15" t="s">
        <v>25</v>
      </c>
      <c r="Y15" t="e">
        <f t="shared" si="0"/>
        <v>#VALUE!</v>
      </c>
      <c r="Z15" t="e">
        <f t="shared" si="3"/>
        <v>#VALUE!</v>
      </c>
      <c r="AA15" t="e">
        <f t="shared" si="4"/>
        <v>#VALUE!</v>
      </c>
      <c r="AB15" t="e">
        <f t="shared" si="5"/>
        <v>#VALUE!</v>
      </c>
      <c r="AC15" t="e">
        <f t="shared" si="6"/>
        <v>#VALUE!</v>
      </c>
      <c r="AD15" t="e">
        <f t="shared" si="7"/>
        <v>#VALUE!</v>
      </c>
    </row>
    <row r="16" spans="1:30" x14ac:dyDescent="0.25">
      <c r="B16" t="str">
        <f>U_Pu_Results!A15</f>
        <v>81G trace</v>
      </c>
      <c r="C16">
        <f>U_Pu_Results!B15+U_Pu_Results!E15+U_Pu_Results!H15</f>
        <v>23.537532209583109</v>
      </c>
      <c r="D16">
        <f>(U_Pu_Results!C15^2+U_Pu_Results!F15^2+U_Pu_Results!I15^2)^0.5</f>
        <v>1.3021945934775734</v>
      </c>
      <c r="E16" s="21">
        <f t="shared" si="8"/>
        <v>5.5324176803352214E-2</v>
      </c>
      <c r="F16">
        <f>U_Pu_Results!N15+U_Pu_Results!Q15+U_Pu_Results!T15+U_Pu_Results!K15</f>
        <v>63.75872719954922</v>
      </c>
      <c r="G16">
        <f>(U_Pu_Results!L15^2+U_Pu_Results!O15^2+U_Pu_Results!U15^2+U_Pu_Results!R15^2)^0.5</f>
        <v>2.3795363607363971</v>
      </c>
      <c r="H16" s="21">
        <f t="shared" si="9"/>
        <v>3.7320951425034415E-2</v>
      </c>
      <c r="I16" s="21"/>
      <c r="J16" s="21">
        <f>J18*J5</f>
        <v>0.42529608782232942</v>
      </c>
      <c r="K16" s="21">
        <f>((K18*J5)^2+(K5*J18)^2)^0.5</f>
        <v>4.5768905893505706E-2</v>
      </c>
      <c r="M16" s="17">
        <f>Evap_calcs!W16</f>
        <v>0.44024349618995073</v>
      </c>
      <c r="N16" s="17"/>
      <c r="O16" s="17">
        <f t="shared" si="10"/>
        <v>10.362245471630445</v>
      </c>
      <c r="P16" s="17">
        <f t="shared" si="11"/>
        <v>0.57328270055221853</v>
      </c>
      <c r="Q16" s="25">
        <f t="shared" si="12"/>
        <v>5.5324176803352207E-2</v>
      </c>
      <c r="R16" s="17">
        <f t="shared" si="13"/>
        <v>28.069364974950854</v>
      </c>
      <c r="S16" s="17">
        <f t="shared" si="2"/>
        <v>1.0475754067617034</v>
      </c>
      <c r="T16" s="25">
        <f t="shared" si="14"/>
        <v>3.7320951425034422E-2</v>
      </c>
      <c r="X16" t="s">
        <v>27</v>
      </c>
      <c r="Y16">
        <f t="shared" si="0"/>
        <v>10.362245471630445</v>
      </c>
      <c r="Z16">
        <f t="shared" si="3"/>
        <v>0.57328270055221853</v>
      </c>
      <c r="AA16">
        <f t="shared" si="4"/>
        <v>5.5324176803352207E-2</v>
      </c>
      <c r="AB16">
        <f t="shared" si="5"/>
        <v>28.069364974950854</v>
      </c>
      <c r="AC16">
        <f t="shared" si="6"/>
        <v>1.0475754067617034</v>
      </c>
      <c r="AD16">
        <f t="shared" si="7"/>
        <v>3.7320951425034422E-2</v>
      </c>
    </row>
    <row r="17" spans="1:30" x14ac:dyDescent="0.25">
      <c r="B17" t="str">
        <f>U_Pu_Results!A16</f>
        <v>82G trace</v>
      </c>
      <c r="C17">
        <f>U_Pu_Results!B16+U_Pu_Results!E16+U_Pu_Results!H16</f>
        <v>3.2436955523556938</v>
      </c>
      <c r="D17">
        <f>(U_Pu_Results!C16^2+U_Pu_Results!F16^2+U_Pu_Results!I16^2)^0.5</f>
        <v>0.17683611037659319</v>
      </c>
      <c r="E17" s="21">
        <f t="shared" si="8"/>
        <v>5.4516864336472071E-2</v>
      </c>
      <c r="F17">
        <f>U_Pu_Results!N16+U_Pu_Results!Q16+U_Pu_Results!T16+U_Pu_Results!K16</f>
        <v>8.4979914529533449</v>
      </c>
      <c r="G17">
        <f>(U_Pu_Results!L16^2+U_Pu_Results!O16^2+U_Pu_Results!U16^2+U_Pu_Results!R16^2)^0.5</f>
        <v>0.30628994362597761</v>
      </c>
      <c r="H17" s="21">
        <f t="shared" si="9"/>
        <v>3.6042627875264723E-2</v>
      </c>
      <c r="I17" s="21" t="s">
        <v>292</v>
      </c>
      <c r="J17" s="37">
        <f>(C20/C8)*A20</f>
        <v>9.2464885811553404E-2</v>
      </c>
      <c r="K17" s="37">
        <f>(((D20/A20)/C8)^2+((C20*A20*D8)/(C8^2))^2)^0.5</f>
        <v>3.4550134202450622E-2</v>
      </c>
      <c r="M17" s="17">
        <f>Evap_calcs!W17</f>
        <v>0.82563011023690003</v>
      </c>
      <c r="N17" s="17"/>
      <c r="O17" s="17">
        <f t="shared" si="10"/>
        <v>2.6780927164663737</v>
      </c>
      <c r="P17" s="17">
        <f t="shared" si="11"/>
        <v>0.14600121730409127</v>
      </c>
      <c r="Q17" s="25">
        <f t="shared" si="12"/>
        <v>5.4516864336472078E-2</v>
      </c>
      <c r="R17" s="17">
        <f t="shared" si="13"/>
        <v>7.0161976200941041</v>
      </c>
      <c r="S17" s="17">
        <f t="shared" si="2"/>
        <v>0.25288219992036981</v>
      </c>
      <c r="T17" s="25">
        <f t="shared" si="14"/>
        <v>3.6042627875264729E-2</v>
      </c>
      <c r="X17" t="s">
        <v>28</v>
      </c>
      <c r="Y17">
        <f t="shared" si="0"/>
        <v>2.6780927164663737</v>
      </c>
      <c r="Z17">
        <f t="shared" si="3"/>
        <v>0.14600121730409127</v>
      </c>
      <c r="AA17">
        <f t="shared" si="4"/>
        <v>5.4516864336472078E-2</v>
      </c>
      <c r="AB17">
        <f t="shared" si="5"/>
        <v>7.0161976200941041</v>
      </c>
      <c r="AC17">
        <f t="shared" si="6"/>
        <v>0.25288219992036981</v>
      </c>
      <c r="AD17">
        <f t="shared" si="7"/>
        <v>3.6042627875264729E-2</v>
      </c>
    </row>
    <row r="18" spans="1:30" x14ac:dyDescent="0.25">
      <c r="B18" t="str">
        <f>U_Pu_Results!A17</f>
        <v>83G Trace</v>
      </c>
      <c r="C18" t="e">
        <f>U_Pu_Results!B17+U_Pu_Results!E17+U_Pu_Results!H17</f>
        <v>#VALUE!</v>
      </c>
      <c r="D18" t="e">
        <f>(U_Pu_Results!C17^2+U_Pu_Results!F17^2+U_Pu_Results!I17^2)^0.5</f>
        <v>#VALUE!</v>
      </c>
      <c r="E18" s="21" t="e">
        <f t="shared" si="8"/>
        <v>#VALUE!</v>
      </c>
      <c r="F18" t="e">
        <f>U_Pu_Results!N17+U_Pu_Results!Q17+U_Pu_Results!T17+U_Pu_Results!K17</f>
        <v>#VALUE!</v>
      </c>
      <c r="G18" t="e">
        <f>(U_Pu_Results!L17^2+U_Pu_Results!O17^2+U_Pu_Results!U17^2+U_Pu_Results!R17^2)^0.5</f>
        <v>#VALUE!</v>
      </c>
      <c r="H18" s="21" t="e">
        <f t="shared" si="9"/>
        <v>#VALUE!</v>
      </c>
      <c r="I18" s="21" t="s">
        <v>293</v>
      </c>
      <c r="J18" s="37">
        <f>(F20*A20)/F8</f>
        <v>0.59541452295126118</v>
      </c>
      <c r="K18" s="37">
        <f>((G20/F8)^2+((G8*F20*A20)/(F8^2))^2)^0.5</f>
        <v>6.3520784729735227E-2</v>
      </c>
      <c r="M18" s="17">
        <f>Evap_calcs!W18</f>
        <v>1</v>
      </c>
      <c r="N18" s="17"/>
      <c r="O18" s="17" t="e">
        <f t="shared" si="10"/>
        <v>#VALUE!</v>
      </c>
      <c r="P18" s="17" t="e">
        <f t="shared" si="11"/>
        <v>#VALUE!</v>
      </c>
      <c r="Q18" s="25" t="e">
        <f t="shared" si="12"/>
        <v>#VALUE!</v>
      </c>
      <c r="R18" s="17" t="e">
        <f t="shared" si="13"/>
        <v>#VALUE!</v>
      </c>
      <c r="S18" s="17" t="e">
        <f t="shared" si="2"/>
        <v>#VALUE!</v>
      </c>
      <c r="T18" s="25" t="e">
        <f t="shared" si="14"/>
        <v>#VALUE!</v>
      </c>
      <c r="X18" t="s">
        <v>29</v>
      </c>
      <c r="Y18" t="e">
        <f t="shared" si="0"/>
        <v>#VALUE!</v>
      </c>
      <c r="Z18" t="e">
        <f t="shared" si="3"/>
        <v>#VALUE!</v>
      </c>
      <c r="AA18" t="e">
        <f t="shared" si="4"/>
        <v>#VALUE!</v>
      </c>
      <c r="AB18" t="e">
        <f t="shared" si="5"/>
        <v>#VALUE!</v>
      </c>
      <c r="AC18" t="e">
        <f t="shared" si="6"/>
        <v>#VALUE!</v>
      </c>
      <c r="AD18" t="e">
        <f t="shared" si="7"/>
        <v>#VALUE!</v>
      </c>
    </row>
    <row r="19" spans="1:30" x14ac:dyDescent="0.25">
      <c r="B19" t="str">
        <f>U_Pu_Results!A18</f>
        <v>84G trace</v>
      </c>
      <c r="C19">
        <f>U_Pu_Results!B18+U_Pu_Results!E18+U_Pu_Results!H18</f>
        <v>0.40814155930269647</v>
      </c>
      <c r="D19">
        <f>(U_Pu_Results!C18^2+U_Pu_Results!F18^2+U_Pu_Results!I18^2)^0.5</f>
        <v>2.2901513428710284E-2</v>
      </c>
      <c r="E19" s="21">
        <f t="shared" si="8"/>
        <v>5.6111691903753112E-2</v>
      </c>
      <c r="F19">
        <f>U_Pu_Results!N18+U_Pu_Results!Q18+U_Pu_Results!T18+U_Pu_Results!K18</f>
        <v>1.0392803250640159</v>
      </c>
      <c r="G19">
        <f>(U_Pu_Results!L18^2+U_Pu_Results!O18^2+U_Pu_Results!U18^2+U_Pu_Results!R18^2)^0.5</f>
        <v>3.8019243433323545E-2</v>
      </c>
      <c r="H19" s="21">
        <f t="shared" si="9"/>
        <v>3.6582279599088628E-2</v>
      </c>
      <c r="I19" s="21"/>
      <c r="J19" s="21"/>
      <c r="K19" s="21"/>
      <c r="M19" s="17">
        <f>Evap_calcs!W19</f>
        <v>0.7611302585135612</v>
      </c>
      <c r="N19" s="17"/>
      <c r="O19" s="17">
        <f t="shared" si="10"/>
        <v>0.3106488905421893</v>
      </c>
      <c r="P19" s="17">
        <f t="shared" si="11"/>
        <v>1.7431034836346053E-2</v>
      </c>
      <c r="Q19" s="25">
        <f t="shared" si="12"/>
        <v>5.6111691903753119E-2</v>
      </c>
      <c r="R19" s="17">
        <f t="shared" si="13"/>
        <v>0.79102770248403231</v>
      </c>
      <c r="S19" s="17">
        <f t="shared" si="2"/>
        <v>2.8937596582895565E-2</v>
      </c>
      <c r="T19" s="25">
        <f t="shared" si="14"/>
        <v>3.6582279599088628E-2</v>
      </c>
      <c r="X19" t="s">
        <v>30</v>
      </c>
      <c r="Y19">
        <f t="shared" si="0"/>
        <v>0.3106488905421893</v>
      </c>
      <c r="Z19">
        <f t="shared" si="3"/>
        <v>1.7431034836346053E-2</v>
      </c>
      <c r="AA19">
        <f t="shared" si="4"/>
        <v>5.6111691903753119E-2</v>
      </c>
      <c r="AB19">
        <f t="shared" si="5"/>
        <v>0.79102770248403231</v>
      </c>
      <c r="AC19">
        <f t="shared" si="6"/>
        <v>2.8937596582895565E-2</v>
      </c>
      <c r="AD19">
        <f t="shared" si="7"/>
        <v>3.6582279599088628E-2</v>
      </c>
    </row>
    <row r="20" spans="1:30" s="26" customFormat="1" x14ac:dyDescent="0.25">
      <c r="A20" s="26">
        <v>0.39416600000000002</v>
      </c>
      <c r="B20" s="26" t="str">
        <f>U_Pu_Results!A19</f>
        <v>86G Trace</v>
      </c>
      <c r="C20" s="26">
        <f>U_Pu_Results!B19+U_Pu_Results!E19+U_Pu_Results!H19</f>
        <v>68438.822172894041</v>
      </c>
      <c r="D20" s="26">
        <f>(U_Pu_Results!C19^2+U_Pu_Results!F19^2+U_Pu_Results!I19^2)^0.5</f>
        <v>3934.4403714025966</v>
      </c>
      <c r="E20" s="27">
        <f t="shared" si="8"/>
        <v>5.7488429030283276E-2</v>
      </c>
      <c r="F20" s="30">
        <f>U_Pu_Results!N19+U_Pu_Results!Q19+U_Pu_Results!T19+U_Pu_Results!K19</f>
        <v>8981.4124816958556</v>
      </c>
      <c r="G20" s="26">
        <f>(U_Pu_Results!L19^2+U_Pu_Results!O19^2+U_Pu_Results!U19^2+U_Pu_Results!R19^2)^0.5</f>
        <v>359.10453125362528</v>
      </c>
      <c r="H20" s="27">
        <f t="shared" si="9"/>
        <v>3.9983079719975154E-2</v>
      </c>
      <c r="I20" s="27"/>
      <c r="J20" s="27"/>
      <c r="K20" s="27"/>
      <c r="M20" s="26">
        <f>Evap_calcs!W20</f>
        <v>0.36929365929427815</v>
      </c>
      <c r="O20" s="31">
        <f t="shared" si="10"/>
        <v>25274.023078018421</v>
      </c>
      <c r="P20" s="26">
        <f t="shared" si="11"/>
        <v>1452.9638820304037</v>
      </c>
      <c r="Q20" s="27">
        <f t="shared" si="12"/>
        <v>5.7488429030283276E-2</v>
      </c>
      <c r="R20" s="26">
        <f t="shared" si="13"/>
        <v>3316.7786809967665</v>
      </c>
      <c r="S20" s="26">
        <f t="shared" si="2"/>
        <v>132.61502641580776</v>
      </c>
      <c r="T20" s="27">
        <f t="shared" si="14"/>
        <v>3.9983079719975154E-2</v>
      </c>
      <c r="X20" s="26" t="s">
        <v>10</v>
      </c>
      <c r="Y20">
        <f t="shared" si="0"/>
        <v>25274.023078018421</v>
      </c>
      <c r="Z20">
        <f t="shared" si="3"/>
        <v>1452.9638820304037</v>
      </c>
      <c r="AA20">
        <f t="shared" si="4"/>
        <v>5.7488429030283276E-2</v>
      </c>
      <c r="AB20">
        <f t="shared" si="5"/>
        <v>3316.7786809967665</v>
      </c>
      <c r="AC20">
        <f t="shared" si="6"/>
        <v>132.61502641580776</v>
      </c>
      <c r="AD20">
        <f t="shared" si="7"/>
        <v>3.9983079719975154E-2</v>
      </c>
    </row>
    <row r="21" spans="1:30" x14ac:dyDescent="0.25">
      <c r="B21" t="str">
        <f>U_Pu_Results!A20</f>
        <v>24G Taper Waste</v>
      </c>
      <c r="C21">
        <f>U_Pu_Results!B20+U_Pu_Results!E20+U_Pu_Results!H20</f>
        <v>5396.9846450790901</v>
      </c>
      <c r="D21">
        <f>(U_Pu_Results!C20^2+U_Pu_Results!F20^2+U_Pu_Results!I20^2)^0.5</f>
        <v>299.55571809248852</v>
      </c>
      <c r="E21" s="21">
        <f t="shared" si="8"/>
        <v>5.5504274663004657E-2</v>
      </c>
      <c r="F21">
        <f>U_Pu_Results!N20+U_Pu_Results!Q20+U_Pu_Results!T20+U_Pu_Results!K20</f>
        <v>202.79611342263323</v>
      </c>
      <c r="G21">
        <f>(U_Pu_Results!L20^2+U_Pu_Results!O20^2+U_Pu_Results!U20^2+U_Pu_Results!R20^2)^0.5</f>
        <v>7.2452055563476874</v>
      </c>
      <c r="H21" s="21">
        <f t="shared" si="9"/>
        <v>3.572655034689181E-2</v>
      </c>
      <c r="I21" s="21"/>
      <c r="J21" s="21"/>
      <c r="K21" s="21"/>
      <c r="M21" s="17">
        <f>Evap_calcs!W21</f>
        <v>0.54520514943346954</v>
      </c>
      <c r="N21" s="17"/>
      <c r="O21" s="17">
        <f t="shared" si="10"/>
        <v>2942.4638199104861</v>
      </c>
      <c r="P21" s="17">
        <f t="shared" si="11"/>
        <v>163.31932004626549</v>
      </c>
      <c r="Q21" s="25">
        <f t="shared" si="12"/>
        <v>5.5504274663004657E-2</v>
      </c>
      <c r="R21" s="17">
        <f t="shared" si="13"/>
        <v>110.56548532311359</v>
      </c>
      <c r="S21" s="17">
        <f t="shared" si="2"/>
        <v>3.9501233780247449</v>
      </c>
      <c r="T21" s="25">
        <f t="shared" si="14"/>
        <v>3.572655034689181E-2</v>
      </c>
      <c r="X21" t="s">
        <v>11</v>
      </c>
      <c r="Y21">
        <f t="shared" si="0"/>
        <v>2942.4638199104861</v>
      </c>
      <c r="Z21">
        <f t="shared" si="3"/>
        <v>163.31932004626549</v>
      </c>
      <c r="AA21">
        <f t="shared" si="4"/>
        <v>5.5504274663004657E-2</v>
      </c>
      <c r="AB21">
        <f t="shared" si="5"/>
        <v>110.56548532311359</v>
      </c>
      <c r="AC21">
        <f t="shared" si="6"/>
        <v>3.9501233780247449</v>
      </c>
      <c r="AD21">
        <f t="shared" si="7"/>
        <v>3.572655034689181E-2</v>
      </c>
    </row>
    <row r="22" spans="1:30" x14ac:dyDescent="0.25">
      <c r="B22" t="str">
        <f>U_Pu_Results!A21</f>
        <v>24G Trace Original</v>
      </c>
      <c r="C22">
        <f>U_Pu_Results!B21+U_Pu_Results!E21+U_Pu_Results!H21</f>
        <v>42436.248785110278</v>
      </c>
      <c r="D22">
        <f>(U_Pu_Results!C21^2+U_Pu_Results!F21^2+U_Pu_Results!I21^2)^0.5</f>
        <v>2380.6521307422249</v>
      </c>
      <c r="E22" s="21">
        <f t="shared" si="8"/>
        <v>5.6099495099046805E-2</v>
      </c>
      <c r="F22">
        <f>U_Pu_Results!N21+U_Pu_Results!Q21+U_Pu_Results!T21+U_Pu_Results!K21</f>
        <v>2261.5036767239776</v>
      </c>
      <c r="G22">
        <f>(U_Pu_Results!L21^2+U_Pu_Results!O21^2+U_Pu_Results!U21^2+U_Pu_Results!R21^2)^0.5</f>
        <v>86.46519981951451</v>
      </c>
      <c r="H22" s="21">
        <f t="shared" si="9"/>
        <v>3.8233499555821331E-2</v>
      </c>
      <c r="I22" s="21"/>
      <c r="J22" s="21" t="s">
        <v>308</v>
      </c>
      <c r="K22" s="21"/>
      <c r="M22" s="17">
        <f>Evap_calcs!W22</f>
        <v>0.58775714515043243</v>
      </c>
      <c r="N22" s="17"/>
      <c r="O22" s="17">
        <f t="shared" si="10"/>
        <v>24942.208436829922</v>
      </c>
      <c r="P22" s="17">
        <f t="shared" si="11"/>
        <v>1399.245299961344</v>
      </c>
      <c r="Q22" s="25">
        <f t="shared" si="12"/>
        <v>5.6099495099046805E-2</v>
      </c>
      <c r="R22" s="17">
        <f t="shared" si="13"/>
        <v>1329.2149447784916</v>
      </c>
      <c r="S22" s="17">
        <f t="shared" si="2"/>
        <v>50.820539000779533</v>
      </c>
      <c r="T22" s="25">
        <f t="shared" si="14"/>
        <v>3.8233499555821331E-2</v>
      </c>
      <c r="X22" t="s">
        <v>12</v>
      </c>
      <c r="Y22">
        <f t="shared" si="0"/>
        <v>24942.208436829922</v>
      </c>
      <c r="Z22">
        <f t="shared" si="3"/>
        <v>1399.245299961344</v>
      </c>
      <c r="AA22">
        <f t="shared" si="4"/>
        <v>5.6099495099046805E-2</v>
      </c>
      <c r="AB22">
        <f t="shared" si="5"/>
        <v>1329.2149447784916</v>
      </c>
      <c r="AC22">
        <f t="shared" si="6"/>
        <v>50.820539000779533</v>
      </c>
      <c r="AD22">
        <f t="shared" si="7"/>
        <v>3.8233499555821331E-2</v>
      </c>
    </row>
    <row r="23" spans="1:30" x14ac:dyDescent="0.25">
      <c r="B23" t="str">
        <f>U_Pu_Results!A23</f>
        <v>53G</v>
      </c>
      <c r="C23">
        <f>U_Pu_Results!B23+U_Pu_Results!E23+U_Pu_Results!H23</f>
        <v>15.229479311538261</v>
      </c>
      <c r="D23">
        <f>(U_Pu_Results!C23^2+U_Pu_Results!F23^2+U_Pu_Results!I23^2)^0.5</f>
        <v>0.90675019439942306</v>
      </c>
      <c r="E23" s="21">
        <f t="shared" si="8"/>
        <v>5.9539146142208871E-2</v>
      </c>
      <c r="F23">
        <f>U_Pu_Results!N23+U_Pu_Results!Q23+U_Pu_Results!T23+U_Pu_Results!K23</f>
        <v>3.087391635109114</v>
      </c>
      <c r="G23">
        <f>(U_Pu_Results!L23^2+U_Pu_Results!O23^2+U_Pu_Results!U23^2+U_Pu_Results!R23^2)^0.5</f>
        <v>0.11547421191386484</v>
      </c>
      <c r="H23" s="21">
        <f t="shared" si="9"/>
        <v>3.740186719453354E-2</v>
      </c>
      <c r="I23" s="21"/>
      <c r="J23" s="21">
        <f>1-C7/C8</f>
        <v>0.97390250432594527</v>
      </c>
      <c r="K23" s="21">
        <f>((D7/C8)^2+((D8*C7)/(C8^2))^2)^0.5</f>
        <v>1.9201732544453876E-3</v>
      </c>
      <c r="M23" s="17">
        <f>Evap_calcs!W23</f>
        <v>0.24942020620388694</v>
      </c>
      <c r="N23" s="17"/>
      <c r="O23" s="17">
        <f t="shared" si="10"/>
        <v>3.7985398702617035</v>
      </c>
      <c r="P23" s="17">
        <f t="shared" si="11"/>
        <v>0.22616182046251868</v>
      </c>
      <c r="Q23" s="25">
        <f t="shared" si="12"/>
        <v>5.9539146142208871E-2</v>
      </c>
      <c r="R23" s="17">
        <f t="shared" si="13"/>
        <v>0.77005785826107087</v>
      </c>
      <c r="S23" s="17">
        <f t="shared" si="2"/>
        <v>2.8801601746787506E-2</v>
      </c>
      <c r="T23" s="25">
        <f t="shared" si="14"/>
        <v>3.740186719453354E-2</v>
      </c>
      <c r="X23" t="s">
        <v>31</v>
      </c>
      <c r="Y23">
        <f t="shared" si="0"/>
        <v>3.7985398702617035</v>
      </c>
      <c r="Z23">
        <f t="shared" si="3"/>
        <v>0.22616182046251868</v>
      </c>
      <c r="AA23">
        <f t="shared" si="4"/>
        <v>5.9539146142208871E-2</v>
      </c>
      <c r="AB23">
        <f t="shared" si="5"/>
        <v>0.77005785826107087</v>
      </c>
      <c r="AC23">
        <f t="shared" si="6"/>
        <v>2.8801601746787506E-2</v>
      </c>
      <c r="AD23">
        <f t="shared" si="7"/>
        <v>3.740186719453354E-2</v>
      </c>
    </row>
    <row r="24" spans="1:30" x14ac:dyDescent="0.25">
      <c r="B24" t="str">
        <f>U_Pu_Results!A24</f>
        <v>94G</v>
      </c>
      <c r="C24">
        <f>U_Pu_Results!B24+U_Pu_Results!E24+U_Pu_Results!H24</f>
        <v>0</v>
      </c>
      <c r="D24">
        <f>(U_Pu_Results!C24^2+U_Pu_Results!F24^2+U_Pu_Results!I24^2)^0.5</f>
        <v>0</v>
      </c>
      <c r="E24" s="21" t="e">
        <f t="shared" si="8"/>
        <v>#DIV/0!</v>
      </c>
      <c r="F24">
        <f>U_Pu_Results!N24+U_Pu_Results!Q24+U_Pu_Results!T24+U_Pu_Results!K24</f>
        <v>0.18845128438320993</v>
      </c>
      <c r="G24">
        <f>(U_Pu_Results!L24^2+U_Pu_Results!O24^2+U_Pu_Results!U24^2+U_Pu_Results!R24^2)^0.5</f>
        <v>8.0777683067883108E-3</v>
      </c>
      <c r="H24" s="21">
        <f t="shared" si="9"/>
        <v>4.286395995244275E-2</v>
      </c>
      <c r="I24" s="21"/>
      <c r="J24" s="21" t="s">
        <v>309</v>
      </c>
      <c r="K24" s="21"/>
      <c r="M24" s="17">
        <f>Evap_calcs!W24</f>
        <v>0.25895164644743274</v>
      </c>
      <c r="N24" s="17"/>
      <c r="O24" s="17">
        <f t="shared" si="10"/>
        <v>0</v>
      </c>
      <c r="P24" s="17">
        <f t="shared" si="11"/>
        <v>0</v>
      </c>
      <c r="Q24" s="25" t="e">
        <f t="shared" si="12"/>
        <v>#DIV/0!</v>
      </c>
      <c r="R24" s="17">
        <f t="shared" si="13"/>
        <v>4.8799770366165583E-2</v>
      </c>
      <c r="S24" s="17">
        <f t="shared" si="2"/>
        <v>2.0917514026637242E-3</v>
      </c>
      <c r="T24" s="25">
        <f t="shared" si="14"/>
        <v>4.286395995244275E-2</v>
      </c>
      <c r="X24" t="s">
        <v>32</v>
      </c>
      <c r="Y24">
        <f t="shared" si="0"/>
        <v>0</v>
      </c>
      <c r="Z24">
        <f t="shared" si="3"/>
        <v>0</v>
      </c>
      <c r="AA24" t="e">
        <f t="shared" si="4"/>
        <v>#DIV/0!</v>
      </c>
      <c r="AB24">
        <f t="shared" si="5"/>
        <v>4.8799770366165583E-2</v>
      </c>
      <c r="AC24">
        <f t="shared" si="6"/>
        <v>2.0917514026637242E-3</v>
      </c>
      <c r="AD24">
        <f t="shared" si="7"/>
        <v>4.286395995244275E-2</v>
      </c>
    </row>
    <row r="25" spans="1:30" x14ac:dyDescent="0.25">
      <c r="B25" t="str">
        <f>U_Pu_Results!A25</f>
        <v>47G</v>
      </c>
      <c r="C25">
        <f>U_Pu_Results!B25+U_Pu_Results!E25+U_Pu_Results!H25</f>
        <v>900.54571629218776</v>
      </c>
      <c r="D25">
        <f>(U_Pu_Results!C25^2+U_Pu_Results!F25^2+U_Pu_Results!I25^2)^0.5</f>
        <v>51.128128732615984</v>
      </c>
      <c r="E25" s="21">
        <f t="shared" si="8"/>
        <v>5.6774606560925707E-2</v>
      </c>
      <c r="F25">
        <f>U_Pu_Results!N25+U_Pu_Results!Q25+U_Pu_Results!T25+U_Pu_Results!K25</f>
        <v>79.054800982150041</v>
      </c>
      <c r="G25">
        <f>(U_Pu_Results!L25^2+U_Pu_Results!O25^2+U_Pu_Results!U25^2+U_Pu_Results!R25^2)^0.5</f>
        <v>3.1183625428882409</v>
      </c>
      <c r="H25" s="21">
        <f t="shared" si="9"/>
        <v>3.9445580839452661E-2</v>
      </c>
      <c r="I25" s="21"/>
      <c r="J25" s="21">
        <f>1-F7/F8</f>
        <v>0.94177907362817215</v>
      </c>
      <c r="K25" s="21">
        <f>((G7/F8)^2+((G8*F7)/(F8^2))^2)^0.5</f>
        <v>2.6625519328006141E-3</v>
      </c>
      <c r="M25" s="17">
        <f>Evap_calcs!W25</f>
        <v>0.97732021916851075</v>
      </c>
      <c r="N25" s="17"/>
      <c r="O25" s="17">
        <f t="shared" si="10"/>
        <v>880.1215368179445</v>
      </c>
      <c r="P25" s="17">
        <f t="shared" si="11"/>
        <v>49.968553978636088</v>
      </c>
      <c r="Q25" s="25">
        <f t="shared" si="12"/>
        <v>5.6774606560925707E-2</v>
      </c>
      <c r="R25" s="17">
        <f t="shared" si="13"/>
        <v>77.261855422197883</v>
      </c>
      <c r="S25" s="17">
        <f t="shared" si="2"/>
        <v>3.0476387638624103</v>
      </c>
      <c r="T25" s="25">
        <f t="shared" si="14"/>
        <v>3.9445580839452661E-2</v>
      </c>
      <c r="X25" t="s">
        <v>13</v>
      </c>
      <c r="Y25">
        <f t="shared" si="0"/>
        <v>880.1215368179445</v>
      </c>
      <c r="Z25">
        <f t="shared" si="3"/>
        <v>49.968553978636088</v>
      </c>
      <c r="AA25">
        <f t="shared" si="4"/>
        <v>5.6774606560925707E-2</v>
      </c>
      <c r="AB25">
        <f t="shared" si="5"/>
        <v>77.261855422197883</v>
      </c>
      <c r="AC25">
        <f t="shared" si="6"/>
        <v>3.0476387638624103</v>
      </c>
      <c r="AD25">
        <f t="shared" si="7"/>
        <v>3.9445580839452661E-2</v>
      </c>
    </row>
    <row r="26" spans="1:30" x14ac:dyDescent="0.25">
      <c r="B26" t="str">
        <f>U_Pu_Results!A26</f>
        <v>48G</v>
      </c>
      <c r="C26">
        <f>U_Pu_Results!B26+U_Pu_Results!E26+U_Pu_Results!H26</f>
        <v>966.29755697133442</v>
      </c>
      <c r="D26">
        <f>(U_Pu_Results!C26^2+U_Pu_Results!F26^2+U_Pu_Results!I26^2)^0.5</f>
        <v>55.142276601665344</v>
      </c>
      <c r="E26" s="21">
        <f t="shared" si="8"/>
        <v>5.7065524179216322E-2</v>
      </c>
      <c r="F26">
        <f>U_Pu_Results!N26+U_Pu_Results!Q26+U_Pu_Results!T26+U_Pu_Results!K26</f>
        <v>15.730112202970149</v>
      </c>
      <c r="G26">
        <f>(U_Pu_Results!L26^2+U_Pu_Results!O26^2+U_Pu_Results!U26^2+U_Pu_Results!R26^2)^0.5</f>
        <v>0.62663560355080206</v>
      </c>
      <c r="H26" s="21">
        <f t="shared" si="9"/>
        <v>3.9836690003551348E-2</v>
      </c>
      <c r="I26" s="21"/>
      <c r="J26" s="21"/>
      <c r="K26" s="21"/>
      <c r="M26" s="17">
        <f>Evap_calcs!W26</f>
        <v>0.92268407434262167</v>
      </c>
      <c r="N26" s="17"/>
      <c r="O26" s="17">
        <f t="shared" si="10"/>
        <v>891.58736689363241</v>
      </c>
      <c r="P26" s="17">
        <f t="shared" si="11"/>
        <v>50.878900443352393</v>
      </c>
      <c r="Q26" s="25">
        <f t="shared" si="12"/>
        <v>5.7065524179216322E-2</v>
      </c>
      <c r="R26" s="17">
        <f t="shared" si="13"/>
        <v>14.51392401730309</v>
      </c>
      <c r="S26" s="17">
        <f t="shared" si="2"/>
        <v>0.5781866918124019</v>
      </c>
      <c r="T26" s="25">
        <f t="shared" si="14"/>
        <v>3.9836690003551355E-2</v>
      </c>
      <c r="X26" t="s">
        <v>14</v>
      </c>
      <c r="Y26">
        <f t="shared" si="0"/>
        <v>891.58736689363241</v>
      </c>
      <c r="Z26">
        <f t="shared" si="3"/>
        <v>50.878900443352393</v>
      </c>
      <c r="AA26">
        <f t="shared" si="4"/>
        <v>5.7065524179216322E-2</v>
      </c>
      <c r="AB26">
        <f t="shared" si="5"/>
        <v>14.51392401730309</v>
      </c>
      <c r="AC26">
        <f t="shared" si="6"/>
        <v>0.5781866918124019</v>
      </c>
      <c r="AD26">
        <f t="shared" si="7"/>
        <v>3.9836690003551355E-2</v>
      </c>
    </row>
    <row r="27" spans="1:30" x14ac:dyDescent="0.25">
      <c r="B27" t="str">
        <f>U_Pu_Results!A27</f>
        <v>49G</v>
      </c>
      <c r="C27">
        <f>U_Pu_Results!B27+U_Pu_Results!E27+U_Pu_Results!H27</f>
        <v>815.52353578755492</v>
      </c>
      <c r="D27">
        <f>(U_Pu_Results!C27^2+U_Pu_Results!F27^2+U_Pu_Results!I27^2)^0.5</f>
        <v>46.774394015013968</v>
      </c>
      <c r="E27" s="21">
        <f t="shared" si="8"/>
        <v>5.735505103460161E-2</v>
      </c>
      <c r="F27">
        <f>U_Pu_Results!N27+U_Pu_Results!Q27+U_Pu_Results!T27+U_Pu_Results!K27</f>
        <v>3.4377282546170296</v>
      </c>
      <c r="G27">
        <f>(U_Pu_Results!L27^2+U_Pu_Results!O27^2+U_Pu_Results!U27^2+U_Pu_Results!R27^2)^0.5</f>
        <v>0.1381228037615502</v>
      </c>
      <c r="H27" s="21">
        <f t="shared" si="9"/>
        <v>4.0178511368967232E-2</v>
      </c>
      <c r="I27" s="21"/>
      <c r="J27" s="21" t="s">
        <v>310</v>
      </c>
      <c r="K27" s="21"/>
      <c r="M27" s="17">
        <f>Evap_calcs!W27</f>
        <v>0.92180870684692251</v>
      </c>
      <c r="N27" s="17"/>
      <c r="O27" s="17">
        <f t="shared" si="10"/>
        <v>751.75669592755594</v>
      </c>
      <c r="P27" s="17">
        <f t="shared" si="11"/>
        <v>43.117043660528459</v>
      </c>
      <c r="Q27" s="25">
        <f t="shared" si="12"/>
        <v>5.7355051034601617E-2</v>
      </c>
      <c r="R27" s="17">
        <f t="shared" si="13"/>
        <v>3.1689278368796518</v>
      </c>
      <c r="S27" s="17">
        <f t="shared" si="2"/>
        <v>0.12732280312150585</v>
      </c>
      <c r="T27" s="25">
        <f t="shared" si="14"/>
        <v>4.0178511368967239E-2</v>
      </c>
      <c r="X27" t="s">
        <v>15</v>
      </c>
      <c r="Y27">
        <f t="shared" si="0"/>
        <v>751.75669592755594</v>
      </c>
      <c r="Z27">
        <f t="shared" si="3"/>
        <v>43.117043660528459</v>
      </c>
      <c r="AA27">
        <f t="shared" si="4"/>
        <v>5.7355051034601617E-2</v>
      </c>
      <c r="AB27">
        <f t="shared" si="5"/>
        <v>3.1689278368796518</v>
      </c>
      <c r="AC27">
        <f t="shared" si="6"/>
        <v>0.12732280312150585</v>
      </c>
      <c r="AD27">
        <f t="shared" si="7"/>
        <v>4.0178511368967239E-2</v>
      </c>
    </row>
    <row r="28" spans="1:30" x14ac:dyDescent="0.25">
      <c r="B28" t="str">
        <f>U_Pu_Results!A28</f>
        <v>50G</v>
      </c>
      <c r="C28">
        <f>U_Pu_Results!B28+U_Pu_Results!E28+U_Pu_Results!H28</f>
        <v>306.91602411164502</v>
      </c>
      <c r="D28">
        <f>(U_Pu_Results!C28^2+U_Pu_Results!F28^2+U_Pu_Results!I28^2)^0.5</f>
        <v>17.692251120552562</v>
      </c>
      <c r="E28" s="21">
        <f t="shared" si="8"/>
        <v>5.7645250591793012E-2</v>
      </c>
      <c r="F28">
        <f>U_Pu_Results!N28+U_Pu_Results!Q28+U_Pu_Results!T28+U_Pu_Results!K28</f>
        <v>36.788869921978844</v>
      </c>
      <c r="G28">
        <f>(U_Pu_Results!L28^2+U_Pu_Results!O28^2+U_Pu_Results!U28^2+U_Pu_Results!R28^2)^0.5</f>
        <v>1.4959852704924061</v>
      </c>
      <c r="H28" s="21">
        <f t="shared" si="9"/>
        <v>4.0664072412799415E-2</v>
      </c>
      <c r="I28" s="21"/>
      <c r="J28" s="21">
        <f>J23*J5</f>
        <v>0.69564464594710373</v>
      </c>
      <c r="K28" s="21">
        <f>((K5*J23)^2+(K23*J5)^2)^0.5</f>
        <v>9.9330483974508308E-3</v>
      </c>
      <c r="M28" s="17">
        <f>Evap_calcs!W28</f>
        <v>0.9304963163325386</v>
      </c>
      <c r="N28" s="17"/>
      <c r="O28" s="17">
        <f t="shared" si="10"/>
        <v>285.58422985931429</v>
      </c>
      <c r="P28" s="17">
        <f t="shared" si="11"/>
        <v>16.462574495304388</v>
      </c>
      <c r="Q28" s="25">
        <f t="shared" si="12"/>
        <v>5.7645250591793006E-2</v>
      </c>
      <c r="R28" s="17">
        <f t="shared" si="13"/>
        <v>34.231907944438241</v>
      </c>
      <c r="S28" s="17">
        <f t="shared" si="2"/>
        <v>1.3920087834809203</v>
      </c>
      <c r="T28" s="25">
        <f t="shared" si="14"/>
        <v>4.0664072412799415E-2</v>
      </c>
      <c r="X28" t="s">
        <v>16</v>
      </c>
      <c r="Y28">
        <f t="shared" si="0"/>
        <v>285.58422985931429</v>
      </c>
      <c r="Z28">
        <f t="shared" si="3"/>
        <v>16.462574495304388</v>
      </c>
      <c r="AA28">
        <f t="shared" si="4"/>
        <v>5.7645250591793006E-2</v>
      </c>
      <c r="AB28">
        <f t="shared" si="5"/>
        <v>34.231907944438241</v>
      </c>
      <c r="AC28">
        <f t="shared" si="6"/>
        <v>1.3920087834809203</v>
      </c>
      <c r="AD28">
        <f t="shared" si="7"/>
        <v>4.0664072412799415E-2</v>
      </c>
    </row>
    <row r="29" spans="1:30" x14ac:dyDescent="0.25">
      <c r="B29" t="str">
        <f>U_Pu_Results!A29</f>
        <v>51G</v>
      </c>
      <c r="C29">
        <f>U_Pu_Results!B29+U_Pu_Results!E29+U_Pu_Results!H29</f>
        <v>84.952527083888043</v>
      </c>
      <c r="D29">
        <f>(U_Pu_Results!C29^2+U_Pu_Results!F29^2+U_Pu_Results!I29^2)^0.5</f>
        <v>4.9222317794900068</v>
      </c>
      <c r="E29" s="21">
        <f t="shared" si="8"/>
        <v>5.7940969485574596E-2</v>
      </c>
      <c r="F29">
        <f>U_Pu_Results!N29+U_Pu_Results!Q29+U_Pu_Results!T29+U_Pu_Results!K29</f>
        <v>9.6660157787550531</v>
      </c>
      <c r="G29">
        <f>(U_Pu_Results!L29^2+U_Pu_Results!O29^2+U_Pu_Results!U29^2+U_Pu_Results!R29^2)^0.5</f>
        <v>0.39592110438901246</v>
      </c>
      <c r="H29" s="21">
        <f t="shared" si="9"/>
        <v>4.0960113603291222E-2</v>
      </c>
      <c r="I29" s="21"/>
      <c r="J29" s="21" t="s">
        <v>311</v>
      </c>
      <c r="K29" s="21"/>
      <c r="M29" s="17">
        <f>Evap_calcs!W29</f>
        <v>0.97497489493475131</v>
      </c>
      <c r="N29" s="17"/>
      <c r="O29" s="17">
        <f t="shared" si="10"/>
        <v>82.826581168055355</v>
      </c>
      <c r="P29" s="17">
        <f t="shared" si="11"/>
        <v>4.7990524120527631</v>
      </c>
      <c r="Q29" s="25">
        <f t="shared" si="12"/>
        <v>5.7940969485574596E-2</v>
      </c>
      <c r="R29" s="17">
        <f t="shared" si="13"/>
        <v>9.4241227183293557</v>
      </c>
      <c r="S29" s="17">
        <f t="shared" si="2"/>
        <v>0.38601313715412811</v>
      </c>
      <c r="T29" s="25">
        <f t="shared" si="14"/>
        <v>4.0960113603291222E-2</v>
      </c>
      <c r="X29" t="s">
        <v>17</v>
      </c>
      <c r="Y29">
        <f t="shared" si="0"/>
        <v>82.826581168055355</v>
      </c>
      <c r="Z29">
        <f t="shared" si="3"/>
        <v>4.7990524120527631</v>
      </c>
      <c r="AA29">
        <f t="shared" si="4"/>
        <v>5.7940969485574596E-2</v>
      </c>
      <c r="AB29">
        <f t="shared" si="5"/>
        <v>9.4241227183293557</v>
      </c>
      <c r="AC29">
        <f t="shared" si="6"/>
        <v>0.38601313715412811</v>
      </c>
      <c r="AD29">
        <f t="shared" si="7"/>
        <v>4.0960113603291222E-2</v>
      </c>
    </row>
    <row r="30" spans="1:30" x14ac:dyDescent="0.25">
      <c r="B30" t="str">
        <f>U_Pu_Results!A30</f>
        <v>52G</v>
      </c>
      <c r="C30">
        <f>U_Pu_Results!B30+U_Pu_Results!E30+U_Pu_Results!H30</f>
        <v>124.52099499580203</v>
      </c>
      <c r="D30">
        <f>(U_Pu_Results!C30^2+U_Pu_Results!F30^2+U_Pu_Results!I30^2)^0.5</f>
        <v>7.251183312837127</v>
      </c>
      <c r="E30" s="21">
        <f t="shared" si="8"/>
        <v>5.8232616219309731E-2</v>
      </c>
      <c r="F30">
        <f>U_Pu_Results!N30+U_Pu_Results!Q30+U_Pu_Results!T30+U_Pu_Results!K30</f>
        <v>13.450146301169681</v>
      </c>
      <c r="G30">
        <f>(U_Pu_Results!L30^2+U_Pu_Results!O30^2+U_Pu_Results!U30^2+U_Pu_Results!R30^2)^0.5</f>
        <v>0.5570733231087529</v>
      </c>
      <c r="H30" s="21">
        <f t="shared" si="9"/>
        <v>4.14176404207817E-2</v>
      </c>
      <c r="I30" s="21"/>
      <c r="J30" s="21">
        <f>J25*J5</f>
        <v>0.67269933830583728</v>
      </c>
      <c r="K30" s="21">
        <f>((K25*J5)^2+(J25*K5)^2)^0.5</f>
        <v>9.7016395495194505E-3</v>
      </c>
      <c r="M30" s="17">
        <f>Evap_calcs!W30</f>
        <v>0.92772156653485149</v>
      </c>
      <c r="N30" s="17"/>
      <c r="O30" s="17">
        <f t="shared" si="10"/>
        <v>115.52081254398387</v>
      </c>
      <c r="P30" s="17">
        <f t="shared" si="11"/>
        <v>6.7270791422166338</v>
      </c>
      <c r="Q30" s="25">
        <f t="shared" si="12"/>
        <v>5.8232616219309731E-2</v>
      </c>
      <c r="R30" s="17">
        <f t="shared" si="13"/>
        <v>12.477990796644075</v>
      </c>
      <c r="S30" s="17">
        <f t="shared" si="2"/>
        <v>0.51680893598922772</v>
      </c>
      <c r="T30" s="25">
        <f t="shared" si="14"/>
        <v>4.14176404207817E-2</v>
      </c>
      <c r="X30" t="s">
        <v>18</v>
      </c>
      <c r="Y30">
        <f t="shared" ref="Y30" si="15">O30</f>
        <v>115.52081254398387</v>
      </c>
      <c r="Z30">
        <f t="shared" ref="Z30" si="16">P30</f>
        <v>6.7270791422166338</v>
      </c>
      <c r="AA30">
        <f t="shared" ref="AA30" si="17">Q30</f>
        <v>5.8232616219309731E-2</v>
      </c>
      <c r="AB30">
        <f t="shared" ref="AB30" si="18">R30</f>
        <v>12.477990796644075</v>
      </c>
      <c r="AC30">
        <f t="shared" ref="AC30" si="19">S30</f>
        <v>0.51680893598922772</v>
      </c>
      <c r="AD30">
        <f t="shared" ref="AD30" si="20">T30</f>
        <v>4.14176404207817E-2</v>
      </c>
    </row>
    <row r="31" spans="1:30" x14ac:dyDescent="0.25">
      <c r="J31" s="21" t="s">
        <v>314</v>
      </c>
      <c r="K31" s="14" t="s">
        <v>211</v>
      </c>
    </row>
    <row r="32" spans="1:30" x14ac:dyDescent="0.25">
      <c r="A32" t="s">
        <v>296</v>
      </c>
      <c r="B32" s="14" t="s">
        <v>211</v>
      </c>
      <c r="C32" t="s">
        <v>305</v>
      </c>
      <c r="D32" s="14" t="s">
        <v>211</v>
      </c>
      <c r="J32">
        <f>2/2.1</f>
        <v>0.95238095238095233</v>
      </c>
      <c r="K32">
        <f>((0.02/2.1)^2+((0.021*2)/(2.1^2))^2)^0.5</f>
        <v>1.3468700594029477E-2</v>
      </c>
    </row>
    <row r="33" spans="1:14" x14ac:dyDescent="0.25">
      <c r="A33">
        <f>1/J7</f>
        <v>3.7515556004206099E-2</v>
      </c>
      <c r="B33">
        <f>((K7/(J7^2)))</f>
        <v>4.1063853570838683E-3</v>
      </c>
      <c r="C33">
        <f>1/J10</f>
        <v>8.6548214122604411E-2</v>
      </c>
      <c r="D33">
        <f>((K10/(J10^2)))</f>
        <v>8.8540316139087E-3</v>
      </c>
      <c r="F33" t="s">
        <v>313</v>
      </c>
    </row>
    <row r="34" spans="1:14" x14ac:dyDescent="0.25">
      <c r="A34" t="s">
        <v>288</v>
      </c>
      <c r="B34" s="14" t="s">
        <v>211</v>
      </c>
      <c r="C34" t="s">
        <v>288</v>
      </c>
      <c r="D34" s="14" t="s">
        <v>211</v>
      </c>
      <c r="J34" t="s">
        <v>312</v>
      </c>
      <c r="M34" t="s">
        <v>317</v>
      </c>
    </row>
    <row r="35" spans="1:14" x14ac:dyDescent="0.25">
      <c r="A35">
        <f>J5</f>
        <v>0.7142857142857143</v>
      </c>
      <c r="B35">
        <f>K5</f>
        <v>1.0101525445522109E-2</v>
      </c>
      <c r="C35">
        <f>J5</f>
        <v>0.7142857142857143</v>
      </c>
      <c r="D35">
        <f>K5</f>
        <v>1.0101525445522109E-2</v>
      </c>
      <c r="F35" t="s">
        <v>306</v>
      </c>
      <c r="G35" s="14" t="s">
        <v>211</v>
      </c>
      <c r="I35" t="s">
        <v>323</v>
      </c>
      <c r="J35" t="s">
        <v>315</v>
      </c>
      <c r="K35" s="14" t="s">
        <v>211</v>
      </c>
      <c r="M35" t="s">
        <v>318</v>
      </c>
      <c r="N35" s="14" t="s">
        <v>211</v>
      </c>
    </row>
    <row r="36" spans="1:14" x14ac:dyDescent="0.25">
      <c r="A36" t="s">
        <v>297</v>
      </c>
      <c r="B36" s="14" t="s">
        <v>211</v>
      </c>
      <c r="C36" t="s">
        <v>297</v>
      </c>
      <c r="D36" s="14" t="s">
        <v>211</v>
      </c>
      <c r="F36" s="32">
        <f>1-C3/C8</f>
        <v>0.99856826041296531</v>
      </c>
      <c r="G36" s="32">
        <f>((D3/C8)^2+((D8*C3)/(C8^2))^2)^0.5</f>
        <v>1.060137023014762E-4</v>
      </c>
      <c r="I36">
        <f>F8*0.5</f>
        <v>2972.8594918316394</v>
      </c>
      <c r="J36">
        <f>F4*6*J32</f>
        <v>3059.1699692209672</v>
      </c>
      <c r="K36">
        <f>12*(((K32*F4)^2+(G4*J32)^2)^0.5)</f>
        <v>213.30001201648025</v>
      </c>
      <c r="M36">
        <f>C4*12*J32</f>
        <v>19498.409407949086</v>
      </c>
      <c r="N36">
        <f>12*(((K32*C4)^2+(D4*J32)^2)^0.5)</f>
        <v>1032.794799896395</v>
      </c>
    </row>
    <row r="37" spans="1:14" x14ac:dyDescent="0.25">
      <c r="A37">
        <f>A35*A33</f>
        <v>2.6796825717290071E-2</v>
      </c>
      <c r="B37">
        <f>((A35*B33)^2+(B35*A33)^2)^0.5</f>
        <v>2.9575124069756969E-3</v>
      </c>
      <c r="C37">
        <f>C35*C33</f>
        <v>6.1820152944717439E-2</v>
      </c>
      <c r="D37">
        <f>((C35*D33)^2+(D35*C33)^2)^0.5</f>
        <v>6.3844515567460704E-3</v>
      </c>
      <c r="F37" t="s">
        <v>307</v>
      </c>
      <c r="G37" s="14" t="s">
        <v>211</v>
      </c>
      <c r="J37" t="s">
        <v>316</v>
      </c>
      <c r="M37" t="s">
        <v>319</v>
      </c>
    </row>
    <row r="38" spans="1:14" x14ac:dyDescent="0.25">
      <c r="A38" t="s">
        <v>298</v>
      </c>
      <c r="B38" s="14" t="s">
        <v>211</v>
      </c>
      <c r="C38" t="s">
        <v>298</v>
      </c>
      <c r="D38" s="14" t="s">
        <v>211</v>
      </c>
      <c r="F38" s="32">
        <f>1-F3/F8</f>
        <v>0.99129863795153639</v>
      </c>
      <c r="G38" s="21">
        <f>((G3/F8)^2+((G8*F3)/(F8^2))^2)^0.5</f>
        <v>3.6663592287027811E-4</v>
      </c>
      <c r="J38">
        <f>J36/(F8*0.5)</f>
        <v>1.0290328142404572</v>
      </c>
      <c r="K38">
        <f>((K36/F8)^2+((J36*G8)/(F8^2))^2)^0.5</f>
        <v>3.969912083196929E-2</v>
      </c>
      <c r="M38">
        <f>M36/C8</f>
        <v>6.6833520086798603E-2</v>
      </c>
      <c r="N38">
        <f>((N36/C8)^2+((D8*M36)/(C8^2))^2)^0.5</f>
        <v>4.9619903802894227E-3</v>
      </c>
    </row>
    <row r="39" spans="1:14" x14ac:dyDescent="0.25">
      <c r="A39">
        <f>A37+1</f>
        <v>1.0267968257172901</v>
      </c>
      <c r="B39">
        <f>B37</f>
        <v>2.9575124069756969E-3</v>
      </c>
      <c r="C39">
        <f>C37+1</f>
        <v>1.0618201529447175</v>
      </c>
      <c r="D39">
        <f>D37</f>
        <v>6.3844515567460704E-3</v>
      </c>
    </row>
    <row r="40" spans="1:14" x14ac:dyDescent="0.25">
      <c r="A40" t="s">
        <v>299</v>
      </c>
      <c r="B40" s="14" t="s">
        <v>211</v>
      </c>
      <c r="C40" t="s">
        <v>299</v>
      </c>
      <c r="D40" s="14" t="s">
        <v>211</v>
      </c>
      <c r="J40" t="s">
        <v>322</v>
      </c>
      <c r="K40" s="14" t="s">
        <v>211</v>
      </c>
    </row>
    <row r="41" spans="1:14" x14ac:dyDescent="0.25">
      <c r="A41">
        <f>1/A39</f>
        <v>0.97390250432594527</v>
      </c>
      <c r="B41">
        <f>((B39)/(A39^2))</f>
        <v>2.8051593729037606E-3</v>
      </c>
      <c r="C41">
        <f>1/C39</f>
        <v>0.94177907362817204</v>
      </c>
      <c r="D41">
        <f>((D39)/(C39^2))</f>
        <v>5.6626754126499436E-3</v>
      </c>
      <c r="J41">
        <f>2/2.2</f>
        <v>0.90909090909090906</v>
      </c>
      <c r="K41">
        <f>((0.02/2.1)^2+((0.022*2)/(2.1^2))^2)^0.5</f>
        <v>1.3793112313601405E-2</v>
      </c>
    </row>
    <row r="42" spans="1:14" x14ac:dyDescent="0.25">
      <c r="A42" t="s">
        <v>300</v>
      </c>
      <c r="C42" t="s">
        <v>300</v>
      </c>
    </row>
    <row r="43" spans="1:14" x14ac:dyDescent="0.25">
      <c r="A43">
        <f>A41*A35</f>
        <v>0.69564464594710373</v>
      </c>
      <c r="B43">
        <f>((B41*A35)^2+(A41*B35)^2)^0.5</f>
        <v>1.0039872973977399E-2</v>
      </c>
      <c r="C43">
        <f>C41*C35</f>
        <v>0.67269933830583717</v>
      </c>
      <c r="D43">
        <f>((D41*C35)^2+(C41*D35)^2)^0.5</f>
        <v>1.0337554321694696E-2</v>
      </c>
      <c r="J43" t="s">
        <v>320</v>
      </c>
      <c r="M43" t="s">
        <v>325</v>
      </c>
    </row>
    <row r="44" spans="1:14" x14ac:dyDescent="0.25">
      <c r="A44" t="s">
        <v>301</v>
      </c>
      <c r="C44" t="s">
        <v>301</v>
      </c>
      <c r="J44" t="s">
        <v>321</v>
      </c>
      <c r="K44" s="14" t="s">
        <v>211</v>
      </c>
      <c r="M44" t="s">
        <v>326</v>
      </c>
      <c r="N44" s="14" t="s">
        <v>211</v>
      </c>
    </row>
    <row r="45" spans="1:14" x14ac:dyDescent="0.25">
      <c r="A45">
        <f>(1-A43)*A43</f>
        <v>0.21172317251223244</v>
      </c>
      <c r="B45">
        <f>((B43*(1-2*A43))^2)^0.5</f>
        <v>3.928494786695407E-3</v>
      </c>
      <c r="C45">
        <f>(1-C43)*C43</f>
        <v>0.220174938548726</v>
      </c>
      <c r="D45">
        <f>((D43*(1-2*C43))^2)^0.5</f>
        <v>3.5705775821146426E-3</v>
      </c>
      <c r="J45">
        <f>F5*6</f>
        <v>194.28251966482824</v>
      </c>
      <c r="K45">
        <f>12*(((K41*F5)^2+(G5*J41)^2)^0.5)</f>
        <v>12.497303581035631</v>
      </c>
      <c r="M45">
        <f>C5*12*J41</f>
        <v>75.169351745263072</v>
      </c>
      <c r="N45">
        <f>12*(((K41*C5)^2+(D5*J41)^2)^0.5)</f>
        <v>4.0173023984085177</v>
      </c>
    </row>
    <row r="46" spans="1:14" x14ac:dyDescent="0.25">
      <c r="A46" t="s">
        <v>302</v>
      </c>
      <c r="C46" t="s">
        <v>302</v>
      </c>
      <c r="J46" t="s">
        <v>323</v>
      </c>
      <c r="M46" t="s">
        <v>327</v>
      </c>
    </row>
    <row r="47" spans="1:14" x14ac:dyDescent="0.25">
      <c r="A47">
        <f>(1-A43-A45)*A43</f>
        <v>6.4439081131162923E-2</v>
      </c>
      <c r="B47">
        <f>(((1-2*A43-A45)^2)*B43^2+(A43*B45)^2)^0.5</f>
        <v>6.6423904854676129E-3</v>
      </c>
      <c r="C47">
        <f>(1-C43-C45)*C43</f>
        <v>7.206340307546967E-2</v>
      </c>
      <c r="D47">
        <f>(((1-2*C43-C45)^2)*D43^2+(C43*D45)^2)^0.5</f>
        <v>6.3208019298263115E-3</v>
      </c>
      <c r="J47">
        <f>F4*0.5</f>
        <v>267.67737230683468</v>
      </c>
      <c r="K47">
        <f>K36/12</f>
        <v>17.775001001373354</v>
      </c>
      <c r="M47">
        <f>M36/12</f>
        <v>1624.8674506624238</v>
      </c>
      <c r="N47">
        <f>N36/12</f>
        <v>86.066233324699581</v>
      </c>
    </row>
    <row r="48" spans="1:14" x14ac:dyDescent="0.25">
      <c r="A48" t="s">
        <v>303</v>
      </c>
      <c r="C48" t="s">
        <v>303</v>
      </c>
      <c r="J48" t="s">
        <v>324</v>
      </c>
      <c r="M48" t="s">
        <v>328</v>
      </c>
    </row>
    <row r="49" spans="1:14" x14ac:dyDescent="0.25">
      <c r="A49">
        <f>(1-A43-A45-A47)*A41</f>
        <v>2.7457331093525765E-2</v>
      </c>
      <c r="B49">
        <f>((B41^2)*(1-A43-A45-A47)^2+(A41^2)*(B43^2+B45^2+B47^2))^0.5</f>
        <v>1.2332854168687441E-2</v>
      </c>
      <c r="C49">
        <f>(1-C43-C45-C47)*C41</f>
        <v>3.302095931474814E-2</v>
      </c>
      <c r="D49">
        <f>((D41^2)*(1-C43-C45-C47)^2+(C41^2)*(D43^2+D45^2+D47^2))^0.5</f>
        <v>1.1898178895136387E-2</v>
      </c>
      <c r="J49">
        <f>J45/J47</f>
        <v>0.725808528343311</v>
      </c>
      <c r="K49">
        <f>((K45/J47)^2+((K47*J45)/(J47^2))^2)^0.5</f>
        <v>6.710226809377183E-2</v>
      </c>
      <c r="M49">
        <f>M45/M47</f>
        <v>4.6261836135998741E-2</v>
      </c>
      <c r="N49">
        <f>((N45/M47)^2+((N47*M45)/(M47^2))^2)^0.5</f>
        <v>3.4809742682127601E-3</v>
      </c>
    </row>
    <row r="50" spans="1:14" x14ac:dyDescent="0.25">
      <c r="A50" t="s">
        <v>304</v>
      </c>
      <c r="C50" t="s">
        <v>304</v>
      </c>
    </row>
    <row r="51" spans="1:14" x14ac:dyDescent="0.25">
      <c r="A51">
        <f>A43+A45+A47+A49</f>
        <v>0.99926423068402481</v>
      </c>
      <c r="B51">
        <f>(B49^2+B47^2+B45^2+B43^2)^0.5</f>
        <v>1.7676333441362681E-2</v>
      </c>
      <c r="C51">
        <f>C43+C45+C47+C49</f>
        <v>0.99795863924478101</v>
      </c>
      <c r="D51">
        <f>(D49^2+D47^2+D45^2+D43^2)^0.5</f>
        <v>1.7353191397568728E-2</v>
      </c>
    </row>
    <row r="52" spans="1:14" x14ac:dyDescent="0.25">
      <c r="J52" t="s">
        <v>329</v>
      </c>
    </row>
    <row r="53" spans="1:14" x14ac:dyDescent="0.25">
      <c r="J53">
        <f>J49*J38</f>
        <v>0.74688079252084194</v>
      </c>
      <c r="K53">
        <f>(K49^2+K38^2)^0.5</f>
        <v>7.7966239989881045E-2</v>
      </c>
      <c r="M53">
        <f>M38*M49</f>
        <v>3.0918413546474574E-3</v>
      </c>
      <c r="N53">
        <f>(N49^2+N38^2)^0.5</f>
        <v>6.0612317551834403E-3</v>
      </c>
    </row>
    <row r="55" spans="1:14" x14ac:dyDescent="0.25">
      <c r="J55" t="s">
        <v>330</v>
      </c>
    </row>
    <row r="56" spans="1:14" x14ac:dyDescent="0.25">
      <c r="J56" t="s">
        <v>331</v>
      </c>
      <c r="K56" s="14" t="s">
        <v>211</v>
      </c>
    </row>
    <row r="57" spans="1:14" x14ac:dyDescent="0.25">
      <c r="J57">
        <f>F6*12*J41</f>
        <v>35.922300531043973</v>
      </c>
      <c r="K57">
        <f>12*(((K41*F6)^2+(G6*J41)^2)^0.5)</f>
        <v>1.2881065330836059</v>
      </c>
    </row>
    <row r="58" spans="1:14" x14ac:dyDescent="0.25">
      <c r="J58" t="s">
        <v>332</v>
      </c>
    </row>
    <row r="59" spans="1:14" x14ac:dyDescent="0.25">
      <c r="J59">
        <f>J45/12</f>
        <v>16.19020997206902</v>
      </c>
    </row>
  </sheetData>
  <mergeCells count="2">
    <mergeCell ref="C1:H1"/>
    <mergeCell ref="O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" workbookViewId="0">
      <selection activeCell="T22" sqref="T22"/>
    </sheetView>
  </sheetViews>
  <sheetFormatPr defaultRowHeight="15" x14ac:dyDescent="0.25"/>
  <cols>
    <col min="10" max="10" width="22.5703125" bestFit="1" customWidth="1"/>
    <col min="13" max="13" width="10" customWidth="1"/>
    <col min="16" max="16" width="14.42578125" customWidth="1"/>
    <col min="19" max="19" width="17" bestFit="1" customWidth="1"/>
    <col min="21" max="21" width="15" bestFit="1" customWidth="1"/>
  </cols>
  <sheetData>
    <row r="1" spans="1:23" ht="16.5" thickTop="1" thickBot="1" x14ac:dyDescent="0.3">
      <c r="A1" s="46" t="s">
        <v>223</v>
      </c>
      <c r="B1" s="47"/>
      <c r="C1" s="47"/>
      <c r="D1" s="47"/>
      <c r="E1" s="47"/>
      <c r="F1" s="47"/>
      <c r="G1" s="47"/>
      <c r="H1" s="48"/>
      <c r="J1" s="46" t="s">
        <v>224</v>
      </c>
      <c r="K1" s="47"/>
      <c r="L1" s="47"/>
      <c r="M1" s="47"/>
      <c r="N1" s="47"/>
      <c r="O1" s="47"/>
      <c r="P1" s="47"/>
      <c r="Q1" s="48"/>
      <c r="W1">
        <f>N34</f>
        <v>0.8258183921688218</v>
      </c>
    </row>
    <row r="2" spans="1:23" ht="15.75" thickTop="1" x14ac:dyDescent="0.25">
      <c r="A2" t="str">
        <f>Totals!B2</f>
        <v>Sample ID</v>
      </c>
      <c r="B2" t="str">
        <f>Totals!C2</f>
        <v>U ppb</v>
      </c>
      <c r="C2" t="str">
        <f>Totals!D2</f>
        <v>±</v>
      </c>
      <c r="D2" t="str">
        <f>Totals!E2</f>
        <v>%</v>
      </c>
      <c r="F2" t="str">
        <f>Totals!F2</f>
        <v>Pu ppb</v>
      </c>
      <c r="G2" t="str">
        <f>Totals!G2</f>
        <v>±</v>
      </c>
      <c r="H2" t="str">
        <f>Totals!H2</f>
        <v>%</v>
      </c>
      <c r="J2" t="str">
        <f>A2</f>
        <v>Sample ID</v>
      </c>
      <c r="K2" t="str">
        <f t="shared" ref="K2:Q2" si="0">B2</f>
        <v>U ppb</v>
      </c>
      <c r="L2" t="str">
        <f t="shared" si="0"/>
        <v>±</v>
      </c>
      <c r="M2" t="str">
        <f t="shared" si="0"/>
        <v>%</v>
      </c>
      <c r="O2" t="str">
        <f t="shared" si="0"/>
        <v>Pu ppb</v>
      </c>
      <c r="P2" t="str">
        <f t="shared" si="0"/>
        <v>±</v>
      </c>
      <c r="Q2" t="str">
        <f t="shared" si="0"/>
        <v>%</v>
      </c>
      <c r="T2" t="s">
        <v>221</v>
      </c>
      <c r="U2" t="str">
        <f>Totals!M2</f>
        <v>Evap Correction</v>
      </c>
      <c r="W2" t="s">
        <v>271</v>
      </c>
    </row>
    <row r="3" spans="1:23" x14ac:dyDescent="0.25">
      <c r="A3" t="str">
        <f>Totals!B3</f>
        <v>87G Trace</v>
      </c>
      <c r="B3">
        <f>Totals!C3</f>
        <v>417.70423879086655</v>
      </c>
      <c r="C3">
        <f>Totals!D3</f>
        <v>22.008561753420253</v>
      </c>
      <c r="D3">
        <f>Totals!E3</f>
        <v>5.2689342624649201E-2</v>
      </c>
      <c r="F3">
        <f>Totals!F3</f>
        <v>51.735853515277476</v>
      </c>
      <c r="G3">
        <f>Totals!G3</f>
        <v>1.3526415717449001</v>
      </c>
      <c r="H3">
        <f>Totals!H3</f>
        <v>2.6145148477070515E-2</v>
      </c>
      <c r="S3" t="s">
        <v>4</v>
      </c>
      <c r="T3">
        <v>0.75773240897631788</v>
      </c>
      <c r="U3">
        <f>Totals!M3</f>
        <v>0.37425064032496902</v>
      </c>
      <c r="W3">
        <f>1-T3*$W$1</f>
        <v>0.37425064032496902</v>
      </c>
    </row>
    <row r="4" spans="1:23" x14ac:dyDescent="0.25">
      <c r="A4" t="str">
        <f>Totals!B4</f>
        <v>90G Trace</v>
      </c>
      <c r="B4">
        <f>Totals!C4</f>
        <v>1706.110823195545</v>
      </c>
      <c r="C4">
        <f>Totals!D4</f>
        <v>87.088988016072108</v>
      </c>
      <c r="D4">
        <f>Totals!E4</f>
        <v>5.1045328845024537E-2</v>
      </c>
      <c r="F4">
        <f>Totals!F4</f>
        <v>535.35474461366937</v>
      </c>
      <c r="G4">
        <f>Totals!G4</f>
        <v>17.059151877925519</v>
      </c>
      <c r="H4">
        <f>Totals!H4</f>
        <v>3.1865136247622119E-2</v>
      </c>
      <c r="S4" t="s">
        <v>5</v>
      </c>
      <c r="T4">
        <v>0.29765971202079633</v>
      </c>
      <c r="U4">
        <f>Totals!M4</f>
        <v>0.75418713520555147</v>
      </c>
      <c r="W4">
        <f t="shared" ref="W4:W30" si="1">1-T4*$W$1</f>
        <v>0.75418713520555147</v>
      </c>
    </row>
    <row r="5" spans="1:23" x14ac:dyDescent="0.25">
      <c r="A5" t="str">
        <f>Totals!B5</f>
        <v>93G Trace</v>
      </c>
      <c r="B5">
        <f>Totals!C5</f>
        <v>6.8905239099824485</v>
      </c>
      <c r="C5">
        <f>Totals!D5</f>
        <v>0.35310085046929385</v>
      </c>
      <c r="D5">
        <f>Totals!E5</f>
        <v>5.124441262844312E-2</v>
      </c>
      <c r="F5">
        <f>Totals!F5</f>
        <v>32.38041994413804</v>
      </c>
      <c r="G5">
        <f>Totals!G5</f>
        <v>1.0348924262597918</v>
      </c>
      <c r="H5">
        <f>Totals!H5</f>
        <v>3.1960438686254367E-2</v>
      </c>
      <c r="S5" t="s">
        <v>6</v>
      </c>
      <c r="T5">
        <v>9.4161115760155317E-2</v>
      </c>
      <c r="U5">
        <f>Totals!M5</f>
        <v>0.92224001877812622</v>
      </c>
      <c r="W5">
        <f t="shared" si="1"/>
        <v>0.92224001877812622</v>
      </c>
    </row>
    <row r="6" spans="1:23" x14ac:dyDescent="0.25">
      <c r="A6" t="str">
        <f>Totals!B6</f>
        <v>96G Trace</v>
      </c>
      <c r="B6">
        <f>Totals!C6</f>
        <v>7.1453545682368249</v>
      </c>
      <c r="C6">
        <f>Totals!D6</f>
        <v>0.36730141027908181</v>
      </c>
      <c r="D6">
        <f>Totals!E6</f>
        <v>5.1404224488990818E-2</v>
      </c>
      <c r="F6">
        <f>Totals!F6</f>
        <v>3.2928775486790309</v>
      </c>
      <c r="G6">
        <f>Totals!G6</f>
        <v>0.10698574217929983</v>
      </c>
      <c r="H6">
        <f>Totals!H6</f>
        <v>3.2490045741973665E-2</v>
      </c>
      <c r="S6" t="s">
        <v>7</v>
      </c>
      <c r="T6">
        <v>0.34448239788607671</v>
      </c>
      <c r="U6">
        <f>Totals!M6</f>
        <v>0.71552010004725974</v>
      </c>
      <c r="W6">
        <f t="shared" si="1"/>
        <v>0.71552010004725974</v>
      </c>
    </row>
    <row r="7" spans="1:23" s="26" customFormat="1" x14ac:dyDescent="0.25">
      <c r="A7" s="26" t="str">
        <f>Totals!B7</f>
        <v>30G Trace Waste</v>
      </c>
      <c r="B7" s="26">
        <f>Totals!C7</f>
        <v>7613.8389017072286</v>
      </c>
      <c r="C7" s="26">
        <f>Totals!D7</f>
        <v>396.14000292217042</v>
      </c>
      <c r="D7" s="26">
        <f>Totals!E7</f>
        <v>5.202894466723549E-2</v>
      </c>
      <c r="F7" s="26">
        <f>Totals!F7</f>
        <v>346.16526717543923</v>
      </c>
      <c r="G7" s="26">
        <f>Totals!G7</f>
        <v>10.9443837258387</v>
      </c>
      <c r="H7" s="26">
        <f>Totals!H7</f>
        <v>3.1616065398877818E-2</v>
      </c>
      <c r="J7" s="26" t="str">
        <f>A7</f>
        <v>30G Trace Waste</v>
      </c>
      <c r="K7" s="26">
        <f>B7*U7</f>
        <v>7613.8389017072286</v>
      </c>
      <c r="L7" s="26">
        <f>C7*U7</f>
        <v>396.14000292217042</v>
      </c>
      <c r="M7" s="26">
        <f>L7/K7</f>
        <v>5.202894466723549E-2</v>
      </c>
      <c r="O7" s="26">
        <f>F7*U7</f>
        <v>346.16526717543923</v>
      </c>
      <c r="P7" s="26">
        <f>G7*U7</f>
        <v>10.9443837258387</v>
      </c>
      <c r="Q7" s="26">
        <f>P7/O7</f>
        <v>3.1616065398877818E-2</v>
      </c>
      <c r="S7" s="26" t="s">
        <v>8</v>
      </c>
      <c r="T7" s="26">
        <v>0.47749750891161086</v>
      </c>
      <c r="U7" s="26">
        <v>1</v>
      </c>
      <c r="W7">
        <f t="shared" si="1"/>
        <v>0.60567377492599594</v>
      </c>
    </row>
    <row r="8" spans="1:23" s="26" customFormat="1" x14ac:dyDescent="0.25">
      <c r="A8" s="26" t="str">
        <f>Totals!B8</f>
        <v>30G Trace Original</v>
      </c>
      <c r="B8" s="26">
        <f>Totals!C8</f>
        <v>291745.95895332081</v>
      </c>
      <c r="C8" s="26">
        <f>Totals!D8</f>
        <v>15177.945847267594</v>
      </c>
      <c r="D8" s="26">
        <f>Totals!E8</f>
        <v>5.2024528126184112E-2</v>
      </c>
      <c r="F8" s="26">
        <f>Totals!F8</f>
        <v>5945.7189836632788</v>
      </c>
      <c r="G8" s="26">
        <f>Totals!G8</f>
        <v>196.46337079698304</v>
      </c>
      <c r="H8" s="26">
        <f>Totals!H8</f>
        <v>3.3042828182225648E-2</v>
      </c>
      <c r="J8" s="26" t="str">
        <f>A8</f>
        <v>30G Trace Original</v>
      </c>
      <c r="K8" s="26">
        <f>B8*U8</f>
        <v>291745.95895332081</v>
      </c>
      <c r="L8" s="26">
        <f>C8*U8</f>
        <v>15177.945847267594</v>
      </c>
      <c r="M8" s="26">
        <f>L8/K8</f>
        <v>5.2024528126184112E-2</v>
      </c>
      <c r="O8" s="26">
        <f>F8*U8</f>
        <v>5945.7189836632788</v>
      </c>
      <c r="P8" s="26">
        <f>G8*U8</f>
        <v>196.46337079698304</v>
      </c>
      <c r="Q8" s="26">
        <f>P8/O8</f>
        <v>3.3042828182225648E-2</v>
      </c>
      <c r="S8" s="26" t="s">
        <v>9</v>
      </c>
      <c r="T8" s="26">
        <v>0.19907057594409555</v>
      </c>
      <c r="U8" s="26">
        <v>1</v>
      </c>
      <c r="W8">
        <f t="shared" si="1"/>
        <v>0.83560385704572571</v>
      </c>
    </row>
    <row r="9" spans="1:23" x14ac:dyDescent="0.25">
      <c r="A9" t="str">
        <f>Totals!B9</f>
        <v>42G taper</v>
      </c>
      <c r="B9">
        <f>Totals!C9</f>
        <v>6746.4750777799927</v>
      </c>
      <c r="C9">
        <f>Totals!D9</f>
        <v>351.74673676978648</v>
      </c>
      <c r="D9">
        <f>Totals!E9</f>
        <v>5.2137854615114491E-2</v>
      </c>
      <c r="F9">
        <f>Totals!F9</f>
        <v>348.91394938587928</v>
      </c>
      <c r="G9">
        <f>Totals!G9</f>
        <v>11.596407984290085</v>
      </c>
      <c r="H9">
        <f>Totals!H9</f>
        <v>3.3235724753053961E-2</v>
      </c>
      <c r="S9" t="s">
        <v>19</v>
      </c>
      <c r="T9">
        <v>0.15477105224954976</v>
      </c>
      <c r="U9">
        <f>Totals!M9</f>
        <v>0.87218721847700009</v>
      </c>
      <c r="W9">
        <f t="shared" si="1"/>
        <v>0.87218721847700009</v>
      </c>
    </row>
    <row r="10" spans="1:23" x14ac:dyDescent="0.25">
      <c r="A10" t="str">
        <f>Totals!B10</f>
        <v>70G</v>
      </c>
      <c r="B10">
        <f>Totals!C10</f>
        <v>165.5907777395428</v>
      </c>
      <c r="C10">
        <f>Totals!D10</f>
        <v>8.747252808417306</v>
      </c>
      <c r="D10">
        <f>Totals!E10</f>
        <v>5.2824516726262566E-2</v>
      </c>
      <c r="F10">
        <f>Totals!F10</f>
        <v>67.532247260396289</v>
      </c>
      <c r="G10">
        <f>Totals!G10</f>
        <v>2.2986792249861683</v>
      </c>
      <c r="H10">
        <f>Totals!H10</f>
        <v>3.4038245700942472E-2</v>
      </c>
      <c r="M10" t="s">
        <v>233</v>
      </c>
      <c r="S10" t="s">
        <v>20</v>
      </c>
      <c r="T10">
        <v>0.43960265295187501</v>
      </c>
      <c r="U10">
        <f>Totals!M10</f>
        <v>0.63696804394613404</v>
      </c>
      <c r="W10">
        <f t="shared" si="1"/>
        <v>0.63696804394613404</v>
      </c>
    </row>
    <row r="11" spans="1:23" x14ac:dyDescent="0.25">
      <c r="A11" t="str">
        <f>Totals!B11</f>
        <v>71G</v>
      </c>
      <c r="B11">
        <f>Totals!C11</f>
        <v>648.05514279850706</v>
      </c>
      <c r="C11">
        <f>Totals!D11</f>
        <v>34.249126426299249</v>
      </c>
      <c r="D11">
        <f>Totals!E11</f>
        <v>5.2849092869475103E-2</v>
      </c>
      <c r="F11">
        <f>Totals!F11</f>
        <v>262.46280522779318</v>
      </c>
      <c r="G11">
        <f>Totals!G11</f>
        <v>8.9467418837142549</v>
      </c>
      <c r="H11">
        <f>Totals!H11</f>
        <v>3.4087656252661476E-2</v>
      </c>
      <c r="J11" t="s">
        <v>225</v>
      </c>
      <c r="K11">
        <f>(K8/K7-1)*O12/O11</f>
        <v>26.655609206161941</v>
      </c>
      <c r="M11" t="s">
        <v>241</v>
      </c>
      <c r="O11">
        <v>0.7</v>
      </c>
      <c r="P11" t="s">
        <v>242</v>
      </c>
      <c r="S11" t="s">
        <v>21</v>
      </c>
      <c r="T11">
        <v>0.20724277734655475</v>
      </c>
      <c r="U11">
        <f>Totals!M11</f>
        <v>0.82885510282306707</v>
      </c>
      <c r="W11">
        <f t="shared" si="1"/>
        <v>0.82885510282306707</v>
      </c>
    </row>
    <row r="12" spans="1:23" x14ac:dyDescent="0.25">
      <c r="A12" t="str">
        <f>Totals!B12</f>
        <v>72G</v>
      </c>
      <c r="B12">
        <f>Totals!C12</f>
        <v>45.864983470033515</v>
      </c>
      <c r="C12">
        <f>Totals!D12</f>
        <v>2.4427792914016604</v>
      </c>
      <c r="D12">
        <f>Totals!E12</f>
        <v>5.3260223957077892E-2</v>
      </c>
      <c r="F12">
        <f>Totals!F12</f>
        <v>16.808921843741036</v>
      </c>
      <c r="G12">
        <f>Totals!G12</f>
        <v>0.58317064792832707</v>
      </c>
      <c r="H12">
        <f>Totals!H12</f>
        <v>3.4694113837258178E-2</v>
      </c>
      <c r="J12" t="s">
        <v>226</v>
      </c>
      <c r="K12">
        <f>(O8/O7-1)*O12/O11</f>
        <v>11.554253431311681</v>
      </c>
      <c r="M12" t="s">
        <v>243</v>
      </c>
      <c r="O12">
        <v>0.5</v>
      </c>
      <c r="P12" t="s">
        <v>244</v>
      </c>
      <c r="S12" t="s">
        <v>22</v>
      </c>
      <c r="T12">
        <v>0.36345109708122392</v>
      </c>
      <c r="U12">
        <f>Totals!M12</f>
        <v>0.6998553993763893</v>
      </c>
      <c r="W12">
        <f t="shared" si="1"/>
        <v>0.6998553993763893</v>
      </c>
    </row>
    <row r="13" spans="1:23" x14ac:dyDescent="0.25">
      <c r="A13" t="str">
        <f>Totals!B13</f>
        <v>73G</v>
      </c>
      <c r="B13">
        <f>Totals!C13</f>
        <v>17.740283600934365</v>
      </c>
      <c r="C13">
        <f>Totals!D13</f>
        <v>0.94960042958860591</v>
      </c>
      <c r="D13">
        <f>Totals!E13</f>
        <v>5.3527917081246171E-2</v>
      </c>
      <c r="F13">
        <f>Totals!F13</f>
        <v>6.4498801120273184</v>
      </c>
      <c r="G13">
        <f>Totals!G13</f>
        <v>0.22315250425505698</v>
      </c>
      <c r="H13">
        <f>Totals!H13</f>
        <v>3.4597930562916455E-2</v>
      </c>
      <c r="M13" t="s">
        <v>234</v>
      </c>
      <c r="S13" t="s">
        <v>23</v>
      </c>
      <c r="T13">
        <v>0.36735630507459066</v>
      </c>
      <c r="U13">
        <f>Totals!M13</f>
        <v>0.69663040679022237</v>
      </c>
      <c r="W13">
        <f t="shared" si="1"/>
        <v>0.69663040679022237</v>
      </c>
    </row>
    <row r="14" spans="1:23" x14ac:dyDescent="0.25">
      <c r="A14" t="str">
        <f>Totals!B14</f>
        <v xml:space="preserve">74G </v>
      </c>
      <c r="B14">
        <f>Totals!C14</f>
        <v>123.97103202352521</v>
      </c>
      <c r="C14">
        <f>Totals!D14</f>
        <v>6.634165934366278</v>
      </c>
      <c r="D14">
        <f>Totals!E14</f>
        <v>5.3513839693674195E-2</v>
      </c>
      <c r="F14">
        <f>Totals!F14</f>
        <v>49.705291552562144</v>
      </c>
      <c r="G14">
        <f>Totals!G14</f>
        <v>1.7396863594757102</v>
      </c>
      <c r="H14">
        <f>Totals!H14</f>
        <v>3.5000023239699418E-2</v>
      </c>
      <c r="J14" t="s">
        <v>228</v>
      </c>
      <c r="K14">
        <f>1/(1+(O12/O11)*(1/K11))</f>
        <v>0.97390250432594527</v>
      </c>
      <c r="M14" t="s">
        <v>235</v>
      </c>
      <c r="S14" t="s">
        <v>24</v>
      </c>
      <c r="T14">
        <v>0.38810354247440398</v>
      </c>
      <c r="U14">
        <f>Totals!M14</f>
        <v>0.67949695655876363</v>
      </c>
      <c r="W14">
        <f t="shared" si="1"/>
        <v>0.67949695655876363</v>
      </c>
    </row>
    <row r="15" spans="1:23" x14ac:dyDescent="0.25">
      <c r="A15" t="str">
        <f>Totals!B15</f>
        <v xml:space="preserve">75G trace waste </v>
      </c>
      <c r="B15" t="e">
        <f>Totals!C15</f>
        <v>#VALUE!</v>
      </c>
      <c r="C15" t="e">
        <f>Totals!D15</f>
        <v>#VALUE!</v>
      </c>
      <c r="D15" t="e">
        <f>Totals!E15</f>
        <v>#VALUE!</v>
      </c>
      <c r="F15" t="e">
        <f>Totals!F15</f>
        <v>#VALUE!</v>
      </c>
      <c r="G15" t="e">
        <f>Totals!G15</f>
        <v>#VALUE!</v>
      </c>
      <c r="H15" t="e">
        <f>Totals!H15</f>
        <v>#VALUE!</v>
      </c>
      <c r="J15" t="s">
        <v>227</v>
      </c>
      <c r="K15">
        <f>1/(1+(O12/O11)*(1/K12))</f>
        <v>0.94177907362817204</v>
      </c>
      <c r="S15" t="s">
        <v>25</v>
      </c>
      <c r="U15">
        <f>Totals!M15</f>
        <v>1</v>
      </c>
      <c r="W15">
        <f t="shared" si="1"/>
        <v>1</v>
      </c>
    </row>
    <row r="16" spans="1:23" x14ac:dyDescent="0.25">
      <c r="A16" t="str">
        <f>Totals!B16</f>
        <v>81G trace</v>
      </c>
      <c r="B16">
        <f>Totals!C16</f>
        <v>23.537532209583109</v>
      </c>
      <c r="C16">
        <f>Totals!D16</f>
        <v>1.3021945934775734</v>
      </c>
      <c r="D16">
        <f>Totals!E16</f>
        <v>5.5324176803352214E-2</v>
      </c>
      <c r="F16">
        <f>Totals!F16</f>
        <v>63.75872719954922</v>
      </c>
      <c r="G16">
        <f>Totals!G16</f>
        <v>2.3795363607363971</v>
      </c>
      <c r="H16">
        <f>Totals!H16</f>
        <v>3.7320951425034415E-2</v>
      </c>
      <c r="O16" t="s">
        <v>239</v>
      </c>
      <c r="S16" t="s">
        <v>27</v>
      </c>
      <c r="T16">
        <v>0.67782034054724516</v>
      </c>
      <c r="U16">
        <f>Totals!M16</f>
        <v>0.44024349618995073</v>
      </c>
      <c r="W16">
        <f t="shared" si="1"/>
        <v>0.44024349618995073</v>
      </c>
    </row>
    <row r="17" spans="1:23" x14ac:dyDescent="0.25">
      <c r="A17" t="str">
        <f>Totals!B17</f>
        <v>82G trace</v>
      </c>
      <c r="B17">
        <f>Totals!C17</f>
        <v>3.2436955523556938</v>
      </c>
      <c r="C17">
        <f>Totals!D17</f>
        <v>0.17683611037659319</v>
      </c>
      <c r="D17">
        <f>Totals!E17</f>
        <v>5.4516864336472071E-2</v>
      </c>
      <c r="F17">
        <f>Totals!F17</f>
        <v>8.4979914529533449</v>
      </c>
      <c r="G17">
        <f>Totals!G17</f>
        <v>0.30628994362597761</v>
      </c>
      <c r="H17">
        <f>Totals!H17</f>
        <v>3.6042627875264723E-2</v>
      </c>
      <c r="J17" t="s">
        <v>229</v>
      </c>
      <c r="K17">
        <f>1/(1+(O11/O12)*K11)</f>
        <v>2.6097495674054696E-2</v>
      </c>
      <c r="M17" t="s">
        <v>238</v>
      </c>
      <c r="O17">
        <v>0.83</v>
      </c>
      <c r="P17" t="s">
        <v>253</v>
      </c>
      <c r="S17" t="s">
        <v>28</v>
      </c>
      <c r="T17">
        <v>0.2111479853399216</v>
      </c>
      <c r="U17">
        <f>Totals!M17</f>
        <v>0.82563011023690003</v>
      </c>
      <c r="W17">
        <f t="shared" si="1"/>
        <v>0.82563011023690003</v>
      </c>
    </row>
    <row r="18" spans="1:23" x14ac:dyDescent="0.25">
      <c r="A18" t="str">
        <f>Totals!B18</f>
        <v>83G Trace</v>
      </c>
      <c r="B18" t="e">
        <f>Totals!C18</f>
        <v>#VALUE!</v>
      </c>
      <c r="C18" t="e">
        <f>Totals!D18</f>
        <v>#VALUE!</v>
      </c>
      <c r="D18" t="e">
        <f>Totals!E18</f>
        <v>#VALUE!</v>
      </c>
      <c r="F18" t="e">
        <f>Totals!F18</f>
        <v>#VALUE!</v>
      </c>
      <c r="G18" t="e">
        <f>Totals!G18</f>
        <v>#VALUE!</v>
      </c>
      <c r="H18" t="e">
        <f>Totals!H18</f>
        <v>#VALUE!</v>
      </c>
      <c r="J18" t="s">
        <v>230</v>
      </c>
      <c r="K18">
        <f>1/(1+(O11/O12)*K12)</f>
        <v>5.8220926371827901E-2</v>
      </c>
      <c r="M18" t="s">
        <v>240</v>
      </c>
      <c r="O18">
        <v>1.1279300000000001</v>
      </c>
      <c r="S18" t="s">
        <v>29</v>
      </c>
      <c r="U18">
        <f>Totals!M18</f>
        <v>1</v>
      </c>
      <c r="W18">
        <f t="shared" si="1"/>
        <v>1</v>
      </c>
    </row>
    <row r="19" spans="1:23" x14ac:dyDescent="0.25">
      <c r="A19" t="str">
        <f>Totals!B19</f>
        <v>84G trace</v>
      </c>
      <c r="B19">
        <f>Totals!C19</f>
        <v>0.40814155930269647</v>
      </c>
      <c r="C19">
        <f>Totals!D19</f>
        <v>2.2901513428710284E-2</v>
      </c>
      <c r="D19">
        <f>Totals!E19</f>
        <v>5.6111691903753112E-2</v>
      </c>
      <c r="F19">
        <f>Totals!F19</f>
        <v>1.0392803250640159</v>
      </c>
      <c r="G19">
        <f>Totals!G19</f>
        <v>3.8019243433323545E-2</v>
      </c>
      <c r="H19">
        <f>Totals!H19</f>
        <v>3.6582279599088628E-2</v>
      </c>
      <c r="S19" t="s">
        <v>30</v>
      </c>
      <c r="T19">
        <v>0.28925214520725606</v>
      </c>
      <c r="U19">
        <f>Totals!M19</f>
        <v>0.7611302585135612</v>
      </c>
      <c r="W19">
        <f t="shared" si="1"/>
        <v>0.7611302585135612</v>
      </c>
    </row>
    <row r="20" spans="1:23" x14ac:dyDescent="0.25">
      <c r="A20" t="str">
        <f>Totals!B20</f>
        <v>86G Trace</v>
      </c>
      <c r="B20">
        <f>Totals!C20</f>
        <v>68438.822172894041</v>
      </c>
      <c r="C20">
        <f>Totals!D20</f>
        <v>3934.4403714025966</v>
      </c>
      <c r="D20">
        <f>Totals!E20</f>
        <v>5.7488429030283276E-2</v>
      </c>
      <c r="F20">
        <f>Totals!F20</f>
        <v>8981.4124816958556</v>
      </c>
      <c r="G20">
        <f>Totals!G20</f>
        <v>359.10453125362528</v>
      </c>
      <c r="H20">
        <f>Totals!H20</f>
        <v>3.9983079719975154E-2</v>
      </c>
      <c r="J20" t="s">
        <v>231</v>
      </c>
      <c r="K20">
        <f>K17+K14</f>
        <v>1</v>
      </c>
      <c r="M20" t="s">
        <v>236</v>
      </c>
      <c r="N20">
        <f>(1/O11)*(K14/O17)</f>
        <v>1.6762521589086841</v>
      </c>
      <c r="P20" t="s">
        <v>245</v>
      </c>
      <c r="Q20">
        <f>(1/O12)*(K17/O18)</f>
        <v>4.6275027127666957E-2</v>
      </c>
      <c r="S20" t="s">
        <v>10</v>
      </c>
      <c r="T20">
        <v>0.76373491640131297</v>
      </c>
      <c r="U20">
        <f>Totals!M20</f>
        <v>0.36929365929427815</v>
      </c>
      <c r="W20">
        <f t="shared" si="1"/>
        <v>0.36929365929427815</v>
      </c>
    </row>
    <row r="21" spans="1:23" x14ac:dyDescent="0.25">
      <c r="A21" t="str">
        <f>Totals!B21</f>
        <v>24G Taper Waste</v>
      </c>
      <c r="B21">
        <f>Totals!C21</f>
        <v>5396.9846450790901</v>
      </c>
      <c r="C21">
        <f>Totals!D21</f>
        <v>299.55571809248852</v>
      </c>
      <c r="D21">
        <f>Totals!E21</f>
        <v>5.5504274663004657E-2</v>
      </c>
      <c r="F21">
        <f>Totals!F21</f>
        <v>202.79611342263323</v>
      </c>
      <c r="G21">
        <f>Totals!G21</f>
        <v>7.2452055563476874</v>
      </c>
      <c r="H21">
        <f>Totals!H21</f>
        <v>3.572655034689181E-2</v>
      </c>
      <c r="J21" t="s">
        <v>232</v>
      </c>
      <c r="K21">
        <f>K18+K15</f>
        <v>0.99999999999999989</v>
      </c>
      <c r="M21" t="s">
        <v>237</v>
      </c>
      <c r="N21">
        <f>(1/O11)*(K15/O17)</f>
        <v>1.6209622609779211</v>
      </c>
      <c r="P21" t="s">
        <v>246</v>
      </c>
      <c r="Q21">
        <f>(1/O12)*(K18/O18)</f>
        <v>0.10323499928511148</v>
      </c>
      <c r="S21" t="s">
        <v>11</v>
      </c>
      <c r="T21">
        <v>0.55072017634787307</v>
      </c>
      <c r="U21">
        <f>Totals!M21</f>
        <v>0.54520514943346954</v>
      </c>
      <c r="W21">
        <f t="shared" si="1"/>
        <v>0.54520514943346954</v>
      </c>
    </row>
    <row r="22" spans="1:23" x14ac:dyDescent="0.25">
      <c r="A22" t="str">
        <f>Totals!B22</f>
        <v>24G Trace Original</v>
      </c>
      <c r="B22">
        <f>Totals!C22</f>
        <v>42436.248785110278</v>
      </c>
      <c r="C22">
        <f>Totals!D22</f>
        <v>2380.6521307422249</v>
      </c>
      <c r="D22">
        <f>Totals!E22</f>
        <v>5.6099495099046805E-2</v>
      </c>
      <c r="F22">
        <f>Totals!F22</f>
        <v>2261.5036767239776</v>
      </c>
      <c r="G22">
        <f>Totals!G22</f>
        <v>86.46519981951451</v>
      </c>
      <c r="H22">
        <f>Totals!H22</f>
        <v>3.8233499555821331E-2</v>
      </c>
      <c r="S22" t="s">
        <v>12</v>
      </c>
      <c r="T22">
        <v>0.49919311407791078</v>
      </c>
      <c r="U22">
        <f>Totals!M22</f>
        <v>0.58775714515043243</v>
      </c>
      <c r="W22">
        <f t="shared" si="1"/>
        <v>0.58775714515043243</v>
      </c>
    </row>
    <row r="23" spans="1:23" x14ac:dyDescent="0.25">
      <c r="A23" t="str">
        <f>Totals!B23</f>
        <v>53G</v>
      </c>
      <c r="B23">
        <f>Totals!C23</f>
        <v>15.229479311538261</v>
      </c>
      <c r="C23">
        <f>Totals!D23</f>
        <v>0.90675019439942306</v>
      </c>
      <c r="D23">
        <f>Totals!E23</f>
        <v>5.9539146142208871E-2</v>
      </c>
      <c r="F23">
        <f>Totals!F23</f>
        <v>3.087391635109114</v>
      </c>
      <c r="G23">
        <f>Totals!G23</f>
        <v>0.11547421191386484</v>
      </c>
      <c r="H23">
        <f>Totals!H23</f>
        <v>3.740186719453354E-2</v>
      </c>
      <c r="J23" t="s">
        <v>247</v>
      </c>
      <c r="K23">
        <f>(1-(O12/O11)*K14*(3-(O12/O11)*K14*(3-(O12/O11)*K14)))</f>
        <v>2.8193100409501071E-2</v>
      </c>
      <c r="M23" t="s">
        <v>254</v>
      </c>
      <c r="N23">
        <f>K8*O18*O12</f>
        <v>164534.50974110959</v>
      </c>
      <c r="S23" t="s">
        <v>31</v>
      </c>
      <c r="T23">
        <v>0.90889207713682441</v>
      </c>
      <c r="U23">
        <f>Totals!M23</f>
        <v>0.24942020620388694</v>
      </c>
      <c r="W23">
        <f t="shared" si="1"/>
        <v>0.24942020620388694</v>
      </c>
    </row>
    <row r="24" spans="1:23" x14ac:dyDescent="0.25">
      <c r="A24" t="str">
        <f>Totals!B24</f>
        <v>94G</v>
      </c>
      <c r="B24">
        <f>Totals!C24</f>
        <v>0</v>
      </c>
      <c r="C24">
        <f>Totals!D24</f>
        <v>0</v>
      </c>
      <c r="D24" t="e">
        <f>Totals!E24</f>
        <v>#DIV/0!</v>
      </c>
      <c r="F24">
        <f>Totals!F24</f>
        <v>0.18845128438320993</v>
      </c>
      <c r="G24">
        <f>Totals!G24</f>
        <v>8.0777683067883108E-3</v>
      </c>
      <c r="H24">
        <f>Totals!H24</f>
        <v>4.286395995244275E-2</v>
      </c>
      <c r="J24" t="s">
        <v>248</v>
      </c>
      <c r="K24">
        <f>(1-(O12/O11)*K15*(3-(O12/O11)*K15*(3-(O12/O11)*K15)))</f>
        <v>3.5062320069967123E-2</v>
      </c>
      <c r="M24" t="s">
        <v>255</v>
      </c>
      <c r="N24">
        <f>O8*O18*O12</f>
        <v>3353.1774066216612</v>
      </c>
      <c r="S24" t="s">
        <v>32</v>
      </c>
      <c r="T24">
        <v>0.89735026560303943</v>
      </c>
      <c r="U24">
        <f>Totals!M24</f>
        <v>0.25895164644743274</v>
      </c>
      <c r="W24">
        <f t="shared" si="1"/>
        <v>0.25895164644743274</v>
      </c>
    </row>
    <row r="25" spans="1:23" x14ac:dyDescent="0.25">
      <c r="A25" t="str">
        <f>Totals!B25</f>
        <v>47G</v>
      </c>
      <c r="B25">
        <f>Totals!C25</f>
        <v>900.54571629218776</v>
      </c>
      <c r="C25">
        <f>Totals!D25</f>
        <v>51.128128732615984</v>
      </c>
      <c r="D25">
        <f>Totals!E25</f>
        <v>5.6774606560925707E-2</v>
      </c>
      <c r="F25">
        <f>Totals!F25</f>
        <v>79.054800982150041</v>
      </c>
      <c r="G25">
        <f>Totals!G25</f>
        <v>3.1183625428882409</v>
      </c>
      <c r="H25">
        <f>Totals!H25</f>
        <v>3.9445580839452661E-2</v>
      </c>
      <c r="S25" t="s">
        <v>13</v>
      </c>
      <c r="T25">
        <v>2.7463400000000072E-2</v>
      </c>
      <c r="U25">
        <f>Totals!M25</f>
        <v>0.97732021916851075</v>
      </c>
      <c r="W25">
        <f t="shared" si="1"/>
        <v>0.97732021916851075</v>
      </c>
    </row>
    <row r="26" spans="1:23" x14ac:dyDescent="0.25">
      <c r="A26" t="str">
        <f>Totals!B26</f>
        <v>48G</v>
      </c>
      <c r="B26">
        <f>Totals!C26</f>
        <v>966.29755697133442</v>
      </c>
      <c r="C26">
        <f>Totals!D26</f>
        <v>55.142276601665344</v>
      </c>
      <c r="D26">
        <f>Totals!E26</f>
        <v>5.7065524179216322E-2</v>
      </c>
      <c r="F26">
        <f>Totals!F26</f>
        <v>15.730112202970149</v>
      </c>
      <c r="G26">
        <f>Totals!G26</f>
        <v>0.62663560355080206</v>
      </c>
      <c r="H26">
        <f>Totals!H26</f>
        <v>3.9836690003551348E-2</v>
      </c>
      <c r="J26" t="s">
        <v>249</v>
      </c>
      <c r="K26">
        <f>K23*N20</f>
        <v>4.7258745427755475E-2</v>
      </c>
      <c r="M26" t="s">
        <v>256</v>
      </c>
      <c r="N26">
        <f>K26*N23</f>
        <v>7775.6945099356517</v>
      </c>
      <c r="P26" t="s">
        <v>260</v>
      </c>
      <c r="Q26">
        <f>1-N27/B3</f>
        <v>0.48610115789351438</v>
      </c>
      <c r="S26" t="s">
        <v>14</v>
      </c>
      <c r="T26">
        <v>9.3623399999999884E-2</v>
      </c>
      <c r="U26">
        <f>Totals!M26</f>
        <v>0.92268407434262167</v>
      </c>
      <c r="W26">
        <f t="shared" si="1"/>
        <v>0.92268407434262167</v>
      </c>
    </row>
    <row r="27" spans="1:23" x14ac:dyDescent="0.25">
      <c r="A27" t="str">
        <f>Totals!B27</f>
        <v>49G</v>
      </c>
      <c r="B27">
        <f>Totals!C27</f>
        <v>815.52353578755492</v>
      </c>
      <c r="C27">
        <f>Totals!D27</f>
        <v>46.774394015013968</v>
      </c>
      <c r="D27">
        <f>Totals!E27</f>
        <v>5.735505103460161E-2</v>
      </c>
      <c r="F27">
        <f>Totals!F27</f>
        <v>3.4377282546170296</v>
      </c>
      <c r="G27">
        <f>Totals!G27</f>
        <v>0.1381228037615502</v>
      </c>
      <c r="H27">
        <f>Totals!H27</f>
        <v>4.0178511368967232E-2</v>
      </c>
      <c r="J27" t="s">
        <v>250</v>
      </c>
      <c r="K27">
        <f>K23*Q20</f>
        <v>1.3046364862627005E-3</v>
      </c>
      <c r="M27" t="s">
        <v>257</v>
      </c>
      <c r="N27">
        <f>K27*N23</f>
        <v>214.6577246575973</v>
      </c>
      <c r="P27" t="s">
        <v>261</v>
      </c>
      <c r="Q27">
        <f>1-N29/F3</f>
        <v>0.76539756145654769</v>
      </c>
      <c r="S27" t="s">
        <v>15</v>
      </c>
      <c r="T27">
        <v>9.4683400000000084E-2</v>
      </c>
      <c r="U27">
        <f>Totals!M27</f>
        <v>0.92180870684692251</v>
      </c>
      <c r="W27">
        <f t="shared" si="1"/>
        <v>0.92180870684692251</v>
      </c>
    </row>
    <row r="28" spans="1:23" x14ac:dyDescent="0.25">
      <c r="A28" t="str">
        <f>Totals!B28</f>
        <v>50G</v>
      </c>
      <c r="B28">
        <f>Totals!C28</f>
        <v>306.91602411164502</v>
      </c>
      <c r="C28">
        <f>Totals!D28</f>
        <v>17.692251120552562</v>
      </c>
      <c r="D28">
        <f>Totals!E28</f>
        <v>5.7645250591793012E-2</v>
      </c>
      <c r="F28">
        <f>Totals!F28</f>
        <v>36.788869921978844</v>
      </c>
      <c r="G28">
        <f>Totals!G28</f>
        <v>1.4959852704924061</v>
      </c>
      <c r="H28">
        <f>Totals!H28</f>
        <v>4.0664072412799415E-2</v>
      </c>
      <c r="J28" t="s">
        <v>251</v>
      </c>
      <c r="K28">
        <f>K24*N21</f>
        <v>5.6834697615745451E-2</v>
      </c>
      <c r="M28" t="s">
        <v>258</v>
      </c>
      <c r="N28">
        <f>K28*N24</f>
        <v>190.57682395729165</v>
      </c>
      <c r="P28" t="s">
        <v>265</v>
      </c>
      <c r="Q28">
        <f>AVERAGE(Q27,Q26)</f>
        <v>0.62574935967503098</v>
      </c>
      <c r="S28" t="s">
        <v>16</v>
      </c>
      <c r="T28">
        <v>8.4163399999999916E-2</v>
      </c>
      <c r="U28">
        <f>Totals!M28</f>
        <v>0.9304963163325386</v>
      </c>
      <c r="W28">
        <f t="shared" si="1"/>
        <v>0.9304963163325386</v>
      </c>
    </row>
    <row r="29" spans="1:23" x14ac:dyDescent="0.25">
      <c r="A29" t="str">
        <f>Totals!B29</f>
        <v>51G</v>
      </c>
      <c r="B29">
        <f>Totals!C29</f>
        <v>84.952527083888043</v>
      </c>
      <c r="C29">
        <f>Totals!D29</f>
        <v>4.9222317794900068</v>
      </c>
      <c r="D29">
        <f>Totals!E29</f>
        <v>5.7940969485574596E-2</v>
      </c>
      <c r="F29">
        <f>Totals!F29</f>
        <v>9.6660157787550531</v>
      </c>
      <c r="G29">
        <f>Totals!G29</f>
        <v>0.39592110438901246</v>
      </c>
      <c r="H29">
        <f>Totals!H29</f>
        <v>4.0960113603291222E-2</v>
      </c>
      <c r="J29" t="s">
        <v>252</v>
      </c>
      <c r="K29">
        <f>K24*Q21</f>
        <v>3.6196585873574062E-3</v>
      </c>
      <c r="M29" t="s">
        <v>259</v>
      </c>
      <c r="N29">
        <f>K29*N24</f>
        <v>12.137357394810934</v>
      </c>
      <c r="S29" t="s">
        <v>17</v>
      </c>
      <c r="T29">
        <v>3.0303400000000025E-2</v>
      </c>
      <c r="U29">
        <f>Totals!M29</f>
        <v>0.97497489493475131</v>
      </c>
      <c r="W29">
        <f t="shared" si="1"/>
        <v>0.97497489493475131</v>
      </c>
    </row>
    <row r="30" spans="1:23" x14ac:dyDescent="0.25">
      <c r="A30" t="str">
        <f>Totals!B30</f>
        <v>52G</v>
      </c>
      <c r="B30">
        <f>Totals!C30</f>
        <v>124.52099499580203</v>
      </c>
      <c r="C30">
        <f>Totals!D30</f>
        <v>7.251183312837127</v>
      </c>
      <c r="D30">
        <f>Totals!E30</f>
        <v>5.8232616219309731E-2</v>
      </c>
      <c r="F30">
        <f>Totals!F30</f>
        <v>13.450146301169681</v>
      </c>
      <c r="G30">
        <f>Totals!G30</f>
        <v>0.5570733231087529</v>
      </c>
      <c r="H30">
        <f>Totals!H30</f>
        <v>4.14176404207817E-2</v>
      </c>
      <c r="S30" t="s">
        <v>18</v>
      </c>
      <c r="T30">
        <v>8.752339999999989E-2</v>
      </c>
      <c r="U30">
        <f>Totals!M30</f>
        <v>0.92772156653485149</v>
      </c>
      <c r="W30">
        <f t="shared" si="1"/>
        <v>0.92772156653485149</v>
      </c>
    </row>
    <row r="31" spans="1:23" x14ac:dyDescent="0.25">
      <c r="P31" t="s">
        <v>274</v>
      </c>
    </row>
    <row r="32" spans="1:23" x14ac:dyDescent="0.25">
      <c r="J32" t="s">
        <v>262</v>
      </c>
      <c r="K32">
        <f>1-Q26</f>
        <v>0.51389884210648562</v>
      </c>
      <c r="M32" t="s">
        <v>266</v>
      </c>
      <c r="N32">
        <f>(1-K32)/T3</f>
        <v>0.64152087482997833</v>
      </c>
      <c r="P32" t="s">
        <v>275</v>
      </c>
      <c r="Q32" t="str">
        <f>IF(Totals!R20&gt;Totals!R8,"Bad","Good")</f>
        <v>Good</v>
      </c>
    </row>
    <row r="33" spans="10:19" x14ac:dyDescent="0.25">
      <c r="J33" t="s">
        <v>263</v>
      </c>
      <c r="K33">
        <f>1-Q27</f>
        <v>0.23460243854345231</v>
      </c>
      <c r="M33" t="s">
        <v>267</v>
      </c>
      <c r="N33">
        <f>(1-K33)/T3</f>
        <v>1.0101159095076655</v>
      </c>
      <c r="P33" t="s">
        <v>276</v>
      </c>
      <c r="Q33">
        <f>1-Totals!O3/Totals!O8</f>
        <v>0.99935875181438161</v>
      </c>
      <c r="R33">
        <f>1-Totals!O7/Totals!O8</f>
        <v>0.98108365753970594</v>
      </c>
      <c r="S33">
        <f>1-Totals!O21/(Totals!O8*(5/4.5))</f>
        <v>0.98913703561263833</v>
      </c>
    </row>
    <row r="34" spans="10:19" x14ac:dyDescent="0.25">
      <c r="J34" t="s">
        <v>264</v>
      </c>
      <c r="K34">
        <f>AVERAGE(K33,K32)</f>
        <v>0.37425064032496896</v>
      </c>
      <c r="M34" t="s">
        <v>268</v>
      </c>
      <c r="N34">
        <f>(1-K34)/T3</f>
        <v>0.8258183921688218</v>
      </c>
      <c r="P34" t="s">
        <v>277</v>
      </c>
    </row>
    <row r="36" spans="10:19" x14ac:dyDescent="0.25">
      <c r="M36" t="s">
        <v>269</v>
      </c>
      <c r="N36" t="s">
        <v>270</v>
      </c>
    </row>
  </sheetData>
  <mergeCells count="2">
    <mergeCell ref="A1:H1"/>
    <mergeCell ref="J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N2" sqref="N2"/>
    </sheetView>
  </sheetViews>
  <sheetFormatPr defaultRowHeight="15" x14ac:dyDescent="0.25"/>
  <cols>
    <col min="1" max="1" width="17" bestFit="1" customWidth="1"/>
    <col min="8" max="9" width="12" bestFit="1" customWidth="1"/>
    <col min="10" max="10" width="9.42578125" customWidth="1"/>
    <col min="11" max="11" width="16.5703125" bestFit="1" customWidth="1"/>
    <col min="12" max="12" width="12" bestFit="1" customWidth="1"/>
  </cols>
  <sheetData>
    <row r="1" spans="1:12" x14ac:dyDescent="0.25">
      <c r="A1" s="45" t="s">
        <v>278</v>
      </c>
      <c r="B1" s="45"/>
      <c r="C1" s="45"/>
      <c r="D1" s="45"/>
      <c r="E1" s="45"/>
      <c r="F1" s="45"/>
      <c r="G1" s="45"/>
    </row>
    <row r="2" spans="1:12" x14ac:dyDescent="0.25">
      <c r="A2" t="str">
        <f>Totals!B2</f>
        <v>Sample ID</v>
      </c>
      <c r="B2" t="str">
        <f>U_Pu_Results!E1</f>
        <v>235U</v>
      </c>
      <c r="C2" t="str">
        <f>U_Pu_Results!F1</f>
        <v>±</v>
      </c>
      <c r="D2" t="str">
        <f>U_Pu_Results!G1</f>
        <v>%</v>
      </c>
      <c r="E2" t="str">
        <f>Totals!C2</f>
        <v>U ppb</v>
      </c>
      <c r="F2" t="str">
        <f>Totals!D2</f>
        <v>±</v>
      </c>
      <c r="G2" t="str">
        <f>Totals!E2</f>
        <v>%</v>
      </c>
      <c r="H2" t="s">
        <v>279</v>
      </c>
      <c r="I2" t="str">
        <f>U_Pu_Results!L1</f>
        <v>±</v>
      </c>
      <c r="J2" t="str">
        <f>Totals!T2</f>
        <v>%</v>
      </c>
      <c r="K2" t="s">
        <v>280</v>
      </c>
      <c r="L2" t="s">
        <v>283</v>
      </c>
    </row>
    <row r="3" spans="1:12" x14ac:dyDescent="0.25">
      <c r="A3" t="str">
        <f>Totals!B3</f>
        <v>87G Trace</v>
      </c>
      <c r="B3">
        <f>U_Pu_Results!E2</f>
        <v>1.1233176565463765</v>
      </c>
      <c r="C3">
        <f>U_Pu_Results!F2</f>
        <v>5.7141810441047297E-2</v>
      </c>
      <c r="D3">
        <f>U_Pu_Results!G2</f>
        <v>5.0868790415641595E-2</v>
      </c>
      <c r="E3">
        <f>Totals!C3</f>
        <v>417.70423879086655</v>
      </c>
      <c r="F3">
        <f>Totals!D3</f>
        <v>22.008561753420253</v>
      </c>
      <c r="G3">
        <f>Totals!E3</f>
        <v>5.2689342624649201E-2</v>
      </c>
      <c r="H3" s="21">
        <f>B3/E3</f>
        <v>2.6892656387640631E-3</v>
      </c>
      <c r="I3">
        <f>((C3/E3)^2+((B3/E3^2)^2)*(F3^2))^0.5</f>
        <v>1.9695636379033621E-4</v>
      </c>
      <c r="J3" s="21">
        <f>I3/H3</f>
        <v>7.3237972832186901E-2</v>
      </c>
      <c r="K3" t="s">
        <v>281</v>
      </c>
      <c r="L3">
        <f>I3^2</f>
        <v>3.8791809237511257E-8</v>
      </c>
    </row>
    <row r="4" spans="1:12" x14ac:dyDescent="0.25">
      <c r="A4" t="str">
        <f>Totals!B4</f>
        <v>90G Trace</v>
      </c>
      <c r="B4">
        <f>U_Pu_Results!E3</f>
        <v>4.8526077308906661</v>
      </c>
      <c r="C4">
        <f>U_Pu_Results!F3</f>
        <v>0.2335081427165091</v>
      </c>
      <c r="D4">
        <f>U_Pu_Results!G3</f>
        <v>4.812013574269481E-2</v>
      </c>
      <c r="E4">
        <f>Totals!C4</f>
        <v>1706.110823195545</v>
      </c>
      <c r="F4">
        <f>Totals!D4</f>
        <v>87.088988016072108</v>
      </c>
      <c r="G4">
        <f>Totals!E4</f>
        <v>5.1045328845024537E-2</v>
      </c>
      <c r="H4" s="21">
        <f t="shared" ref="H4:H30" si="0">B4/E4</f>
        <v>2.8442511851614269E-3</v>
      </c>
      <c r="I4">
        <f t="shared" ref="I4:I30" si="1">((C4/E4)^2+((B4/E4^2)^2)*(F4^2))^0.5</f>
        <v>1.9952727288024186E-4</v>
      </c>
      <c r="J4" s="21">
        <f t="shared" ref="J4:J30" si="2">I4/H4</f>
        <v>7.0151073126446667E-2</v>
      </c>
      <c r="K4" t="s">
        <v>281</v>
      </c>
      <c r="L4">
        <f t="shared" ref="L4:L30" si="3">I4^2</f>
        <v>3.9811132623026496E-8</v>
      </c>
    </row>
    <row r="5" spans="1:12" x14ac:dyDescent="0.25">
      <c r="A5" t="str">
        <f>Totals!B5</f>
        <v>93G Trace</v>
      </c>
      <c r="B5">
        <f>U_Pu_Results!E4</f>
        <v>1.973298834211502E-2</v>
      </c>
      <c r="C5">
        <f>U_Pu_Results!F4</f>
        <v>1.2293231713978159E-3</v>
      </c>
      <c r="D5">
        <f>U_Pu_Results!G4</f>
        <v>6.2297871467046871E-2</v>
      </c>
      <c r="E5">
        <f>Totals!C5</f>
        <v>6.8905239099824485</v>
      </c>
      <c r="F5">
        <f>Totals!D5</f>
        <v>0.35310085046929385</v>
      </c>
      <c r="G5">
        <f>Totals!E5</f>
        <v>5.124441262844312E-2</v>
      </c>
      <c r="H5" s="21">
        <f t="shared" si="0"/>
        <v>2.863786353535095E-3</v>
      </c>
      <c r="I5">
        <f t="shared" si="1"/>
        <v>2.3101038630052445E-4</v>
      </c>
      <c r="J5" s="21">
        <f t="shared" si="2"/>
        <v>8.0666068547802894E-2</v>
      </c>
      <c r="L5">
        <f t="shared" si="3"/>
        <v>5.3365798578717531E-8</v>
      </c>
    </row>
    <row r="6" spans="1:12" x14ac:dyDescent="0.25">
      <c r="A6" t="str">
        <f>Totals!B6</f>
        <v>96G Trace</v>
      </c>
      <c r="B6">
        <f>U_Pu_Results!E5</f>
        <v>5.5359254774367303E-2</v>
      </c>
      <c r="C6">
        <f>U_Pu_Results!F5</f>
        <v>3.0906829737195889E-3</v>
      </c>
      <c r="D6">
        <f>U_Pu_Results!G5</f>
        <v>5.5829562488089186E-2</v>
      </c>
      <c r="E6">
        <f>Totals!C6</f>
        <v>7.1453545682368249</v>
      </c>
      <c r="F6">
        <f>Totals!D6</f>
        <v>0.36730141027908181</v>
      </c>
      <c r="G6">
        <f>Totals!E6</f>
        <v>5.1404224488990818E-2</v>
      </c>
      <c r="H6" s="21">
        <f t="shared" si="0"/>
        <v>7.7475868056226709E-3</v>
      </c>
      <c r="I6">
        <f t="shared" si="1"/>
        <v>5.8796651895842592E-4</v>
      </c>
      <c r="J6" s="21">
        <f t="shared" si="2"/>
        <v>7.5890278316303586E-2</v>
      </c>
      <c r="L6">
        <f t="shared" si="3"/>
        <v>3.4570462741608903E-7</v>
      </c>
    </row>
    <row r="7" spans="1:12" x14ac:dyDescent="0.25">
      <c r="A7" t="str">
        <f>Totals!B7</f>
        <v>30G Trace Waste</v>
      </c>
      <c r="B7">
        <f>U_Pu_Results!E6</f>
        <v>21.207641976356459</v>
      </c>
      <c r="C7">
        <f>U_Pu_Results!F6</f>
        <v>1.0383098874140941</v>
      </c>
      <c r="D7">
        <f>U_Pu_Results!G6</f>
        <v>4.8959233118498688E-2</v>
      </c>
      <c r="E7">
        <f>Totals!C7</f>
        <v>7613.8389017072286</v>
      </c>
      <c r="F7">
        <f>Totals!D7</f>
        <v>396.14000292217042</v>
      </c>
      <c r="G7">
        <f>Totals!E7</f>
        <v>5.202894466723549E-2</v>
      </c>
      <c r="H7" s="21">
        <f t="shared" si="0"/>
        <v>2.7854072367621452E-3</v>
      </c>
      <c r="I7">
        <f t="shared" si="1"/>
        <v>1.9899619888836525E-4</v>
      </c>
      <c r="J7" s="21">
        <f t="shared" si="2"/>
        <v>7.1442407509390043E-2</v>
      </c>
      <c r="K7" t="s">
        <v>281</v>
      </c>
      <c r="L7">
        <f t="shared" si="3"/>
        <v>3.9599487172017822E-8</v>
      </c>
    </row>
    <row r="8" spans="1:12" x14ac:dyDescent="0.25">
      <c r="A8" t="str">
        <f>Totals!B8</f>
        <v>30G Trace Original</v>
      </c>
      <c r="B8">
        <f>U_Pu_Results!E7</f>
        <v>821.11543713287188</v>
      </c>
      <c r="C8">
        <f>U_Pu_Results!F7</f>
        <v>40.136361529095801</v>
      </c>
      <c r="D8">
        <f>U_Pu_Results!G7</f>
        <v>4.888029102125014E-2</v>
      </c>
      <c r="E8">
        <f>Totals!C8</f>
        <v>291745.95895332081</v>
      </c>
      <c r="F8">
        <f>Totals!D8</f>
        <v>15177.945847267594</v>
      </c>
      <c r="G8">
        <f>Totals!E8</f>
        <v>5.2024528126184112E-2</v>
      </c>
      <c r="H8" s="21">
        <f t="shared" si="0"/>
        <v>2.8144877827228102E-3</v>
      </c>
      <c r="I8">
        <f t="shared" si="1"/>
        <v>2.0091252878235647E-4</v>
      </c>
      <c r="J8" s="21">
        <f t="shared" si="2"/>
        <v>7.1385113133441411E-2</v>
      </c>
      <c r="K8" t="s">
        <v>281</v>
      </c>
      <c r="L8">
        <f t="shared" si="3"/>
        <v>4.0365844221721219E-8</v>
      </c>
    </row>
    <row r="9" spans="1:12" x14ac:dyDescent="0.25">
      <c r="A9" t="str">
        <f>Totals!B9</f>
        <v>42G taper</v>
      </c>
      <c r="B9">
        <f>U_Pu_Results!E8</f>
        <v>18.77250332843424</v>
      </c>
      <c r="C9">
        <f>U_Pu_Results!F8</f>
        <v>0.91903834732029743</v>
      </c>
      <c r="D9">
        <f>U_Pu_Results!G8</f>
        <v>4.8956621886877126E-2</v>
      </c>
      <c r="E9">
        <f>Totals!C9</f>
        <v>6746.4750777799927</v>
      </c>
      <c r="F9">
        <f>Totals!D9</f>
        <v>351.74673676978648</v>
      </c>
      <c r="G9">
        <f>Totals!E9</f>
        <v>5.2137854615114491E-2</v>
      </c>
      <c r="H9" s="21">
        <f t="shared" si="0"/>
        <v>2.782564689264598E-3</v>
      </c>
      <c r="I9">
        <f t="shared" si="1"/>
        <v>1.9900895480301384E-4</v>
      </c>
      <c r="J9" s="21">
        <f t="shared" si="2"/>
        <v>7.1519974206101844E-2</v>
      </c>
      <c r="K9" t="s">
        <v>281</v>
      </c>
      <c r="L9">
        <f t="shared" si="3"/>
        <v>3.9604564091788007E-8</v>
      </c>
    </row>
    <row r="10" spans="1:12" x14ac:dyDescent="0.25">
      <c r="A10" t="str">
        <f>Totals!B10</f>
        <v>70G</v>
      </c>
      <c r="B10">
        <f>U_Pu_Results!E9</f>
        <v>0.45095266425538255</v>
      </c>
      <c r="C10">
        <f>U_Pu_Results!F9</f>
        <v>2.2898052270170815E-2</v>
      </c>
      <c r="D10">
        <f>U_Pu_Results!G9</f>
        <v>5.0777063947455112E-2</v>
      </c>
      <c r="E10">
        <f>Totals!C10</f>
        <v>165.5907777395428</v>
      </c>
      <c r="F10">
        <f>Totals!D10</f>
        <v>8.747252808417306</v>
      </c>
      <c r="G10">
        <f>Totals!E10</f>
        <v>5.2824516726262566E-2</v>
      </c>
      <c r="H10" s="21">
        <f t="shared" si="0"/>
        <v>2.7232957681054227E-3</v>
      </c>
      <c r="I10">
        <f t="shared" si="1"/>
        <v>1.995404690830954E-4</v>
      </c>
      <c r="J10" s="21">
        <f t="shared" si="2"/>
        <v>7.3271684779914401E-2</v>
      </c>
      <c r="K10" t="s">
        <v>281</v>
      </c>
      <c r="L10">
        <f t="shared" si="3"/>
        <v>3.9816398801901747E-8</v>
      </c>
    </row>
    <row r="11" spans="1:12" x14ac:dyDescent="0.25">
      <c r="A11" t="str">
        <f>Totals!B11</f>
        <v>71G</v>
      </c>
      <c r="B11">
        <f>U_Pu_Results!E10</f>
        <v>1.8647464501921085</v>
      </c>
      <c r="C11">
        <f>U_Pu_Results!F10</f>
        <v>9.2888511822151368E-2</v>
      </c>
      <c r="D11">
        <f>U_Pu_Results!G10</f>
        <v>4.9812944710301968E-2</v>
      </c>
      <c r="E11">
        <f>Totals!C11</f>
        <v>648.05514279850706</v>
      </c>
      <c r="F11">
        <f>Totals!D11</f>
        <v>34.249126426299249</v>
      </c>
      <c r="G11">
        <f>Totals!E11</f>
        <v>5.2849092869475103E-2</v>
      </c>
      <c r="H11" s="21">
        <f t="shared" si="0"/>
        <v>2.8774502770544243E-3</v>
      </c>
      <c r="I11">
        <f t="shared" si="1"/>
        <v>2.0897414197931416E-4</v>
      </c>
      <c r="J11" s="21">
        <f t="shared" si="2"/>
        <v>7.2624762153400579E-2</v>
      </c>
      <c r="K11" t="s">
        <v>281</v>
      </c>
      <c r="L11">
        <f t="shared" si="3"/>
        <v>4.3670192015990554E-8</v>
      </c>
    </row>
    <row r="12" spans="1:12" x14ac:dyDescent="0.25">
      <c r="A12" t="str">
        <f>Totals!B12</f>
        <v>72G</v>
      </c>
      <c r="B12">
        <f>U_Pu_Results!E11</f>
        <v>0.1232845510510691</v>
      </c>
      <c r="C12">
        <f>U_Pu_Results!F11</f>
        <v>6.6042763289752013E-3</v>
      </c>
      <c r="D12">
        <f>U_Pu_Results!G11</f>
        <v>5.3569374854108537E-2</v>
      </c>
      <c r="E12">
        <f>Totals!C12</f>
        <v>45.864983470033515</v>
      </c>
      <c r="F12">
        <f>Totals!D12</f>
        <v>2.4427792914016604</v>
      </c>
      <c r="G12">
        <f>Totals!E12</f>
        <v>5.3260223957077892E-2</v>
      </c>
      <c r="H12" s="21">
        <f t="shared" si="0"/>
        <v>2.6879885639034115E-3</v>
      </c>
      <c r="I12">
        <f t="shared" si="1"/>
        <v>2.03051328259507E-4</v>
      </c>
      <c r="J12" s="21">
        <f t="shared" si="2"/>
        <v>7.5540250053981753E-2</v>
      </c>
      <c r="K12" t="s">
        <v>281</v>
      </c>
      <c r="L12">
        <f t="shared" si="3"/>
        <v>4.1229841907950066E-8</v>
      </c>
    </row>
    <row r="13" spans="1:12" x14ac:dyDescent="0.25">
      <c r="A13" t="str">
        <f>Totals!B13</f>
        <v>73G</v>
      </c>
      <c r="B13">
        <f>U_Pu_Results!E12</f>
        <v>5.4044636731282326E-2</v>
      </c>
      <c r="C13">
        <f>U_Pu_Results!F12</f>
        <v>3.1464506594703384E-3</v>
      </c>
      <c r="D13">
        <f>U_Pu_Results!G12</f>
        <v>5.8219480225483643E-2</v>
      </c>
      <c r="E13">
        <f>Totals!C13</f>
        <v>17.740283600934365</v>
      </c>
      <c r="F13">
        <f>Totals!D13</f>
        <v>0.94960042958860591</v>
      </c>
      <c r="G13">
        <f>Totals!E13</f>
        <v>5.3527917081246171E-2</v>
      </c>
      <c r="H13" s="21">
        <f t="shared" si="0"/>
        <v>3.0464358939806262E-3</v>
      </c>
      <c r="I13">
        <f t="shared" si="1"/>
        <v>2.409333256229362E-4</v>
      </c>
      <c r="J13" s="21">
        <f t="shared" si="2"/>
        <v>7.9086950786980331E-2</v>
      </c>
      <c r="L13">
        <f t="shared" si="3"/>
        <v>5.8048867395727804E-8</v>
      </c>
    </row>
    <row r="14" spans="1:12" x14ac:dyDescent="0.25">
      <c r="A14" t="str">
        <f>Totals!B14</f>
        <v xml:space="preserve">74G </v>
      </c>
      <c r="B14">
        <f>U_Pu_Results!E13</f>
        <v>0.34453502150038817</v>
      </c>
      <c r="C14">
        <f>U_Pu_Results!F13</f>
        <v>1.7497575076511642E-2</v>
      </c>
      <c r="D14">
        <f>U_Pu_Results!G13</f>
        <v>5.0786056524276819E-2</v>
      </c>
      <c r="E14">
        <f>Totals!C14</f>
        <v>123.97103202352521</v>
      </c>
      <c r="F14">
        <f>Totals!D14</f>
        <v>6.634165934366278</v>
      </c>
      <c r="G14">
        <f>Totals!E14</f>
        <v>5.3513839693674195E-2</v>
      </c>
      <c r="H14" s="21">
        <f t="shared" si="0"/>
        <v>2.7791574844275549E-3</v>
      </c>
      <c r="I14">
        <f t="shared" si="1"/>
        <v>2.0503618486921561E-4</v>
      </c>
      <c r="J14" s="21">
        <f t="shared" si="2"/>
        <v>7.3776382237456598E-2</v>
      </c>
      <c r="K14" t="s">
        <v>281</v>
      </c>
      <c r="L14">
        <f t="shared" si="3"/>
        <v>4.2039837105723161E-8</v>
      </c>
    </row>
    <row r="15" spans="1:12" x14ac:dyDescent="0.25">
      <c r="A15" t="str">
        <f>Totals!B15</f>
        <v xml:space="preserve">75G trace waste </v>
      </c>
      <c r="B15" t="e">
        <f>U_Pu_Results!E14</f>
        <v>#VALUE!</v>
      </c>
      <c r="C15" t="e">
        <f>U_Pu_Results!F14</f>
        <v>#VALUE!</v>
      </c>
      <c r="D15" t="e">
        <f>U_Pu_Results!G14</f>
        <v>#VALUE!</v>
      </c>
      <c r="E15" t="e">
        <f>Totals!C15</f>
        <v>#VALUE!</v>
      </c>
      <c r="F15" t="e">
        <f>Totals!D15</f>
        <v>#VALUE!</v>
      </c>
      <c r="G15" t="e">
        <f>Totals!E15</f>
        <v>#VALUE!</v>
      </c>
      <c r="H15" s="21" t="e">
        <f t="shared" si="0"/>
        <v>#VALUE!</v>
      </c>
      <c r="I15" t="e">
        <f t="shared" si="1"/>
        <v>#VALUE!</v>
      </c>
      <c r="J15" s="21" t="e">
        <f t="shared" si="2"/>
        <v>#VALUE!</v>
      </c>
      <c r="L15" t="e">
        <f t="shared" si="3"/>
        <v>#VALUE!</v>
      </c>
    </row>
    <row r="16" spans="1:12" x14ac:dyDescent="0.25">
      <c r="A16" t="str">
        <f>Totals!B16</f>
        <v>81G trace</v>
      </c>
      <c r="B16">
        <f>U_Pu_Results!E15</f>
        <v>7.5087489357334308E-2</v>
      </c>
      <c r="C16">
        <f>U_Pu_Results!F15</f>
        <v>4.6645061730227963E-3</v>
      </c>
      <c r="D16">
        <f>U_Pu_Results!G15</f>
        <v>6.2120950013721324E-2</v>
      </c>
      <c r="E16">
        <f>Totals!C16</f>
        <v>23.537532209583109</v>
      </c>
      <c r="F16">
        <f>Totals!D16</f>
        <v>1.3021945934775734</v>
      </c>
      <c r="G16">
        <f>Totals!E16</f>
        <v>5.5324176803352214E-2</v>
      </c>
      <c r="H16" s="21">
        <f t="shared" si="0"/>
        <v>3.1901173278804083E-3</v>
      </c>
      <c r="I16">
        <f t="shared" si="1"/>
        <v>2.6537053779083353E-4</v>
      </c>
      <c r="J16" s="21">
        <f t="shared" si="2"/>
        <v>8.3185196817557858E-2</v>
      </c>
      <c r="L16">
        <f t="shared" si="3"/>
        <v>7.0421522327396201E-8</v>
      </c>
    </row>
    <row r="17" spans="1:12" x14ac:dyDescent="0.25">
      <c r="A17" t="str">
        <f>Totals!B17</f>
        <v>82G trace</v>
      </c>
      <c r="B17">
        <f>U_Pu_Results!E16</f>
        <v>1.266316480337171E-2</v>
      </c>
      <c r="C17">
        <f>U_Pu_Results!F16</f>
        <v>9.3436032309388451E-4</v>
      </c>
      <c r="D17">
        <f>U_Pu_Results!G16</f>
        <v>7.3785687669886482E-2</v>
      </c>
      <c r="E17">
        <f>Totals!C17</f>
        <v>3.2436955523556938</v>
      </c>
      <c r="F17">
        <f>Totals!D17</f>
        <v>0.17683611037659319</v>
      </c>
      <c r="G17">
        <f>Totals!E17</f>
        <v>5.4516864336472071E-2</v>
      </c>
      <c r="H17" s="21">
        <f t="shared" si="0"/>
        <v>3.9039313643893748E-3</v>
      </c>
      <c r="I17">
        <f t="shared" si="1"/>
        <v>3.5815067625950917E-4</v>
      </c>
      <c r="J17" s="21">
        <f t="shared" si="2"/>
        <v>9.174102791008687E-2</v>
      </c>
      <c r="L17">
        <f t="shared" si="3"/>
        <v>1.2827190690514375E-7</v>
      </c>
    </row>
    <row r="18" spans="1:12" x14ac:dyDescent="0.25">
      <c r="A18" t="str">
        <f>Totals!B18</f>
        <v>83G Trace</v>
      </c>
      <c r="B18" t="e">
        <f>U_Pu_Results!E17</f>
        <v>#VALUE!</v>
      </c>
      <c r="C18" t="e">
        <f>U_Pu_Results!F17</f>
        <v>#VALUE!</v>
      </c>
      <c r="D18" t="e">
        <f>U_Pu_Results!G17</f>
        <v>#VALUE!</v>
      </c>
      <c r="E18" t="e">
        <f>Totals!C18</f>
        <v>#VALUE!</v>
      </c>
      <c r="F18" t="e">
        <f>Totals!D18</f>
        <v>#VALUE!</v>
      </c>
      <c r="G18" t="e">
        <f>Totals!E18</f>
        <v>#VALUE!</v>
      </c>
      <c r="H18" s="21" t="e">
        <f t="shared" si="0"/>
        <v>#VALUE!</v>
      </c>
      <c r="I18" t="e">
        <f t="shared" si="1"/>
        <v>#VALUE!</v>
      </c>
      <c r="J18" s="21" t="e">
        <f t="shared" si="2"/>
        <v>#VALUE!</v>
      </c>
      <c r="L18" t="e">
        <f t="shared" si="3"/>
        <v>#VALUE!</v>
      </c>
    </row>
    <row r="19" spans="1:12" x14ac:dyDescent="0.25">
      <c r="A19" t="str">
        <f>Totals!B19</f>
        <v>84G trace</v>
      </c>
      <c r="B19">
        <f>U_Pu_Results!E18</f>
        <v>0</v>
      </c>
      <c r="C19">
        <f>U_Pu_Results!F18</f>
        <v>0</v>
      </c>
      <c r="D19" t="e">
        <f>U_Pu_Results!G18</f>
        <v>#DIV/0!</v>
      </c>
      <c r="E19">
        <f>Totals!C19</f>
        <v>0.40814155930269647</v>
      </c>
      <c r="F19">
        <f>Totals!D19</f>
        <v>2.2901513428710284E-2</v>
      </c>
      <c r="G19">
        <f>Totals!E19</f>
        <v>5.6111691903753112E-2</v>
      </c>
      <c r="H19" s="21">
        <f t="shared" si="0"/>
        <v>0</v>
      </c>
      <c r="I19">
        <f t="shared" si="1"/>
        <v>0</v>
      </c>
      <c r="J19" s="21" t="e">
        <f t="shared" si="2"/>
        <v>#DIV/0!</v>
      </c>
      <c r="L19">
        <f t="shared" si="3"/>
        <v>0</v>
      </c>
    </row>
    <row r="20" spans="1:12" x14ac:dyDescent="0.25">
      <c r="A20" t="str">
        <f>Totals!B20</f>
        <v>86G Trace</v>
      </c>
      <c r="B20">
        <f>U_Pu_Results!E19</f>
        <v>196.18060539868239</v>
      </c>
      <c r="C20">
        <f>U_Pu_Results!F19</f>
        <v>10.613358009255828</v>
      </c>
      <c r="D20">
        <f>U_Pu_Results!G19</f>
        <v>5.4099935045501243E-2</v>
      </c>
      <c r="E20">
        <f>Totals!C20</f>
        <v>68438.822172894041</v>
      </c>
      <c r="F20">
        <f>Totals!D20</f>
        <v>3934.4403714025966</v>
      </c>
      <c r="G20">
        <f>Totals!E20</f>
        <v>5.7488429030283276E-2</v>
      </c>
      <c r="H20" s="21">
        <f t="shared" si="0"/>
        <v>2.8665105443088984E-3</v>
      </c>
      <c r="I20">
        <f t="shared" si="1"/>
        <v>2.2628595260797848E-4</v>
      </c>
      <c r="J20" s="21">
        <f t="shared" si="2"/>
        <v>7.8941259454719678E-2</v>
      </c>
      <c r="K20" t="s">
        <v>281</v>
      </c>
      <c r="L20">
        <f t="shared" si="3"/>
        <v>5.1205332347700283E-8</v>
      </c>
    </row>
    <row r="21" spans="1:12" x14ac:dyDescent="0.25">
      <c r="A21" t="str">
        <f>Totals!B21</f>
        <v>24G Taper Waste</v>
      </c>
      <c r="B21">
        <f>U_Pu_Results!E20</f>
        <v>15.065320915757203</v>
      </c>
      <c r="C21">
        <f>U_Pu_Results!F20</f>
        <v>0.78226926816147435</v>
      </c>
      <c r="D21">
        <f>U_Pu_Results!G20</f>
        <v>5.1925164590638027E-2</v>
      </c>
      <c r="E21">
        <f>Totals!C21</f>
        <v>5396.9846450790901</v>
      </c>
      <c r="F21">
        <f>Totals!D21</f>
        <v>299.55571809248852</v>
      </c>
      <c r="G21">
        <f>Totals!E21</f>
        <v>5.5504274663004657E-2</v>
      </c>
      <c r="H21" s="21">
        <f t="shared" si="0"/>
        <v>2.7914329772076698E-3</v>
      </c>
      <c r="I21">
        <f t="shared" si="1"/>
        <v>2.1216630102360932E-4</v>
      </c>
      <c r="J21" s="21">
        <f t="shared" si="2"/>
        <v>7.6006231478945918E-2</v>
      </c>
      <c r="K21" t="s">
        <v>281</v>
      </c>
      <c r="L21">
        <f t="shared" si="3"/>
        <v>4.5014539290040808E-8</v>
      </c>
    </row>
    <row r="22" spans="1:12" x14ac:dyDescent="0.25">
      <c r="A22" t="str">
        <f>Totals!B22</f>
        <v>24G Trace Original</v>
      </c>
      <c r="B22">
        <f>U_Pu_Results!E21</f>
        <v>121.97794911112699</v>
      </c>
      <c r="C22">
        <f>U_Pu_Results!F21</f>
        <v>6.4036695760723887</v>
      </c>
      <c r="D22">
        <f>U_Pu_Results!G21</f>
        <v>5.2498583741872717E-2</v>
      </c>
      <c r="E22">
        <f>Totals!C22</f>
        <v>42436.248785110278</v>
      </c>
      <c r="F22">
        <f>Totals!D22</f>
        <v>2380.6521307422249</v>
      </c>
      <c r="G22">
        <f>Totals!E22</f>
        <v>5.6099495099046805E-2</v>
      </c>
      <c r="H22" s="21">
        <f t="shared" si="0"/>
        <v>2.8743810445829446E-3</v>
      </c>
      <c r="I22">
        <f t="shared" si="1"/>
        <v>2.208462854410253E-4</v>
      </c>
      <c r="J22" s="21">
        <f t="shared" si="2"/>
        <v>7.6832640493935886E-2</v>
      </c>
      <c r="K22" t="s">
        <v>281</v>
      </c>
      <c r="L22">
        <f t="shared" si="3"/>
        <v>4.8773081793098825E-8</v>
      </c>
    </row>
    <row r="23" spans="1:12" x14ac:dyDescent="0.25">
      <c r="A23" t="str">
        <f>Totals!B23</f>
        <v>53G</v>
      </c>
      <c r="B23">
        <f>U_Pu_Results!E22</f>
        <v>0</v>
      </c>
      <c r="C23">
        <f>U_Pu_Results!F22</f>
        <v>0</v>
      </c>
      <c r="D23">
        <f>U_Pu_Results!G22</f>
        <v>0</v>
      </c>
      <c r="E23">
        <f>Totals!C23</f>
        <v>15.229479311538261</v>
      </c>
      <c r="F23">
        <f>Totals!D23</f>
        <v>0.90675019439942306</v>
      </c>
      <c r="G23">
        <f>Totals!E23</f>
        <v>5.9539146142208871E-2</v>
      </c>
      <c r="H23" s="21">
        <f t="shared" si="0"/>
        <v>0</v>
      </c>
      <c r="I23">
        <f t="shared" si="1"/>
        <v>0</v>
      </c>
      <c r="J23" s="21" t="e">
        <f t="shared" si="2"/>
        <v>#DIV/0!</v>
      </c>
      <c r="L23">
        <f t="shared" si="3"/>
        <v>0</v>
      </c>
    </row>
    <row r="24" spans="1:12" x14ac:dyDescent="0.25">
      <c r="A24" t="str">
        <f>Totals!B24</f>
        <v>94G</v>
      </c>
      <c r="B24">
        <f>U_Pu_Results!E23</f>
        <v>5.4035417171055269E-2</v>
      </c>
      <c r="C24">
        <f>U_Pu_Results!F23</f>
        <v>4.0979246053195507E-3</v>
      </c>
      <c r="D24">
        <f>U_Pu_Results!G23</f>
        <v>7.583775271591045E-2</v>
      </c>
      <c r="E24">
        <f>Totals!C24</f>
        <v>0</v>
      </c>
      <c r="F24">
        <f>Totals!D24</f>
        <v>0</v>
      </c>
      <c r="G24" t="e">
        <f>Totals!E24</f>
        <v>#DIV/0!</v>
      </c>
      <c r="H24" s="21" t="e">
        <f t="shared" si="0"/>
        <v>#DIV/0!</v>
      </c>
      <c r="I24" t="e">
        <f t="shared" si="1"/>
        <v>#DIV/0!</v>
      </c>
      <c r="J24" s="21" t="e">
        <f t="shared" si="2"/>
        <v>#DIV/0!</v>
      </c>
      <c r="L24" t="e">
        <f t="shared" si="3"/>
        <v>#DIV/0!</v>
      </c>
    </row>
    <row r="25" spans="1:12" x14ac:dyDescent="0.25">
      <c r="A25" t="str">
        <f>Totals!B25</f>
        <v>47G</v>
      </c>
      <c r="B25">
        <f>U_Pu_Results!E24</f>
        <v>0</v>
      </c>
      <c r="C25">
        <f>U_Pu_Results!F24</f>
        <v>0</v>
      </c>
      <c r="D25" t="e">
        <f>U_Pu_Results!G24</f>
        <v>#DIV/0!</v>
      </c>
      <c r="E25">
        <f>Totals!C25</f>
        <v>900.54571629218776</v>
      </c>
      <c r="F25">
        <f>Totals!D25</f>
        <v>51.128128732615984</v>
      </c>
      <c r="G25">
        <f>Totals!E25</f>
        <v>5.6774606560925707E-2</v>
      </c>
      <c r="H25" s="21">
        <f t="shared" si="0"/>
        <v>0</v>
      </c>
      <c r="I25">
        <f t="shared" si="1"/>
        <v>0</v>
      </c>
      <c r="J25" s="21" t="e">
        <f t="shared" si="2"/>
        <v>#DIV/0!</v>
      </c>
      <c r="L25">
        <f t="shared" si="3"/>
        <v>0</v>
      </c>
    </row>
    <row r="26" spans="1:12" x14ac:dyDescent="0.25">
      <c r="A26" t="str">
        <f>Totals!B26</f>
        <v>48G</v>
      </c>
      <c r="B26">
        <f>U_Pu_Results!E25</f>
        <v>2.5878618406073475</v>
      </c>
      <c r="C26">
        <f>U_Pu_Results!F25</f>
        <v>0.13712767400548564</v>
      </c>
      <c r="D26">
        <f>U_Pu_Results!G25</f>
        <v>5.2988792467105986E-2</v>
      </c>
      <c r="E26">
        <f>Totals!C26</f>
        <v>966.29755697133442</v>
      </c>
      <c r="F26">
        <f>Totals!D26</f>
        <v>55.142276601665344</v>
      </c>
      <c r="G26">
        <f>Totals!E26</f>
        <v>5.7065524179216322E-2</v>
      </c>
      <c r="H26" s="21">
        <f t="shared" si="0"/>
        <v>2.6781210631624491E-3</v>
      </c>
      <c r="I26">
        <f t="shared" si="1"/>
        <v>2.0855473239786963E-4</v>
      </c>
      <c r="J26" s="21">
        <f t="shared" si="2"/>
        <v>7.7873526804497245E-2</v>
      </c>
      <c r="K26" t="s">
        <v>281</v>
      </c>
      <c r="L26">
        <f t="shared" si="3"/>
        <v>4.3495076405547012E-8</v>
      </c>
    </row>
    <row r="27" spans="1:12" x14ac:dyDescent="0.25">
      <c r="A27" t="str">
        <f>Totals!B27</f>
        <v>49G</v>
      </c>
      <c r="B27">
        <f>U_Pu_Results!E26</f>
        <v>2.7329802376411862</v>
      </c>
      <c r="C27">
        <f>U_Pu_Results!F26</f>
        <v>0.14550204198315814</v>
      </c>
      <c r="D27">
        <f>U_Pu_Results!G26</f>
        <v>5.3239331912893671E-2</v>
      </c>
      <c r="E27">
        <f>Totals!C27</f>
        <v>815.52353578755492</v>
      </c>
      <c r="F27">
        <f>Totals!D27</f>
        <v>46.774394015013968</v>
      </c>
      <c r="G27">
        <f>Totals!E27</f>
        <v>5.735505103460161E-2</v>
      </c>
      <c r="H27" s="21">
        <f t="shared" si="0"/>
        <v>3.3511972588282624E-3</v>
      </c>
      <c r="I27">
        <f t="shared" si="1"/>
        <v>2.6225186664370918E-4</v>
      </c>
      <c r="J27" s="21">
        <f t="shared" si="2"/>
        <v>7.8256171269191377E-2</v>
      </c>
      <c r="L27">
        <f t="shared" si="3"/>
        <v>6.877604155810982E-8</v>
      </c>
    </row>
    <row r="28" spans="1:12" x14ac:dyDescent="0.25">
      <c r="A28" t="str">
        <f>Totals!B28</f>
        <v>50G</v>
      </c>
      <c r="B28">
        <f>U_Pu_Results!E27</f>
        <v>2.3116543852214777</v>
      </c>
      <c r="C28">
        <f>U_Pu_Results!F27</f>
        <v>0.12365416735962104</v>
      </c>
      <c r="D28">
        <f>U_Pu_Results!G27</f>
        <v>5.349163272422916E-2</v>
      </c>
      <c r="E28">
        <f>Totals!C28</f>
        <v>306.91602411164502</v>
      </c>
      <c r="F28">
        <f>Totals!D28</f>
        <v>17.692251120552562</v>
      </c>
      <c r="G28">
        <f>Totals!E28</f>
        <v>5.7645250591793012E-2</v>
      </c>
      <c r="H28" s="21">
        <f t="shared" si="0"/>
        <v>7.5318790927012044E-3</v>
      </c>
      <c r="I28">
        <f t="shared" si="1"/>
        <v>5.9231080708568938E-4</v>
      </c>
      <c r="J28" s="21">
        <f t="shared" si="2"/>
        <v>7.8640509200376088E-2</v>
      </c>
      <c r="L28">
        <f t="shared" si="3"/>
        <v>3.5083209219050072E-7</v>
      </c>
    </row>
    <row r="29" spans="1:12" x14ac:dyDescent="0.25">
      <c r="A29" t="str">
        <f>Totals!B29</f>
        <v>51G</v>
      </c>
      <c r="B29">
        <f>U_Pu_Results!E28</f>
        <v>0.87555823807747446</v>
      </c>
      <c r="C29">
        <f>U_Pu_Results!F28</f>
        <v>4.7059707824728063E-2</v>
      </c>
      <c r="D29">
        <f>U_Pu_Results!G28</f>
        <v>5.3748232588228979E-2</v>
      </c>
      <c r="E29">
        <f>Totals!C29</f>
        <v>84.952527083888043</v>
      </c>
      <c r="F29">
        <f>Totals!D29</f>
        <v>4.9222317794900068</v>
      </c>
      <c r="G29">
        <f>Totals!E29</f>
        <v>5.7940969485574596E-2</v>
      </c>
      <c r="H29" s="21">
        <f t="shared" si="0"/>
        <v>1.0306441351802134E-2</v>
      </c>
      <c r="I29">
        <f t="shared" si="1"/>
        <v>8.1453680985173291E-4</v>
      </c>
      <c r="J29" s="21">
        <f t="shared" si="2"/>
        <v>7.9031819233057299E-2</v>
      </c>
      <c r="L29">
        <f t="shared" si="3"/>
        <v>6.6347021460343806E-7</v>
      </c>
    </row>
    <row r="30" spans="1:12" x14ac:dyDescent="0.25">
      <c r="A30" t="str">
        <f>Totals!B30</f>
        <v>52G</v>
      </c>
      <c r="B30">
        <f>U_Pu_Results!E29</f>
        <v>0.23820722497572314</v>
      </c>
      <c r="C30">
        <f>U_Pu_Results!F29</f>
        <v>1.2867541063608214E-2</v>
      </c>
      <c r="D30">
        <f>U_Pu_Results!G29</f>
        <v>5.4018265251692545E-2</v>
      </c>
      <c r="E30">
        <f>Totals!C30</f>
        <v>124.52099499580203</v>
      </c>
      <c r="F30">
        <f>Totals!D30</f>
        <v>7.251183312837127</v>
      </c>
      <c r="G30">
        <f>Totals!E30</f>
        <v>5.8232616219309731E-2</v>
      </c>
      <c r="H30" s="21">
        <f t="shared" si="0"/>
        <v>1.9129884481227748E-3</v>
      </c>
      <c r="I30">
        <f t="shared" si="1"/>
        <v>1.5194729569961615E-4</v>
      </c>
      <c r="J30" s="21">
        <f t="shared" si="2"/>
        <v>7.9429280322483281E-2</v>
      </c>
      <c r="L30">
        <f t="shared" si="3"/>
        <v>2.3087980670426589E-8</v>
      </c>
    </row>
    <row r="32" spans="1:12" x14ac:dyDescent="0.25">
      <c r="G32" t="s">
        <v>282</v>
      </c>
      <c r="H32" s="21">
        <f>AVERAGE(H3,H4,H7,H8,H9,H10,H11,H12,H14,H20,H21,H22,H26)</f>
        <v>2.7841780196482934E-3</v>
      </c>
      <c r="I32" s="32">
        <f>(1/13)*(L3+L4+L7+L8+L9+L10+L11+L12+L14+L20+L21+L22+L26)^0.5</f>
        <v>5.7224624205559955E-5</v>
      </c>
      <c r="J32" s="21">
        <f>I32/H32</f>
        <v>2.055350764272924E-2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U_Pu_Calculations</vt:lpstr>
      <vt:lpstr>U_Pu_Results</vt:lpstr>
      <vt:lpstr>Totals</vt:lpstr>
      <vt:lpstr>Evap_calcs</vt:lpstr>
      <vt:lpstr>Sheet1</vt:lpstr>
      <vt:lpstr>Enrichment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2016-04-15T07:25:41Z</dcterms:modified>
</cp:coreProperties>
</file>