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Tests\"/>
    </mc:Choice>
  </mc:AlternateContent>
  <bookViews>
    <workbookView xWindow="0" yWindow="0" windowWidth="19200" windowHeight="10995" activeTab="1"/>
  </bookViews>
  <sheets>
    <sheet name="Exp2" sheetId="2" r:id="rId1"/>
    <sheet name="Exp1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AD21" i="3"/>
  <c r="AC21" i="3"/>
  <c r="AD20" i="3"/>
  <c r="AC20" i="3"/>
  <c r="S39" i="3"/>
  <c r="T38" i="3"/>
  <c r="T39" i="3" s="1"/>
  <c r="T37" i="3"/>
  <c r="S30" i="3"/>
  <c r="T29" i="3"/>
  <c r="T30" i="3" s="1"/>
  <c r="W28" i="3"/>
  <c r="V28" i="3"/>
  <c r="T28" i="3"/>
  <c r="W27" i="3"/>
  <c r="V27" i="3"/>
  <c r="T32" i="3" l="1"/>
  <c r="T33" i="3"/>
  <c r="U32" i="3"/>
  <c r="U33" i="3"/>
  <c r="R4" i="2" l="1"/>
  <c r="E5" i="3"/>
  <c r="F5" i="3"/>
  <c r="H5" i="3"/>
  <c r="I5" i="3"/>
  <c r="J5" i="3" l="1"/>
  <c r="G5" i="3"/>
  <c r="O17" i="3" l="1"/>
  <c r="O16" i="3"/>
  <c r="Q4" i="2" l="1"/>
  <c r="O5" i="3"/>
  <c r="O7" i="3"/>
  <c r="O8" i="3"/>
  <c r="O10" i="3"/>
  <c r="O11" i="3"/>
  <c r="O4" i="3"/>
  <c r="Q14" i="2"/>
  <c r="Q5" i="2"/>
  <c r="Q7" i="2"/>
  <c r="Q8" i="2"/>
  <c r="Q10" i="2"/>
  <c r="Q11" i="2"/>
  <c r="Q12" i="2"/>
  <c r="Q15" i="2"/>
  <c r="Q16" i="2"/>
  <c r="Q18" i="2"/>
  <c r="Q19" i="2"/>
  <c r="Q21" i="2"/>
  <c r="Q22" i="2"/>
  <c r="O5" i="2"/>
  <c r="O7" i="2"/>
  <c r="O8" i="2"/>
  <c r="O10" i="2"/>
  <c r="O11" i="2"/>
  <c r="O12" i="2"/>
  <c r="O14" i="2"/>
  <c r="O15" i="2"/>
  <c r="O16" i="2"/>
  <c r="O18" i="2"/>
  <c r="O19" i="2"/>
  <c r="O21" i="2"/>
  <c r="O22" i="2"/>
  <c r="O4" i="2"/>
  <c r="S25" i="3"/>
  <c r="S23" i="3"/>
  <c r="T22" i="3"/>
  <c r="T25" i="3" s="1"/>
  <c r="T21" i="3"/>
  <c r="T23" i="3" s="1"/>
  <c r="S19" i="3"/>
  <c r="T18" i="3"/>
  <c r="T19" i="3" s="1"/>
  <c r="G25" i="3"/>
  <c r="F25" i="3"/>
  <c r="G23" i="3"/>
  <c r="F23" i="3"/>
  <c r="G21" i="3"/>
  <c r="G22" i="3"/>
  <c r="G19" i="3"/>
  <c r="F19" i="3"/>
  <c r="G18" i="3"/>
  <c r="S16" i="3"/>
  <c r="T15" i="3"/>
  <c r="T14" i="3"/>
  <c r="T16" i="3" s="1"/>
  <c r="F16" i="3"/>
  <c r="G15" i="3"/>
  <c r="G14" i="3"/>
  <c r="G16" i="3" l="1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J22" i="2" s="1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G5" i="2" s="1"/>
  <c r="E5" i="2"/>
  <c r="I16" i="2"/>
  <c r="H16" i="2"/>
  <c r="F16" i="2"/>
  <c r="E16" i="2"/>
  <c r="D3" i="2"/>
  <c r="G19" i="2" l="1"/>
  <c r="M14" i="2"/>
  <c r="M18" i="2"/>
  <c r="J11" i="2"/>
  <c r="J12" i="2"/>
  <c r="J8" i="2"/>
  <c r="M7" i="2"/>
  <c r="J5" i="2"/>
  <c r="G22" i="2"/>
  <c r="J19" i="2"/>
  <c r="G15" i="2"/>
  <c r="M15" i="2"/>
  <c r="L12" i="2"/>
  <c r="L15" i="2"/>
  <c r="L17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M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W7" i="2"/>
  <c r="V16" i="2"/>
  <c r="M5" i="2"/>
  <c r="M4" i="2"/>
  <c r="J16" i="2"/>
  <c r="G16" i="2"/>
  <c r="M7" i="3" l="1"/>
  <c r="U16" i="2"/>
  <c r="Y15" i="2" s="1"/>
  <c r="W14" i="2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M18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Z18" i="2" s="1"/>
  <c r="W15" i="2"/>
  <c r="T18" i="2"/>
  <c r="R19" i="2"/>
  <c r="Y18" i="2"/>
  <c r="T15" i="2"/>
  <c r="T11" i="2"/>
  <c r="Z7" i="2"/>
  <c r="W16" i="2"/>
  <c r="T14" i="2"/>
  <c r="S12" i="2"/>
  <c r="T5" i="2"/>
  <c r="T4" i="2"/>
  <c r="U5" i="2"/>
  <c r="Y8" i="2" s="1"/>
  <c r="W4" i="2"/>
  <c r="V5" i="2"/>
  <c r="W5" i="2" s="1"/>
  <c r="M22" i="3" l="1"/>
  <c r="M25" i="3" s="1"/>
  <c r="Z15" i="2"/>
  <c r="T12" i="2"/>
  <c r="W12" i="2"/>
  <c r="L26" i="3"/>
  <c r="M23" i="3"/>
  <c r="M26" i="3" s="1"/>
  <c r="Q11" i="3"/>
  <c r="W5" i="3"/>
  <c r="W15" i="3"/>
  <c r="W18" i="3" s="1"/>
  <c r="Z4" i="3"/>
  <c r="Z7" i="3" s="1"/>
  <c r="T5" i="3"/>
  <c r="W14" i="3"/>
  <c r="Z5" i="3"/>
  <c r="Z8" i="3" s="1"/>
  <c r="T8" i="3"/>
  <c r="V14" i="3"/>
  <c r="V17" i="3" s="1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S10" i="3" l="1"/>
  <c r="V10" i="3"/>
  <c r="U10" i="3"/>
  <c r="U11" i="3" s="1"/>
  <c r="Y12" i="3" s="1"/>
  <c r="Y15" i="3" s="1"/>
  <c r="Y19" i="3" s="1"/>
  <c r="Y23" i="3" s="1"/>
  <c r="R10" i="3"/>
  <c r="R11" i="3" s="1"/>
  <c r="Y11" i="3" s="1"/>
  <c r="Y14" i="3" s="1"/>
  <c r="Y18" i="3" s="1"/>
  <c r="Y22" i="3" s="1"/>
  <c r="Y25" i="3" s="1"/>
  <c r="Y26" i="3"/>
  <c r="W17" i="3"/>
  <c r="P17" i="3" l="1"/>
  <c r="V37" i="3"/>
  <c r="T42" i="3" s="1"/>
  <c r="AC25" i="3" s="1"/>
  <c r="P16" i="3"/>
  <c r="V36" i="3"/>
  <c r="T41" i="3" s="1"/>
  <c r="AC24" i="3" s="1"/>
  <c r="W10" i="3"/>
  <c r="V11" i="3"/>
  <c r="S11" i="3"/>
  <c r="T10" i="3"/>
  <c r="AC27" i="3" l="1"/>
  <c r="AC28" i="3"/>
  <c r="W11" i="3"/>
  <c r="Z12" i="3"/>
  <c r="Z15" i="3" s="1"/>
  <c r="Z19" i="3" s="1"/>
  <c r="Z23" i="3" s="1"/>
  <c r="Z26" i="3" s="1"/>
  <c r="W37" i="3" s="1"/>
  <c r="U42" i="3" s="1"/>
  <c r="AD25" i="3" s="1"/>
  <c r="AD28" i="3" s="1"/>
  <c r="T11" i="3"/>
  <c r="Z11" i="3"/>
  <c r="Z14" i="3" s="1"/>
  <c r="Z18" i="3" s="1"/>
  <c r="Z22" i="3" s="1"/>
  <c r="Z25" i="3" s="1"/>
  <c r="W36" i="3" s="1"/>
  <c r="U41" i="3" s="1"/>
  <c r="AD24" i="3" s="1"/>
  <c r="AD27" i="3" s="1"/>
</calcChain>
</file>

<file path=xl/sharedStrings.xml><?xml version="1.0" encoding="utf-8"?>
<sst xmlns="http://schemas.openxmlformats.org/spreadsheetml/2006/main" count="199" uniqueCount="96">
  <si>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</si>
  <si>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</si>
  <si>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</si>
  <si>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</si>
  <si>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</si>
  <si>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</si>
  <si>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</si>
  <si>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</si>
  <si>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</si>
  <si>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</si>
  <si>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</si>
  <si>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</si>
  <si>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</si>
  <si>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</si>
  <si>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</si>
  <si>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</si>
  <si>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</si>
  <si>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</si>
  <si>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</si>
  <si>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</si>
  <si>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</si>
  <si>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</si>
  <si>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</si>
  <si>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</si>
  <si>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</si>
  <si>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</si>
  <si>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</si>
  <si>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</si>
  <si>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</si>
  <si>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</si>
  <si>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</si>
  <si>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</si>
  <si>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</si>
  <si>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</si>
  <si>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</si>
  <si>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</si>
  <si>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</si>
  <si>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</si>
  <si>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</si>
  <si>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</si>
  <si>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</si>
  <si>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</si>
  <si>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</si>
  <si>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</si>
  <si>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</si>
  <si>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</si>
  <si>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</si>
  <si>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</si>
  <si>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</si>
  <si>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</si>
  <si>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</si>
  <si>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</si>
  <si>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</si>
  <si>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</si>
  <si>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</si>
  <si>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</si>
  <si>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</si>
  <si>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</si>
  <si>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</si>
  <si>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</si>
  <si>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</si>
  <si>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</si>
  <si>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</si>
  <si>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</si>
  <si>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</si>
  <si>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</si>
  <si>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</si>
  <si>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</si>
  <si>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</si>
  <si>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</si>
  <si>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</si>
  <si>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</si>
  <si>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</si>
  <si>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</si>
  <si>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</si>
  <si>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</si>
  <si>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</si>
  <si>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</si>
  <si>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</si>
  <si>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</si>
  <si>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</si>
  <si>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</si>
  <si>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</si>
  <si>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</si>
  <si>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</si>
  <si>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</si>
  <si>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</si>
  <si>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</si>
  <si>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</si>
  <si>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</si>
  <si>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</si>
  <si>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</si>
  <si>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U</t>
  </si>
  <si>
    <t>Pu</t>
  </si>
  <si>
    <t>% Back Extracted into Fe Given Equal volumes and perfect Separation (if 100% extracted into TBP)</t>
  </si>
  <si>
    <t>% Recovery given equal volumes and perfect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</si>
</sst>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000000000000%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16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2"/>
  <sheetViews>
    <sheetView topLeftCell="K1" workbookViewId="0">
      <selection activeCell="O7" sqref="O7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0.82186704611760497</v>
      </c>
      <c r="Q2">
        <v>0.05</v>
      </c>
      <c r="R2" s="54" t="s">
        <v>1</v>
      </c>
      <c r="S2" s="54"/>
      <c r="T2" s="54"/>
      <c r="U2" s="54"/>
      <c r="V2" s="54"/>
      <c r="W2" s="54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292287.7019687923</v>
      </c>
      <c r="F4">
        <v>15178.157202439976</v>
      </c>
      <c r="G4" s="3">
        <v>5.1928825948553095E-2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0.99857040818488585</v>
      </c>
      <c r="M4" s="8">
        <f>((F8/E5)^2+((F5*E8)/(E5^2))^2)^0.5</f>
        <v>1.1499964309929466E-4</v>
      </c>
      <c r="N4" s="8"/>
      <c r="O4" s="43">
        <f>1-P4*$P$2</f>
        <v>0.83639045377989585</v>
      </c>
      <c r="P4">
        <v>0.19907057594409555</v>
      </c>
      <c r="Q4">
        <f>1-P4*O4</f>
        <v>0.83349927065189267</v>
      </c>
      <c r="R4">
        <f>$Q4*E4</f>
        <v>243621.58641150614</v>
      </c>
      <c r="S4">
        <f>(($Q4*$Q$2*E4)^2+(F4*$Q4)^2)^0.5</f>
        <v>17562.063182314694</v>
      </c>
      <c r="T4" s="3">
        <f>S4/R4</f>
        <v>7.2087467457215629E-2</v>
      </c>
      <c r="U4">
        <f>$Q4*H4</f>
        <v>4869.1646590565952</v>
      </c>
      <c r="V4">
        <f>(($Q4*$Q$2*H4)^2+(I4*$Q4)^2)^0.5</f>
        <v>293.38015575208618</v>
      </c>
      <c r="W4" s="3">
        <f>V4/U4</f>
        <v>6.0252666790884174E-2</v>
      </c>
      <c r="X4" s="3" t="s">
        <v>15</v>
      </c>
      <c r="Y4" s="9">
        <f>1-R8/R5</f>
        <v>0.99877511323418733</v>
      </c>
      <c r="Z4" s="8">
        <f>((S8/R5)^2+((S5*R8)/(R5^2))^2)^0.5</f>
        <v>1.3118853166636446E-4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146143.85098439615</v>
      </c>
      <c r="F5" s="10">
        <f>((F4*$C5*$B5)^2+($C5*$B$2*E4)^2+($C$2*$B5*E4)^2)^0.5</f>
        <v>8262.7553882327793</v>
      </c>
      <c r="G5" s="3">
        <f>F5/E5</f>
        <v>5.6538508685630554E-2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0.83639045377989585</v>
      </c>
      <c r="P5">
        <v>0.19907057594409555</v>
      </c>
      <c r="Q5">
        <f t="shared" ref="Q5:Q22" si="0">1-P5*O5</f>
        <v>0.83349927065189267</v>
      </c>
      <c r="R5">
        <f>R4*$C5*$B5</f>
        <v>121810.79320575307</v>
      </c>
      <c r="S5">
        <f>((S4*$C5*$B5)^2+($C5*$B$2*R4)^2+($C$2*$B5*R4)^2)^0.5</f>
        <v>9193.7723745811054</v>
      </c>
      <c r="T5" s="3">
        <f>S5/R5</f>
        <v>7.5475843581871427E-2</v>
      </c>
      <c r="U5">
        <f>U4*$C5*$B5</f>
        <v>2434.5823295282976</v>
      </c>
      <c r="V5">
        <f>((V4*$C5*$B5)^2+($C5*$B$2*U4)^2+($C$2*$B5*U4)^2)^0.5</f>
        <v>156.46588927592271</v>
      </c>
      <c r="W5" s="3">
        <f>V5/U5</f>
        <v>6.42680624837354E-2</v>
      </c>
      <c r="X5" s="3" t="s">
        <v>16</v>
      </c>
      <c r="Y5" s="9">
        <f>1-U8/U5</f>
        <v>0.99256706460437716</v>
      </c>
      <c r="Z5" s="3">
        <f>((V8/U5)^2+((V5*U8)/(U5^2))^2)^0.5</f>
        <v>6.5800100084920435E-4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417.85210639309798</v>
      </c>
      <c r="F7">
        <v>22.009185047993885</v>
      </c>
      <c r="G7" s="3">
        <v>5.2672188822924237E-2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7.0094133145251453E-2</v>
      </c>
      <c r="M7" s="3">
        <f>((F11/E5)^2+((F5*E11)/(E5^2))^2)^0.5</f>
        <v>5.3846717105339378E-3</v>
      </c>
      <c r="N7" s="3"/>
      <c r="O7" s="43">
        <f>1-P7*$P$2</f>
        <v>0.37724470328705662</v>
      </c>
      <c r="P7">
        <v>0.75773240897631788</v>
      </c>
      <c r="Q7">
        <f t="shared" si="0"/>
        <v>0.7141494622047424</v>
      </c>
      <c r="R7">
        <f>$Q7*E7</f>
        <v>298.40885706174976</v>
      </c>
      <c r="S7">
        <f>(($Q7*$Q$2*E7)^2+(F7*$Q7)^2)^0.5</f>
        <v>21.671879248715982</v>
      </c>
      <c r="T7" s="3">
        <f>S7/R7</f>
        <v>7.2624785544590648E-2</v>
      </c>
      <c r="U7">
        <f>$Q7*H7</f>
        <v>36.192186341417852</v>
      </c>
      <c r="V7">
        <f>(($Q7*$Q$2*H7)^2+(I7*$Q7)^2)^0.5</f>
        <v>2.0493539658534115</v>
      </c>
      <c r="W7" s="3">
        <f>V7/U7</f>
        <v>5.6624210168484859E-2</v>
      </c>
      <c r="X7" s="3" t="s">
        <v>19</v>
      </c>
      <c r="Y7" s="2">
        <f>R11/R5</f>
        <v>6.5187918760093985E-2</v>
      </c>
      <c r="Z7" s="3">
        <f>((S11/R5)^2+((S5*R11)/(R5^2))^2)^0.5</f>
        <v>6.8062558814495156E-3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208.92605319654899</v>
      </c>
      <c r="F8">
        <f>((F7*$C8*$B8)^2+($C8*$B$2*E7)^2+($C$2*$B8*E7)^2)^0.5</f>
        <v>11.955170616572271</v>
      </c>
      <c r="G8" s="3">
        <f>F8/E8</f>
        <v>5.7222019148207147E-2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0.37724470328705662</v>
      </c>
      <c r="P8">
        <v>0.75773240897631788</v>
      </c>
      <c r="Q8">
        <f t="shared" si="0"/>
        <v>0.7141494622047424</v>
      </c>
      <c r="R8">
        <f>R7*$C8*$B8</f>
        <v>149.20442853087488</v>
      </c>
      <c r="S8">
        <f>((S7*$C8*$B8)^2+($C8*$B$2*R7)^2+($C$2*$B8*R7)^2)^0.5</f>
        <v>11.337926101776466</v>
      </c>
      <c r="T8" s="3">
        <f>S8/R8</f>
        <v>7.5989206308513205E-2</v>
      </c>
      <c r="U8">
        <f>U7*$C8*$B8</f>
        <v>18.096093170708926</v>
      </c>
      <c r="V8">
        <f>((V7*$C8*$B8)^2+($C8*$B$2*U7)^2+($C$2*$B8*U7)^2)^0.5</f>
        <v>1.1016792697338302</v>
      </c>
      <c r="W8" s="3">
        <f>V8/U8</f>
        <v>6.0879398627160762E-2</v>
      </c>
      <c r="X8" s="3" t="s">
        <v>20</v>
      </c>
      <c r="Y8" s="2">
        <f>U11/U5</f>
        <v>0.99710727519776232</v>
      </c>
      <c r="Z8" s="3">
        <f>((V11/U5)^2+((V5*U11)/(U5^2))^2)^0.5</f>
        <v>8.8063416068154793E-2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1707.3044248766751</v>
      </c>
      <c r="F10">
        <v>87.089600660596631</v>
      </c>
      <c r="G10" s="3">
        <v>5.1010001140767522E-2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0.75536329173325112</v>
      </c>
      <c r="P10">
        <v>0.29765971202079633</v>
      </c>
      <c r="Q10">
        <f t="shared" si="0"/>
        <v>0.77515878011159967</v>
      </c>
      <c r="R10">
        <f>$Q10*E10</f>
        <v>1323.4320152665398</v>
      </c>
      <c r="S10">
        <f>(($Q10*$Q$2*E10)^2+(F10*$Q10)^2)^0.5</f>
        <v>94.530667394740604</v>
      </c>
      <c r="T10" s="3">
        <f>S10/R10</f>
        <v>7.1428427228807892E-2</v>
      </c>
      <c r="U10">
        <f>$Q10*H10</f>
        <v>404.5899588067636</v>
      </c>
      <c r="V10">
        <f>(($Q10*$Q$2*H10)^2+(I10*$Q10)^2)^0.5</f>
        <v>24.164103264857502</v>
      </c>
      <c r="W10" s="3">
        <f>V10/U10</f>
        <v>5.9724920846091809E-2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10243.826549260051</v>
      </c>
      <c r="F11">
        <f>((F10*$C11*$B11)^2+($C11*$B$2*E10)^2+($C$2*$B11*E10)^2)^0.5</f>
        <v>532.7575758570232</v>
      </c>
      <c r="G11" s="3">
        <f>F11/E11</f>
        <v>5.2007672454733846E-2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4.8480440669697131E-2</v>
      </c>
      <c r="M11" s="3">
        <f>((F15/E12)^2+((F12*E15)/(E12^2))^2)^0.5</f>
        <v>3.7002567436700087E-3</v>
      </c>
      <c r="N11" s="3"/>
      <c r="O11" s="43">
        <f>1-P11*$P$2</f>
        <v>0.75536329173325112</v>
      </c>
      <c r="P11">
        <v>0.29765971202079633</v>
      </c>
      <c r="Q11">
        <f t="shared" si="0"/>
        <v>0.77515878011159967</v>
      </c>
      <c r="R11">
        <f>R10*$C11*$B11</f>
        <v>7940.5920915992392</v>
      </c>
      <c r="S11">
        <f>((S10*$C11*$B11)^2+($C11*$B$2*R10)^2+($C$2*$B11*R10)^2)^0.5</f>
        <v>572.86834640940219</v>
      </c>
      <c r="T11" s="3">
        <f>S11/R11</f>
        <v>7.2144285942539355E-2</v>
      </c>
      <c r="U11">
        <f>U10*$C11*$B11</f>
        <v>2427.5397528405815</v>
      </c>
      <c r="V11">
        <f>((V10*$C11*$B11)^2+($C11*$B$2*U10)^2+($C$2*$B11*U10)^2)^0.5</f>
        <v>147.05850586092581</v>
      </c>
      <c r="W11" s="3">
        <f>V11/U11</f>
        <v>6.0579236936839261E-2</v>
      </c>
      <c r="X11" s="3" t="s">
        <v>37</v>
      </c>
      <c r="Y11" s="13">
        <f>(R15/R12)</f>
        <v>5.7109257004501701E-2</v>
      </c>
      <c r="Z11" s="3">
        <f>((S15/R12)^2+((S12*R15)/(R12^2))^2)^0.5</f>
        <v>5.9419609160996445E-3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853.65221243833753</v>
      </c>
      <c r="F12">
        <f>((F10*$C12*$B12)^2+($C12*$B$2*E10)^2+($C$2*$B12*E10)^2)^0.5</f>
        <v>47.544828169907007</v>
      </c>
      <c r="G12" s="3">
        <f>F12/E12</f>
        <v>5.5695782752207587E-2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0.75536329173325112</v>
      </c>
      <c r="P12">
        <v>0.29765971202079633</v>
      </c>
      <c r="Q12">
        <f t="shared" si="0"/>
        <v>0.77515878011159967</v>
      </c>
      <c r="R12">
        <f>R10*$C12*$B12</f>
        <v>661.7160076332699</v>
      </c>
      <c r="S12">
        <f>((S10*$C12*$B12)^2+($C12*$B$2*R10)^2+($C$2*$B12*R10)^2)^0.5</f>
        <v>49.527222887042896</v>
      </c>
      <c r="T12" s="3">
        <f>S12/R12</f>
        <v>7.4846644656798772E-2</v>
      </c>
      <c r="U12">
        <f>U10*$C12*$B12</f>
        <v>202.2949794033818</v>
      </c>
      <c r="V12">
        <f>((V10*$C12*$B12)^2+($C12*$B$2*U10)^2+($C$2*$B12*U10)^2)^0.5</f>
        <v>12.901069761635336</v>
      </c>
      <c r="W12" s="3">
        <f>V12/U12</f>
        <v>6.3773553845398429E-2</v>
      </c>
      <c r="X12" s="3" t="s">
        <v>38</v>
      </c>
      <c r="Y12" s="13">
        <f>U15/U12</f>
        <v>0.85672779868914495</v>
      </c>
      <c r="Z12" s="3">
        <f>((V15/U12)^2+((V12*U15)/(U12^2))^2)^0.5</f>
        <v>7.5370042324640021E-2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6.8975725729454185</v>
      </c>
      <c r="F14">
        <v>0.3531036461937675</v>
      </c>
      <c r="G14" s="3">
        <v>5.119245103397068E-2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1</v>
      </c>
      <c r="M14">
        <f>((F19/E16)^2+((F16*E19)/(E16^2))^2)^0.5</f>
        <v>0</v>
      </c>
      <c r="O14" s="43">
        <f>1-P14*$P$2</f>
        <v>0.92261208193106325</v>
      </c>
      <c r="P14">
        <v>9.4161115760155317E-2</v>
      </c>
      <c r="Q14">
        <f t="shared" si="0"/>
        <v>0.91312581695157125</v>
      </c>
      <c r="R14">
        <f>$Q14*E14</f>
        <v>6.2983515906535361</v>
      </c>
      <c r="S14">
        <f>(($Q14*$Q$2*E14)^2+(F14*$Q14)^2)^0.5</f>
        <v>0.4507027100065738</v>
      </c>
      <c r="T14" s="3">
        <f>S14/R14</f>
        <v>7.1558836231911199E-2</v>
      </c>
      <c r="U14">
        <f>$Q14*H14</f>
        <v>28.885288731687535</v>
      </c>
      <c r="V14">
        <f>(($Q14*$Q$2*H14)^2+(I14*$Q14)^2)^0.5</f>
        <v>1.7257929969550125</v>
      </c>
      <c r="W14" s="3">
        <f>V14/U14</f>
        <v>5.9746434006103438E-2</v>
      </c>
      <c r="X14" s="3" t="s">
        <v>17</v>
      </c>
      <c r="Y14" s="14">
        <f>1-R19/R16</f>
        <v>1</v>
      </c>
      <c r="Z14">
        <f>((S19/R16)^2+((S16*R19)/(R16^2))^2)^0.5</f>
        <v>0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41.385435437672513</v>
      </c>
      <c r="F15">
        <f>((F14*$C15*$B15)^2+($C15*$B$2*E14)^2+($C$2*$B15*E14)^2)^0.5</f>
        <v>2.1597665928911116</v>
      </c>
      <c r="G15" s="3">
        <f>F15/E15</f>
        <v>5.2186634501980134E-2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0.92261208193106325</v>
      </c>
      <c r="P15">
        <v>9.4161115760155317E-2</v>
      </c>
      <c r="Q15">
        <f t="shared" si="0"/>
        <v>0.91312581695157125</v>
      </c>
      <c r="R15">
        <f>R14*$C15*$B15</f>
        <v>37.790109543921218</v>
      </c>
      <c r="S15">
        <f>((S14*$C15*$B15)^2+($C15*$B$2*R14)^2+($C$2*$B15*R14)^2)^0.5</f>
        <v>2.7312198267938483</v>
      </c>
      <c r="T15" s="3">
        <f>S15/R15</f>
        <v>7.2273403272872558E-2</v>
      </c>
      <c r="U15">
        <f>U14*$C15*$B15</f>
        <v>173.3117323901252</v>
      </c>
      <c r="V15">
        <f>((V14*$C15*$B15)^2+($C15*$B$2*U14)^2+($C$2*$B15*U14)^2)^0.5</f>
        <v>10.502768421188797</v>
      </c>
      <c r="W15" s="3">
        <f>V15/U15</f>
        <v>6.0600446815377948E-2</v>
      </c>
      <c r="X15" s="3" t="s">
        <v>18</v>
      </c>
      <c r="Y15" s="14">
        <f>1-U19/U16</f>
        <v>0.99500919174855795</v>
      </c>
      <c r="Z15" s="3">
        <f>((V19/U16)^2+((V16*U19)/(U16^2))^2)^0.5</f>
        <v>4.7098400482639604E-4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3.4487862864727092</v>
      </c>
      <c r="F16" s="15">
        <f>((0.005*E14)^2+(0.5*F14)^2)^0.5</f>
        <v>0.17988874040308792</v>
      </c>
      <c r="G16" s="3">
        <f>F16/E16</f>
        <v>5.2160013831147378E-2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0.92261208193106325</v>
      </c>
      <c r="P16">
        <v>9.4161115760155317E-2</v>
      </c>
      <c r="Q16">
        <f t="shared" si="0"/>
        <v>0.91312581695157125</v>
      </c>
      <c r="R16">
        <f>R14*$C16*$B16</f>
        <v>3.1491757953267681</v>
      </c>
      <c r="S16">
        <f>((S14*$C16*$B16)^2+($C16*$B$2*R14)^2+($C$2*$B16*R14)^2)^0.5</f>
        <v>0.2360971988329244</v>
      </c>
      <c r="T16" s="3">
        <f>S16/R16</f>
        <v>7.4971108054139687E-2</v>
      </c>
      <c r="U16">
        <f>U14*$C16*$B16</f>
        <v>14.442644365843767</v>
      </c>
      <c r="V16">
        <f>((V14*$C16*$B16)^2+($C16*$B$2*U14)^2+($C$2*$B16*U14)^2)^0.5</f>
        <v>0.92134974641764589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12.447518726984979</v>
      </c>
      <c r="M17" s="3">
        <f>((F22/E16)^2+((F16*E22)/(E16^2))^2)^0.5</f>
        <v>0.91968192277141692</v>
      </c>
      <c r="N17" s="3"/>
      <c r="O17" s="43"/>
      <c r="T17" s="3"/>
      <c r="W17" s="3"/>
      <c r="X17" s="3" t="s">
        <v>39</v>
      </c>
      <c r="Y17" s="16">
        <f>R22/R16</f>
        <v>10.26536182303775</v>
      </c>
      <c r="Z17" s="3">
        <f>((S22/R16)^2+((S16*R22)/(R16^2))^2)^0.5</f>
        <v>1.0697156037790252</v>
      </c>
    </row>
    <row r="18" spans="2:26" x14ac:dyDescent="0.25">
      <c r="B18">
        <v>1</v>
      </c>
      <c r="D18" t="s">
        <v>10</v>
      </c>
      <c r="E18">
        <v>0</v>
      </c>
      <c r="F18">
        <v>0</v>
      </c>
      <c r="G18" s="3" t="e">
        <v>#DIV/0!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0.26249738787598176</v>
      </c>
      <c r="P18">
        <v>0.89735026560303943</v>
      </c>
      <c r="Q18">
        <f t="shared" si="0"/>
        <v>0.76444789926938372</v>
      </c>
      <c r="R18">
        <f>$Q18*E18</f>
        <v>0</v>
      </c>
      <c r="S18">
        <f>(($Q18*$Q$2*E18)^2+(F18*$Q18)^2)^0.5</f>
        <v>0</v>
      </c>
      <c r="T18" s="3" t="e">
        <f>S18/R18</f>
        <v>#DIV/0!</v>
      </c>
      <c r="U18">
        <f>$Q18*H18</f>
        <v>0.14416093734739172</v>
      </c>
      <c r="V18">
        <f>(($Q18*$Q$2*H18)^2+(I18*$Q18)^2)^0.5</f>
        <v>9.4928796231686114E-3</v>
      </c>
      <c r="W18" s="3">
        <f>V18/U18</f>
        <v>6.5849180768665166E-2</v>
      </c>
      <c r="X18" s="3" t="s">
        <v>18</v>
      </c>
      <c r="Y18" s="16">
        <f>U22/U16</f>
        <v>1.0083374593274548</v>
      </c>
      <c r="Z18" s="3">
        <f>((V22/U16)^2+((V16*U22)/(U16^2))^2)^0.5</f>
        <v>8.8899693400403018E-2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0</v>
      </c>
      <c r="F19">
        <f>((F18*$C19*$B19)^2+($C19*$B$2*E18)^2+($C$2*$B19*E18)^2)^0.5</f>
        <v>0</v>
      </c>
      <c r="G19" s="3" t="e">
        <f>F19/E19</f>
        <v>#DIV/0!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0.26249738787598176</v>
      </c>
      <c r="P19">
        <v>0.89735026560303943</v>
      </c>
      <c r="Q19">
        <f t="shared" si="0"/>
        <v>0.76444789926938372</v>
      </c>
      <c r="R19">
        <f>R18*$C19*$B19</f>
        <v>0</v>
      </c>
      <c r="S19">
        <f>((S18*$C19*$B19)^2+($C19*$B$2*R18)^2+($C$2*$B19*R18)^2)^0.5</f>
        <v>0</v>
      </c>
      <c r="T19" s="3" t="e">
        <f>S19/R19</f>
        <v>#DIV/0!</v>
      </c>
      <c r="U19">
        <f>U18*$C19*$B19</f>
        <v>7.2080468673695858E-2</v>
      </c>
      <c r="V19">
        <f>((V18*$C19*$B19)^2+($C19*$B$2*U18)^2+($C$2*$B19*U18)^2)^0.5</f>
        <v>5.0126328278762133E-3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7.1548053143730046</v>
      </c>
      <c r="F21">
        <v>0.36730799929020086</v>
      </c>
      <c r="G21" s="3">
        <v>5.1337245830061988E-2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0.71688126920986073</v>
      </c>
      <c r="P21">
        <v>0.34448239788607671</v>
      </c>
      <c r="Q21">
        <f t="shared" si="0"/>
        <v>0.75304702138297308</v>
      </c>
      <c r="R21">
        <f>$Q21*E21</f>
        <v>5.3879048305636577</v>
      </c>
      <c r="S21">
        <f>(($Q21*$Q$2*E21)^2+(F21*$Q21)^2)^0.5</f>
        <v>0.38611068868784981</v>
      </c>
      <c r="T21" s="3">
        <f>S21/R21</f>
        <v>7.1662492347225951E-2</v>
      </c>
      <c r="U21">
        <f>$Q21*H21</f>
        <v>2.4271765543041472</v>
      </c>
      <c r="V21">
        <f>(($Q21*$Q$2*H21)^2+(I21*$Q21)^2)^0.5</f>
        <v>0.14564246261200661</v>
      </c>
      <c r="W21" s="3">
        <f>V21/U21</f>
        <v>6.0004890189688395E-2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42.928831886238029</v>
      </c>
      <c r="F22">
        <f>((F21*$C22*$B22)^2+($C22*$B$2*E21)^2+($C$2*$B22*E21)^2)^0.5</f>
        <v>2.2464090395457532</v>
      </c>
      <c r="G22" s="3">
        <f>F22/E22</f>
        <v>5.2328678439207632E-2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0.71688126920986073</v>
      </c>
      <c r="P22">
        <v>0.34448239788607671</v>
      </c>
      <c r="Q22">
        <f t="shared" si="0"/>
        <v>0.75304702138297308</v>
      </c>
      <c r="R22">
        <f>R21*$C22*$B22</f>
        <v>32.327428983381949</v>
      </c>
      <c r="S22">
        <f>((S21*$C22*$B22)^2+($C22*$B$2*R21)^2+($C$2*$B22*R21)^2)^0.5</f>
        <v>2.3397311639156508</v>
      </c>
      <c r="T22" s="3">
        <f>S22/R22</f>
        <v>7.2376036000833824E-2</v>
      </c>
      <c r="U22">
        <f>U21*$C22*$B22</f>
        <v>14.563059325824884</v>
      </c>
      <c r="V22">
        <f>((V21*$C22*$B22)^2+($C22*$B$2*U21)^2+($C$2*$B22*U21)^2)^0.5</f>
        <v>0.88623899556505448</v>
      </c>
      <c r="W22" s="3">
        <f>V22/U22</f>
        <v>6.0855276060949225E-2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tabSelected="1" topLeftCell="P4" workbookViewId="0">
      <selection activeCell="AG32" sqref="AG32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</cols>
  <sheetData>
    <row r="1" spans="1:27" x14ac:dyDescent="0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7" x14ac:dyDescent="0.25">
      <c r="A2" t="s">
        <v>34</v>
      </c>
      <c r="B2">
        <v>0.01</v>
      </c>
      <c r="C2">
        <v>0.01</v>
      </c>
      <c r="E2" s="54" t="s">
        <v>0</v>
      </c>
      <c r="F2" s="54"/>
      <c r="G2" s="54"/>
      <c r="H2" s="54"/>
      <c r="I2" s="54"/>
      <c r="J2" s="54"/>
      <c r="M2" t="s">
        <v>36</v>
      </c>
      <c r="O2">
        <f>'Exp2'!P2</f>
        <v>0.82186704611760497</v>
      </c>
      <c r="Q2">
        <v>0.05</v>
      </c>
      <c r="R2" s="54" t="s">
        <v>1</v>
      </c>
      <c r="S2" s="54"/>
      <c r="T2" s="54"/>
      <c r="U2" s="54"/>
      <c r="V2" s="54"/>
      <c r="W2" s="54"/>
    </row>
    <row r="3" spans="1:27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</row>
    <row r="4" spans="1:27" x14ac:dyDescent="0.25">
      <c r="B4">
        <v>1</v>
      </c>
      <c r="D4" t="s">
        <v>2</v>
      </c>
      <c r="E4">
        <v>292287.7019687923</v>
      </c>
      <c r="F4">
        <v>15178.157202439976</v>
      </c>
      <c r="G4" s="3">
        <v>5.1928825948553095E-2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0.97390914829858521</v>
      </c>
      <c r="M4" s="8">
        <f>((F8/E5)^2+((F5*E8)/(E5^2))^2)^0.5</f>
        <v>2.0864713534590037E-3</v>
      </c>
      <c r="N4" s="42"/>
      <c r="O4" s="50">
        <f>1-P4*$O$2</f>
        <v>0.83639045377989585</v>
      </c>
      <c r="P4" s="25">
        <v>0.19907057594409555</v>
      </c>
      <c r="Q4">
        <v>1</v>
      </c>
      <c r="R4">
        <f>$Q4*E4</f>
        <v>292287.7019687923</v>
      </c>
      <c r="S4">
        <f>(($Q4*$Q$2*E4)^2+(F4*$Q4)^2)^0.5</f>
        <v>21070.280203819653</v>
      </c>
      <c r="T4" s="3">
        <f>S4/R4</f>
        <v>7.2087467457215615E-2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0.97390914829858521</v>
      </c>
      <c r="Z4" s="8">
        <f>((S8/R5)^2+((S5*R8)/(R5^2))^2)^0.5</f>
        <v>2.7851436985066209E-3</v>
      </c>
      <c r="AA4" s="42"/>
    </row>
    <row r="5" spans="1:27" x14ac:dyDescent="0.25">
      <c r="B5">
        <v>1</v>
      </c>
      <c r="C5">
        <v>0.5</v>
      </c>
      <c r="D5" t="s">
        <v>23</v>
      </c>
      <c r="E5" s="1">
        <f>E4*$C5*$B5</f>
        <v>146143.85098439615</v>
      </c>
      <c r="F5" s="10">
        <f>((F4*$C5*$B5)^2+($C5*$B$2*E4)^2+($C$2*$B5*E4)^2)^0.5</f>
        <v>8262.7553882327793</v>
      </c>
      <c r="G5" s="3">
        <f>F5/E5</f>
        <v>5.6538508685630554E-2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23" t="s">
        <v>56</v>
      </c>
      <c r="L5" s="9">
        <f>1-H8/H5</f>
        <v>0.94183588825414466</v>
      </c>
      <c r="M5" s="3">
        <f>((I8/H5)^2+((I5*H8)/(H5^2))^2)^0.5</f>
        <v>3.2729268362403979E-3</v>
      </c>
      <c r="N5" s="3"/>
      <c r="O5" s="50">
        <f t="shared" ref="O5:O11" si="0">1-P5*$O$2</f>
        <v>0.83639045377989585</v>
      </c>
      <c r="P5" s="25">
        <v>0.19907057594409555</v>
      </c>
      <c r="Q5">
        <v>1</v>
      </c>
      <c r="R5">
        <f>R4*$C5*$B5</f>
        <v>146143.85098439615</v>
      </c>
      <c r="S5">
        <f>((S4*$C5*$B5)^2+($C5*$B$2*R4)^2+($C$2*$B5*R4)^2)^0.5</f>
        <v>11030.330437350609</v>
      </c>
      <c r="T5" s="3">
        <f>S5/R5</f>
        <v>7.5475843581871413E-2</v>
      </c>
      <c r="U5">
        <f>U4*$C5*$B5</f>
        <v>2920.9171684387597</v>
      </c>
      <c r="V5">
        <f>((V4*$C5*$B5)^2+($C5*$B$2*U4)^2+($C$2*$B5*U4)^2)^0.5</f>
        <v>187.72168709103767</v>
      </c>
      <c r="W5" s="3">
        <f>V5/U5</f>
        <v>6.4268062483735386E-2</v>
      </c>
      <c r="X5" s="23" t="s">
        <v>56</v>
      </c>
      <c r="Y5" s="9">
        <f>1-U8/U5</f>
        <v>0.94183588825414466</v>
      </c>
      <c r="Z5" s="3">
        <f>((V8/U5)^2+((V5*U8)/(U5^2))^2)^0.5</f>
        <v>5.2561744216972402E-3</v>
      </c>
      <c r="AA5" s="3"/>
    </row>
    <row r="6" spans="1:27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</row>
    <row r="7" spans="1:27" x14ac:dyDescent="0.25">
      <c r="B7">
        <v>1</v>
      </c>
      <c r="D7" t="s">
        <v>13</v>
      </c>
      <c r="E7">
        <v>7626.0350862150817</v>
      </c>
      <c r="F7">
        <v>396.15118277533173</v>
      </c>
      <c r="G7" s="3">
        <v>5.1947201697435101E-2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0.69564939164184658</v>
      </c>
      <c r="M7" s="3">
        <f>((M4*F19)^2+(L4*G19)^2)^0.5</f>
        <v>9.9502119897615232E-3</v>
      </c>
      <c r="O7" s="50">
        <f t="shared" si="0"/>
        <v>0.6075605328222996</v>
      </c>
      <c r="P7" s="25">
        <v>0.47749750891161086</v>
      </c>
      <c r="Q7">
        <v>1</v>
      </c>
      <c r="R7">
        <f>$Q7*E7</f>
        <v>7626.0350862150817</v>
      </c>
      <c r="S7">
        <f>(($Q7*$Q$2*E7)^2+(F7*$Q7)^2)^0.5</f>
        <v>549.84251150193268</v>
      </c>
      <c r="T7" s="3">
        <f>S7/R7</f>
        <v>7.210070571217736E-2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0.69564939164184658</v>
      </c>
      <c r="Z7" s="3">
        <f>((Z4*S19)^2+(Y4*T19)^2)^0.5</f>
        <v>1.0037095259567164E-2</v>
      </c>
    </row>
    <row r="8" spans="1:27" x14ac:dyDescent="0.25">
      <c r="B8">
        <v>1</v>
      </c>
      <c r="C8">
        <v>0.5</v>
      </c>
      <c r="D8" t="s">
        <v>40</v>
      </c>
      <c r="E8" s="10">
        <f>E7*$C8*$B8</f>
        <v>3813.0175431075409</v>
      </c>
      <c r="F8">
        <f>((F7*$C8*$B8)^2+($C8*$B$2*E7)^2+($C$2*$B8*E7)^2)^0.5</f>
        <v>215.64668162435635</v>
      </c>
      <c r="G8" s="3">
        <f>F8/E8</f>
        <v>5.6555386694761484E-2</v>
      </c>
      <c r="H8" s="10">
        <f>H7*$C8*$B8</f>
        <v>169.89255258545936</v>
      </c>
      <c r="I8">
        <f>((I7*$C8*$B8)^2+($C8*$B$2*H7)^2+($C$2*$B8*H7)^2)^0.5</f>
        <v>6.6583825719561842</v>
      </c>
      <c r="J8" s="3">
        <f>I8/H8</f>
        <v>3.9191727186551541E-2</v>
      </c>
      <c r="K8" s="22" t="s">
        <v>16</v>
      </c>
      <c r="L8" s="3">
        <f>L5*F19</f>
        <v>0.67273992018153195</v>
      </c>
      <c r="M8" s="3">
        <f>((M5*F19)^2+(L5*G19)^2)^0.5</f>
        <v>9.7969960555409196E-3</v>
      </c>
      <c r="O8" s="50">
        <f t="shared" si="0"/>
        <v>0.6075605328222996</v>
      </c>
      <c r="P8" s="25">
        <v>0.47749750891161086</v>
      </c>
      <c r="Q8">
        <v>1</v>
      </c>
      <c r="R8">
        <f>R7*$C8*$B8</f>
        <v>3813.0175431075409</v>
      </c>
      <c r="S8">
        <f>((S7*$C8*$B8)^2+($C8*$B$2*R7)^2+($C$2*$B8*R7)^2)^0.5</f>
        <v>287.83892762395982</v>
      </c>
      <c r="T8" s="3">
        <f>S8/R8</f>
        <v>7.5488487626882581E-2</v>
      </c>
      <c r="U8">
        <f>U7*$C8*$B8</f>
        <v>169.89255258545936</v>
      </c>
      <c r="V8">
        <f>((V7*$C8*$B8)^2+($C8*$B$2*U7)^2+($C$2*$B8*U7)^2)^0.5</f>
        <v>10.793181043350359</v>
      </c>
      <c r="W8" s="3">
        <f>V8/U8</f>
        <v>6.3529453640536554E-2</v>
      </c>
      <c r="X8" s="22" t="s">
        <v>16</v>
      </c>
      <c r="Y8" s="3">
        <f>Y5*S19</f>
        <v>0.67273992018153195</v>
      </c>
      <c r="Z8" s="3">
        <f>((Z5*S19)^2+(Y5*T19)^2)^0.5</f>
        <v>1.0227971292051026E-2</v>
      </c>
    </row>
    <row r="9" spans="1:27" x14ac:dyDescent="0.25">
      <c r="K9" s="22"/>
      <c r="M9" s="42"/>
      <c r="O9" s="50"/>
      <c r="P9" s="25"/>
      <c r="T9" s="3"/>
      <c r="W9" s="3"/>
      <c r="X9" s="22"/>
      <c r="Z9" s="42"/>
    </row>
    <row r="10" spans="1:27" x14ac:dyDescent="0.25">
      <c r="A10">
        <v>0.88120500000000002</v>
      </c>
      <c r="B10">
        <v>1</v>
      </c>
      <c r="D10" t="s">
        <v>12</v>
      </c>
      <c r="E10">
        <v>68646.494909022644</v>
      </c>
      <c r="F10">
        <v>3935.4233822051547</v>
      </c>
      <c r="G10" s="3">
        <v>5.7328832119116643E-2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0.37231144024037699</v>
      </c>
      <c r="P10" s="25">
        <v>0.76373491640131297</v>
      </c>
      <c r="Q10" s="52">
        <f>P14*P15</f>
        <v>0.35805773570083405</v>
      </c>
      <c r="R10">
        <f>$Q10*E10</f>
        <v>24579.40853092348</v>
      </c>
      <c r="S10">
        <f>(($Q10*$Q$2*E10)^2+(F10*$Q10)^2)^0.5</f>
        <v>1869.7475439246127</v>
      </c>
      <c r="T10" s="3">
        <f>S10/R10</f>
        <v>7.6069671960261931E-2</v>
      </c>
      <c r="U10">
        <f>$Q10*H10</f>
        <v>3209.5287184955173</v>
      </c>
      <c r="V10">
        <f>(($Q10*$Q$2*H10)^2+(I10*$Q10)^2)^0.5</f>
        <v>205.6115786372965</v>
      </c>
      <c r="W10" s="3">
        <f>V10/U10</f>
        <v>6.4062856784057057E-2</v>
      </c>
      <c r="X10" s="23"/>
      <c r="Y10" t="s">
        <v>51</v>
      </c>
    </row>
    <row r="11" spans="1:27" ht="15.75" thickBot="1" x14ac:dyDescent="0.3">
      <c r="A11" s="18"/>
      <c r="B11" s="18">
        <v>1</v>
      </c>
      <c r="C11" s="18">
        <v>0.5</v>
      </c>
      <c r="D11" s="18" t="s">
        <v>41</v>
      </c>
      <c r="E11" s="19">
        <f>E10*$C11*$B11</f>
        <v>34323.247454511322</v>
      </c>
      <c r="F11" s="18">
        <f>((F10*$C11*$B11)^2+($C11*$B$2*E10)^2+($C$2*$B11*E10)^2)^0.5</f>
        <v>2112.0918439342486</v>
      </c>
      <c r="G11" s="20">
        <f>F11/E11</f>
        <v>6.1535314999940166E-2</v>
      </c>
      <c r="H11" s="19">
        <f>H10*$C11*$B11</f>
        <v>4481.8592066073343</v>
      </c>
      <c r="I11" s="18">
        <f>((I10*$C11*$B11)^2+($C11*$B$2*H10)^2+($C$2*$B11*H10)^2)^0.5</f>
        <v>205.58252611767946</v>
      </c>
      <c r="J11" s="20">
        <f>I11/H11</f>
        <v>4.5869920637980233E-2</v>
      </c>
      <c r="K11" s="23" t="s">
        <v>19</v>
      </c>
      <c r="L11" s="2">
        <f>E11/E5</f>
        <v>0.23485933361764247</v>
      </c>
      <c r="M11" s="3">
        <f>((F11/E5)^2+((F5*E11)/(E5^2))^2)^0.5</f>
        <v>1.9626144903302046E-2</v>
      </c>
      <c r="N11" s="25"/>
      <c r="O11" s="51">
        <f t="shared" si="0"/>
        <v>0.37231144024037699</v>
      </c>
      <c r="P11" s="18">
        <v>0.76373491640131297</v>
      </c>
      <c r="Q11" s="53">
        <f>P14*P15</f>
        <v>0.35805773570083405</v>
      </c>
      <c r="R11" s="18">
        <f>R10*$C11*$B11</f>
        <v>12289.70426546174</v>
      </c>
      <c r="S11" s="18">
        <f>((S10*$C11*$B11)^2+($C11*$B$2*R10)^2+($C$2*$B11*R10)^2)^0.5</f>
        <v>974.42669553398662</v>
      </c>
      <c r="T11" s="20">
        <f>S11/R11</f>
        <v>7.9288050752568381E-2</v>
      </c>
      <c r="U11" s="18">
        <f>U10*$C11*$B11</f>
        <v>1604.7643592477586</v>
      </c>
      <c r="V11" s="18">
        <f>((V10*$C11*$B11)^2+($C11*$B$2*U10)^2+($C$2*$B11*U10)^2)^0.5</f>
        <v>108.88831269601998</v>
      </c>
      <c r="W11" s="20">
        <f>V11/U11</f>
        <v>6.785314745341299E-2</v>
      </c>
      <c r="X11" s="23" t="s">
        <v>19</v>
      </c>
      <c r="Y11" s="2">
        <f>R11/R5</f>
        <v>8.4093201203339837E-2</v>
      </c>
      <c r="Z11" s="3">
        <f>((S11/R5)^2+((S5*R11)/(R5^2))^2)^0.5</f>
        <v>9.2054972389223437E-3</v>
      </c>
      <c r="AA11" s="27"/>
    </row>
    <row r="12" spans="1:27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1.5344013363456326</v>
      </c>
      <c r="M12" s="3">
        <f>((I11/H5)^2+((I5*H11)/(H5^2))^2)^0.5</f>
        <v>9.3767282923244211E-2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0.54940426814825105</v>
      </c>
      <c r="Z12" s="3">
        <f>((V11/U5)^2+((V5*U11)/(U5^2))^2)^0.5</f>
        <v>5.1346329057488684E-2</v>
      </c>
    </row>
    <row r="13" spans="1:27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P13" s="35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</row>
    <row r="14" spans="1:27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37.327610437714256</v>
      </c>
      <c r="J14" s="6">
        <f>((F5/E8)^2+((F8*E5)/(E8^2))^2)^0.5</f>
        <v>3.0650383567390689</v>
      </c>
      <c r="K14" s="22" t="s">
        <v>65</v>
      </c>
      <c r="L14" s="3">
        <f>L11/F23</f>
        <v>0.28183120034117093</v>
      </c>
      <c r="M14" s="3">
        <f>((M11/F23)^2+((L11*G23)/(F23^2))^2)^0.5</f>
        <v>2.3886250792439938E-2</v>
      </c>
      <c r="O14" s="22"/>
      <c r="P14" s="35">
        <v>0.98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37.327610437714256</v>
      </c>
      <c r="W14" s="6">
        <f>((S5/R8)^2+((S8*R5)/(R8^2))^2)^0.5</f>
        <v>4.091392029322984</v>
      </c>
      <c r="X14" s="22" t="s">
        <v>65</v>
      </c>
      <c r="Y14" s="3">
        <f>Y11/S23</f>
        <v>0.1009118414440078</v>
      </c>
      <c r="Z14" s="3">
        <f>((Z11/S23)^2+((Y11*T23)/(S23^2))^2)^0.5</f>
        <v>1.1138399270428674E-2</v>
      </c>
    </row>
    <row r="15" spans="1:27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16.192732253342772</v>
      </c>
      <c r="J15">
        <f>((I5/H8)^2+((I8*H5)/(H8^2))^2)^0.5</f>
        <v>0.96744458208409134</v>
      </c>
      <c r="K15" s="22" t="s">
        <v>66</v>
      </c>
      <c r="L15" s="3">
        <f>L12/F23</f>
        <v>1.841281603614759</v>
      </c>
      <c r="M15" s="3">
        <f>((M12/F23)^2+((L12*G23)/(F23^2))^2)^0.5</f>
        <v>0.11549450380067941</v>
      </c>
      <c r="O15" s="22"/>
      <c r="P15" s="8">
        <f>L8/L15</f>
        <v>0.36536503642942253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16.192732253342772</v>
      </c>
      <c r="W15">
        <f>((V5/U8)^2+((V8*U5)/(U8^2))^2)^0.5</f>
        <v>1.5536728198303291</v>
      </c>
      <c r="X15" s="22" t="s">
        <v>66</v>
      </c>
      <c r="Y15" s="3">
        <f>Y12/S23</f>
        <v>0.65928512177790122</v>
      </c>
      <c r="Z15" s="3">
        <f>((Z12/S23)^2+((Y12*T23)/(S23^2))^2)^0.5</f>
        <v>6.2317035435092753E-2</v>
      </c>
    </row>
    <row r="16" spans="1:27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7.0723618757210325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</row>
    <row r="17" spans="4:30" x14ac:dyDescent="0.25">
      <c r="D17" s="6"/>
      <c r="E17" s="36"/>
      <c r="F17" s="37"/>
      <c r="G17" s="38"/>
      <c r="H17" t="s">
        <v>59</v>
      </c>
      <c r="I17">
        <f>I14*F16</f>
        <v>26.662578884081611</v>
      </c>
      <c r="J17">
        <f>((J14*F16)^2+(I14*G16)^2)^0.5</f>
        <v>2.2215468765557325</v>
      </c>
      <c r="K17" s="22" t="s">
        <v>70</v>
      </c>
      <c r="O17" s="22" t="str">
        <f>X26</f>
        <v>DrR Pu BExt</v>
      </c>
      <c r="P17" s="22">
        <f>Y26</f>
        <v>2.4489795918367641E-2</v>
      </c>
      <c r="Q17" s="6"/>
      <c r="R17" s="36"/>
      <c r="S17" s="37"/>
      <c r="T17" s="38"/>
      <c r="U17" t="s">
        <v>42</v>
      </c>
      <c r="V17">
        <f>V14*S16</f>
        <v>26.662578884081611</v>
      </c>
      <c r="W17">
        <f>((W14*S16)^2+(V14*T16)^2)^0.5</f>
        <v>2.9466479431586703</v>
      </c>
      <c r="X17" s="22" t="s">
        <v>70</v>
      </c>
    </row>
    <row r="18" spans="4:30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11.566237323816265</v>
      </c>
      <c r="J18">
        <f>((J15*F16)^2+(I15*G16)^2)^0.5</f>
        <v>0.71012715696986117</v>
      </c>
      <c r="K18" s="45" t="s">
        <v>71</v>
      </c>
      <c r="L18" s="3">
        <f>L14/L7</f>
        <v>0.40513397082976399</v>
      </c>
      <c r="M18">
        <f>((M14/L7)^2+((L14*M7)/(L7^2))^2)^0.5</f>
        <v>3.4822172609252411E-2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11.566237323816265</v>
      </c>
      <c r="W18">
        <f>((W15*S16)^2+(V15*T16)^2)^0.5</f>
        <v>1.1217561274683838</v>
      </c>
      <c r="X18" s="45" t="s">
        <v>71</v>
      </c>
      <c r="Y18" s="3">
        <f>Y14/Y7</f>
        <v>0.14506135225079306</v>
      </c>
      <c r="Z18">
        <f>((Z14/Y7)^2+((Y14*Z7)/(Y7^2))^2)^0.5</f>
        <v>1.6147730485340267E-2</v>
      </c>
      <c r="AA18" s="3"/>
    </row>
    <row r="19" spans="4:30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2.7369887654621539</v>
      </c>
      <c r="M19">
        <f>((M15/L8)^2+((L15*M8)/(L8^2))^2)^0.5</f>
        <v>0.17624400140239033</v>
      </c>
      <c r="O19" s="22"/>
      <c r="P19" s="35"/>
      <c r="Q19" s="6"/>
      <c r="R19" s="40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3">
        <f>Y15/Y8</f>
        <v>0.97999999999999987</v>
      </c>
      <c r="Z19">
        <f>((Z15/Y8)^2+((Y15*Z8)/(Y8^2))^2)^0.5</f>
        <v>9.3822287424382936E-2</v>
      </c>
      <c r="AC19" t="s">
        <v>91</v>
      </c>
    </row>
    <row r="20" spans="4:30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92</v>
      </c>
      <c r="AC20">
        <f>1/(1+T32)</f>
        <v>0.96385008049356347</v>
      </c>
      <c r="AD20">
        <f>U32/((1+T32)^2)</f>
        <v>3.8821282506105994E-3</v>
      </c>
    </row>
    <row r="21" spans="4:30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93</v>
      </c>
      <c r="AC21">
        <f>1/(1+T33)</f>
        <v>0.92042168437287564</v>
      </c>
      <c r="AD21">
        <f>U33/((1+T33)^2)</f>
        <v>7.1788794247066457E-3</v>
      </c>
    </row>
    <row r="22" spans="4:30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2.4683193017654816</v>
      </c>
      <c r="M22">
        <f>M18/(L18^2)</f>
        <v>0.2121575749493094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6.893634896434194</v>
      </c>
      <c r="Z22">
        <f>Z18/(Y18^2)</f>
        <v>0.76737571134386939</v>
      </c>
    </row>
    <row r="23" spans="4:30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0.36536503642942253</v>
      </c>
      <c r="M23">
        <f>M19/(L19^2)</f>
        <v>2.352709547274243E-2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1.0204081632653064</v>
      </c>
      <c r="Z23">
        <f>Z19/(Y19^2)</f>
        <v>9.7690844881698213E-2</v>
      </c>
      <c r="AC23" t="s">
        <v>94</v>
      </c>
    </row>
    <row r="24" spans="4:30" x14ac:dyDescent="0.25">
      <c r="D24" s="6"/>
      <c r="H24" s="6"/>
      <c r="I24" s="6"/>
      <c r="J24" s="6"/>
      <c r="K24" s="22"/>
      <c r="O24" s="22"/>
      <c r="P24" s="25"/>
      <c r="X24" s="22"/>
      <c r="AB24" t="s">
        <v>92</v>
      </c>
      <c r="AC24">
        <f>1/(1+T41)</f>
        <v>0.12387948104849783</v>
      </c>
      <c r="AD24">
        <f>U41/((1+T41)^2)</f>
        <v>1.4327532547514834E-2</v>
      </c>
    </row>
    <row r="25" spans="4:30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1.761983162118578</v>
      </c>
      <c r="M25">
        <f>((L22*G25)^2+(M22*F25)^2)^0.5</f>
        <v>0.25801215778833031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7.0723618757210325</v>
      </c>
      <c r="Z25">
        <f>((Y22*T25)^2+(Z22*S25)^2)^0.5</f>
        <v>0.92825249194371151</v>
      </c>
      <c r="AB25" t="s">
        <v>93</v>
      </c>
      <c r="AC25">
        <f>1/(1+T42)</f>
        <v>0.97609561752988017</v>
      </c>
      <c r="AD25">
        <f>U42/((1+T42)^2)</f>
        <v>0.11290392909443071</v>
      </c>
    </row>
    <row r="26" spans="4:30" ht="15.75" thickBot="1" x14ac:dyDescent="0.3">
      <c r="K26" s="22" t="s">
        <v>74</v>
      </c>
      <c r="L26">
        <f>(L23-1)*F25</f>
        <v>-0.76156195628469292</v>
      </c>
      <c r="M26">
        <f>((L23*G25)^2+(M23*F25)^2)^0.5</f>
        <v>2.8905370823216831E-2</v>
      </c>
      <c r="O26" s="22"/>
      <c r="R26" s="55" t="s">
        <v>77</v>
      </c>
      <c r="S26" s="56"/>
      <c r="T26" s="56"/>
      <c r="U26" s="56"/>
      <c r="V26" s="37"/>
      <c r="W26" s="30" t="s">
        <v>4</v>
      </c>
      <c r="X26" s="22" t="s">
        <v>74</v>
      </c>
      <c r="Y26">
        <f>(Y23-1)*S25</f>
        <v>2.4489795918367641E-2</v>
      </c>
      <c r="Z26">
        <f>((Y23*T25)^2+(Z23*S25)^2)^0.5</f>
        <v>0.11850112548912636</v>
      </c>
      <c r="AC26" t="s">
        <v>95</v>
      </c>
    </row>
    <row r="27" spans="4:30" x14ac:dyDescent="0.25">
      <c r="R27" s="31" t="s">
        <v>78</v>
      </c>
      <c r="S27" s="25"/>
      <c r="T27" s="30" t="s">
        <v>4</v>
      </c>
      <c r="U27" s="25" t="s">
        <v>79</v>
      </c>
      <c r="V27" s="25">
        <f>1/V17</f>
        <v>3.7505749325584974E-2</v>
      </c>
      <c r="W27" s="27">
        <f>W17/(V17^2)</f>
        <v>4.1449943603482885E-3</v>
      </c>
      <c r="Z27" s="4"/>
      <c r="AB27" t="s">
        <v>92</v>
      </c>
      <c r="AC27">
        <f>AC24*AC20</f>
        <v>0.1194012477800955</v>
      </c>
      <c r="AD27">
        <f>((AD20*AC24)^2+(AD24*AC20)^2)^0.5</f>
        <v>1.3817964759036355E-2</v>
      </c>
    </row>
    <row r="28" spans="4:30" x14ac:dyDescent="0.25">
      <c r="R28" s="22" t="s">
        <v>80</v>
      </c>
      <c r="S28" s="25">
        <v>0.5</v>
      </c>
      <c r="T28" s="25">
        <f>S28*$C$2</f>
        <v>5.0000000000000001E-3</v>
      </c>
      <c r="U28" s="25" t="s">
        <v>81</v>
      </c>
      <c r="V28" s="25">
        <f>1/V18</f>
        <v>8.6458540664808986E-2</v>
      </c>
      <c r="W28" s="27">
        <f>W18/(V18^2)</f>
        <v>8.3852159563611393E-3</v>
      </c>
      <c r="AB28" t="s">
        <v>93</v>
      </c>
      <c r="AC28">
        <f>AC25*AC21</f>
        <v>0.89841957239583448</v>
      </c>
      <c r="AD28">
        <f>((AD21*AC25)^2+(AD25*AC21)^2)^0.5</f>
        <v>0.10415520683379512</v>
      </c>
    </row>
    <row r="29" spans="4:30" x14ac:dyDescent="0.25">
      <c r="R29" s="31" t="s">
        <v>82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30" x14ac:dyDescent="0.25">
      <c r="R30" s="22" t="s">
        <v>83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30" x14ac:dyDescent="0.25">
      <c r="R31" s="22"/>
      <c r="S31" s="25"/>
      <c r="T31" s="25"/>
      <c r="U31" s="48" t="s">
        <v>4</v>
      </c>
      <c r="V31" s="25"/>
      <c r="W31" s="27"/>
    </row>
    <row r="32" spans="4:30" x14ac:dyDescent="0.25">
      <c r="R32" s="22" t="s">
        <v>84</v>
      </c>
      <c r="S32" s="25"/>
      <c r="T32" s="25">
        <f>S30*V27</f>
        <v>3.7505749325584974E-2</v>
      </c>
      <c r="U32" s="25">
        <f>((S$30*W27)^2+(T$30*V27)^2)^0.5</f>
        <v>4.1787934255971349E-3</v>
      </c>
      <c r="V32" s="25"/>
      <c r="W32" s="27"/>
    </row>
    <row r="33" spans="18:23" ht="15.75" thickBot="1" x14ac:dyDescent="0.3">
      <c r="R33" s="24" t="s">
        <v>85</v>
      </c>
      <c r="S33" s="18"/>
      <c r="T33" s="18">
        <f>S30*V28</f>
        <v>8.6458540664808986E-2</v>
      </c>
      <c r="U33" s="18">
        <f>((S$30*W28)^2+(T$30*V28)^2)^0.5</f>
        <v>8.4738929946979579E-3</v>
      </c>
      <c r="V33" s="18"/>
      <c r="W33" s="41"/>
    </row>
    <row r="34" spans="18:23" ht="15.75" thickBot="1" x14ac:dyDescent="0.3"/>
    <row r="35" spans="18:23" ht="15.75" thickBot="1" x14ac:dyDescent="0.3">
      <c r="R35" s="55" t="s">
        <v>86</v>
      </c>
      <c r="S35" s="56"/>
      <c r="T35" s="56"/>
      <c r="U35" s="56"/>
      <c r="V35" s="37"/>
      <c r="W35" s="30" t="s">
        <v>4</v>
      </c>
    </row>
    <row r="36" spans="18:23" x14ac:dyDescent="0.25">
      <c r="R36" s="31" t="s">
        <v>78</v>
      </c>
      <c r="S36" s="25"/>
      <c r="T36" s="30" t="s">
        <v>4</v>
      </c>
      <c r="U36" s="25" t="s">
        <v>42</v>
      </c>
      <c r="V36" s="25">
        <f>Y25</f>
        <v>7.0723618757210325</v>
      </c>
      <c r="W36" s="27">
        <f>Z25</f>
        <v>0.92825249194371151</v>
      </c>
    </row>
    <row r="37" spans="18:23" x14ac:dyDescent="0.25">
      <c r="R37" s="22" t="s">
        <v>80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2.4489795918367641E-2</v>
      </c>
      <c r="W37" s="27">
        <f>Z26</f>
        <v>0.11850112548912636</v>
      </c>
    </row>
    <row r="38" spans="18:23" x14ac:dyDescent="0.25">
      <c r="R38" s="31" t="s">
        <v>87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23" x14ac:dyDescent="0.25">
      <c r="R39" s="22" t="s">
        <v>88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23" x14ac:dyDescent="0.25">
      <c r="R40" s="22"/>
      <c r="S40" s="25"/>
      <c r="T40" s="25"/>
      <c r="U40" s="48" t="s">
        <v>4</v>
      </c>
      <c r="V40" s="25"/>
      <c r="W40" s="27"/>
    </row>
    <row r="41" spans="18:23" x14ac:dyDescent="0.25">
      <c r="R41" s="22" t="s">
        <v>89</v>
      </c>
      <c r="S41" s="25"/>
      <c r="T41" s="25">
        <f>S39*V36</f>
        <v>7.0723618757210325</v>
      </c>
      <c r="U41" s="25">
        <f>((S$30*W36)^2+(T$30*V36)^2)^0.5</f>
        <v>0.9336253795286098</v>
      </c>
      <c r="V41" s="25"/>
      <c r="W41" s="27"/>
    </row>
    <row r="42" spans="18:23" ht="15.75" thickBot="1" x14ac:dyDescent="0.3">
      <c r="R42" s="24" t="s">
        <v>90</v>
      </c>
      <c r="S42" s="18"/>
      <c r="T42" s="18">
        <f>S39*V37</f>
        <v>2.4489795918367641E-2</v>
      </c>
      <c r="U42" s="18">
        <f>((S$30*W37)^2+(T$30*V37)^2)^0.5</f>
        <v>0.11850163160146994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Exp2</vt:lpstr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2016-04-20T02:56:56Z</dcterms:modified>
</cp:coreProperties>
</file>