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excelbudget\"/>
    </mc:Choice>
  </mc:AlternateContent>
  <xr:revisionPtr revIDLastSave="0" documentId="13_ncr:1_{3FA36687-0A79-4544-B821-1677C4CE37AD}" xr6:coauthVersionLast="47" xr6:coauthVersionMax="47" xr10:uidLastSave="{00000000-0000-0000-0000-000000000000}"/>
  <bookViews>
    <workbookView xWindow="-110" yWindow="-110" windowWidth="38620" windowHeight="21100" tabRatio="797" activeTab="1" xr2:uid="{C88FE53F-2AC6-481E-80CC-17C81C708257}"/>
  </bookViews>
  <sheets>
    <sheet name="Register" sheetId="28" r:id="rId1"/>
    <sheet name="Budget" sheetId="27" r:id="rId2"/>
  </sheets>
  <definedNames>
    <definedName name="CategoriesList">ActualTable[Category]</definedName>
    <definedName name="OpeningBalance">RegisterTable[[#Headers],[$10,000.00]]</definedName>
    <definedName name="RecValueList">#REF!</definedName>
    <definedName name="RegisterOpeningBalance">Register!$C$4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7" l="1" a="1"/>
  <c r="B12" i="27" s="1"/>
  <c r="Q27" i="27"/>
  <c r="Q28" i="27"/>
  <c r="Q29" i="27"/>
  <c r="Q30" i="27"/>
  <c r="Q31" i="27"/>
  <c r="Q32" i="27"/>
  <c r="Q33" i="27"/>
  <c r="Q34" i="27"/>
  <c r="Q35" i="27"/>
  <c r="Q36" i="27"/>
  <c r="Q37" i="27"/>
  <c r="Q38" i="27"/>
  <c r="Q39" i="27"/>
  <c r="Q40" i="27"/>
  <c r="Q41" i="27"/>
  <c r="C12" i="27" a="1"/>
  <c r="C12" i="27" s="1"/>
  <c r="D12" i="27" a="1"/>
  <c r="D12" i="27" s="1"/>
  <c r="E12" i="27" a="1"/>
  <c r="E12" i="27" s="1"/>
  <c r="F12" i="27" a="1"/>
  <c r="F12" i="27" s="1"/>
  <c r="G12" i="27" a="1"/>
  <c r="G12" i="27" s="1"/>
  <c r="H12" i="27" a="1"/>
  <c r="H12" i="27" s="1"/>
  <c r="I12" i="27" a="1"/>
  <c r="I12" i="27" s="1"/>
  <c r="J12" i="27" a="1"/>
  <c r="J12" i="27" s="1"/>
  <c r="K12" i="27" a="1"/>
  <c r="K12" i="27" s="1"/>
  <c r="L12" i="27" a="1"/>
  <c r="L12" i="27" s="1"/>
  <c r="M12" i="27" a="1"/>
  <c r="M12" i="27" s="1"/>
  <c r="N12" i="27" a="1"/>
  <c r="N12" i="27" s="1"/>
  <c r="O12" i="27" a="1"/>
  <c r="O12" i="27" s="1"/>
  <c r="P12" i="27" a="1"/>
  <c r="P12" i="27" s="1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N7" i="27" s="1" a="1"/>
  <c r="N7" i="27" s="1"/>
  <c r="H38" i="28"/>
  <c r="I18" i="27" s="1" a="1"/>
  <c r="I18" i="27" s="1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B20" i="27" s="1" a="1"/>
  <c r="B20" i="27" s="1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H92" i="28"/>
  <c r="M7" i="27" a="1"/>
  <c r="M7" i="27" s="1"/>
  <c r="J10" i="27" a="1"/>
  <c r="J10" i="27" s="1"/>
  <c r="M13" i="27" a="1"/>
  <c r="M13" i="27" s="1"/>
  <c r="N13" i="27" a="1"/>
  <c r="N13" i="27" s="1"/>
  <c r="C16" i="27" a="1"/>
  <c r="C16" i="27" s="1"/>
  <c r="D16" i="27" a="1"/>
  <c r="D16" i="27" s="1"/>
  <c r="O17" i="27" a="1"/>
  <c r="O17" i="27" s="1"/>
  <c r="G18" i="27" a="1"/>
  <c r="G18" i="27" s="1"/>
  <c r="H18" i="27" a="1"/>
  <c r="H18" i="27" s="1"/>
  <c r="C20" i="27" a="1"/>
  <c r="C20" i="27" s="1"/>
  <c r="E20" i="27" a="1"/>
  <c r="E20" i="27" s="1"/>
  <c r="F20" i="27" a="1"/>
  <c r="F20" i="27" s="1"/>
  <c r="G20" i="27" a="1"/>
  <c r="G20" i="27" s="1"/>
  <c r="H20" i="27" a="1"/>
  <c r="H20" i="27" s="1"/>
  <c r="I20" i="27" a="1"/>
  <c r="I20" i="27" s="1"/>
  <c r="K20" i="27" a="1"/>
  <c r="K20" i="27" s="1"/>
  <c r="L20" i="27" a="1"/>
  <c r="L20" i="27" s="1"/>
  <c r="N20" i="27" a="1"/>
  <c r="N20" i="27" s="1"/>
  <c r="O20" i="27" a="1"/>
  <c r="O20" i="27" s="1"/>
  <c r="P20" i="27" a="1"/>
  <c r="P20" i="27" s="1"/>
  <c r="B5" i="27" a="1"/>
  <c r="B5" i="27" s="1"/>
  <c r="B6" i="27" a="1"/>
  <c r="B6" i="27" s="1"/>
  <c r="B7" i="27" a="1"/>
  <c r="B7" i="27" s="1"/>
  <c r="B8" i="27" a="1"/>
  <c r="B8" i="27" s="1"/>
  <c r="B9" i="27" a="1"/>
  <c r="B9" i="27" s="1"/>
  <c r="B10" i="27" a="1"/>
  <c r="B10" i="27" s="1"/>
  <c r="B11" i="27" a="1"/>
  <c r="B11" i="27" s="1"/>
  <c r="B13" i="27" a="1"/>
  <c r="B13" i="27" s="1"/>
  <c r="B14" i="27" a="1"/>
  <c r="B14" i="27" s="1"/>
  <c r="B15" i="27" a="1"/>
  <c r="B15" i="27" s="1"/>
  <c r="Q26" i="27"/>
  <c r="B42" i="27" a="1"/>
  <c r="B42" i="27" s="1"/>
  <c r="I7" i="28"/>
  <c r="C4" i="28"/>
  <c r="Q12" i="27" l="1"/>
  <c r="I10" i="27" a="1"/>
  <c r="I10" i="27" s="1"/>
  <c r="L7" i="27" a="1"/>
  <c r="L7" i="27" s="1"/>
  <c r="J20" i="27" a="1"/>
  <c r="J20" i="27" s="1"/>
  <c r="F18" i="27" a="1"/>
  <c r="F18" i="27" s="1"/>
  <c r="P15" i="27" a="1"/>
  <c r="P15" i="27" s="1"/>
  <c r="L13" i="27" a="1"/>
  <c r="L13" i="27" s="1"/>
  <c r="H10" i="27" a="1"/>
  <c r="H10" i="27" s="1"/>
  <c r="K7" i="27" a="1"/>
  <c r="K7" i="27" s="1"/>
  <c r="E18" i="27" a="1"/>
  <c r="E18" i="27" s="1"/>
  <c r="O15" i="27" a="1"/>
  <c r="O15" i="27" s="1"/>
  <c r="K13" i="27" a="1"/>
  <c r="K13" i="27" s="1"/>
  <c r="G10" i="27" a="1"/>
  <c r="G10" i="27" s="1"/>
  <c r="J7" i="27" a="1"/>
  <c r="J7" i="27" s="1"/>
  <c r="D18" i="27" a="1"/>
  <c r="D18" i="27" s="1"/>
  <c r="N15" i="27" a="1"/>
  <c r="N15" i="27" s="1"/>
  <c r="J13" i="27" a="1"/>
  <c r="J13" i="27" s="1"/>
  <c r="F10" i="27" a="1"/>
  <c r="F10" i="27" s="1"/>
  <c r="I7" i="27" a="1"/>
  <c r="I7" i="27" s="1"/>
  <c r="C18" i="27" a="1"/>
  <c r="C18" i="27" s="1"/>
  <c r="M15" i="27" a="1"/>
  <c r="M15" i="27" s="1"/>
  <c r="I13" i="27" a="1"/>
  <c r="I13" i="27" s="1"/>
  <c r="E10" i="27" a="1"/>
  <c r="E10" i="27" s="1"/>
  <c r="H7" i="27" a="1"/>
  <c r="H7" i="27" s="1"/>
  <c r="P17" i="27" a="1"/>
  <c r="P17" i="27" s="1"/>
  <c r="L15" i="27" a="1"/>
  <c r="L15" i="27" s="1"/>
  <c r="H13" i="27" a="1"/>
  <c r="H13" i="27" s="1"/>
  <c r="D10" i="27" a="1"/>
  <c r="D10" i="27" s="1"/>
  <c r="G7" i="27" a="1"/>
  <c r="G7" i="27" s="1"/>
  <c r="G13" i="27" a="1"/>
  <c r="G13" i="27" s="1"/>
  <c r="C10" i="27" a="1"/>
  <c r="C10" i="27" s="1"/>
  <c r="F7" i="27" a="1"/>
  <c r="F7" i="27" s="1"/>
  <c r="N17" i="27" a="1"/>
  <c r="N17" i="27" s="1"/>
  <c r="J15" i="27" a="1"/>
  <c r="J15" i="27" s="1"/>
  <c r="F13" i="27" a="1"/>
  <c r="F13" i="27" s="1"/>
  <c r="P9" i="27" a="1"/>
  <c r="P9" i="27" s="1"/>
  <c r="H5" i="27" a="1"/>
  <c r="H5" i="27" s="1"/>
  <c r="M17" i="27" a="1"/>
  <c r="M17" i="27" s="1"/>
  <c r="I15" i="27" a="1"/>
  <c r="I15" i="27" s="1"/>
  <c r="E13" i="27" a="1"/>
  <c r="E13" i="27" s="1"/>
  <c r="O9" i="27" a="1"/>
  <c r="O9" i="27" s="1"/>
  <c r="M5" i="27" a="1"/>
  <c r="M5" i="27" s="1"/>
  <c r="P19" i="27" a="1"/>
  <c r="P19" i="27" s="1"/>
  <c r="L17" i="27" a="1"/>
  <c r="L17" i="27" s="1"/>
  <c r="H15" i="27" a="1"/>
  <c r="H15" i="27" s="1"/>
  <c r="D13" i="27" a="1"/>
  <c r="D13" i="27" s="1"/>
  <c r="N9" i="27" a="1"/>
  <c r="N9" i="27" s="1"/>
  <c r="O19" i="27" a="1"/>
  <c r="O19" i="27" s="1"/>
  <c r="K17" i="27" a="1"/>
  <c r="K17" i="27" s="1"/>
  <c r="G15" i="27" a="1"/>
  <c r="G15" i="27" s="1"/>
  <c r="C13" i="27" a="1"/>
  <c r="C13" i="27" s="1"/>
  <c r="M9" i="27" a="1"/>
  <c r="M9" i="27" s="1"/>
  <c r="N19" i="27" a="1"/>
  <c r="N19" i="27" s="1"/>
  <c r="J17" i="27" a="1"/>
  <c r="J17" i="27" s="1"/>
  <c r="F15" i="27" a="1"/>
  <c r="F15" i="27" s="1"/>
  <c r="P11" i="27" a="1"/>
  <c r="P11" i="27" s="1"/>
  <c r="L9" i="27" a="1"/>
  <c r="L9" i="27" s="1"/>
  <c r="M19" i="27" a="1"/>
  <c r="M19" i="27" s="1"/>
  <c r="I17" i="27" a="1"/>
  <c r="I17" i="27" s="1"/>
  <c r="E15" i="27" a="1"/>
  <c r="E15" i="27" s="1"/>
  <c r="O11" i="27" a="1"/>
  <c r="O11" i="27" s="1"/>
  <c r="K9" i="27" a="1"/>
  <c r="K9" i="27" s="1"/>
  <c r="D20" i="27" a="1"/>
  <c r="D20" i="27" s="1"/>
  <c r="B19" i="27" a="1"/>
  <c r="B19" i="27" s="1"/>
  <c r="L19" i="27" a="1"/>
  <c r="L19" i="27" s="1"/>
  <c r="H17" i="27" a="1"/>
  <c r="H17" i="27" s="1"/>
  <c r="D15" i="27" a="1"/>
  <c r="D15" i="27" s="1"/>
  <c r="N11" i="27" a="1"/>
  <c r="N11" i="27" s="1"/>
  <c r="J9" i="27" a="1"/>
  <c r="J9" i="27" s="1"/>
  <c r="K15" i="27" a="1"/>
  <c r="K15" i="27" s="1"/>
  <c r="B18" i="27" a="1"/>
  <c r="B18" i="27" s="1"/>
  <c r="K19" i="27" a="1"/>
  <c r="K19" i="27" s="1"/>
  <c r="G17" i="27" a="1"/>
  <c r="G17" i="27" s="1"/>
  <c r="C15" i="27" a="1"/>
  <c r="C15" i="27" s="1"/>
  <c r="M11" i="27" a="1"/>
  <c r="M11" i="27" s="1"/>
  <c r="H9" i="27" a="1"/>
  <c r="H9" i="27" s="1"/>
  <c r="B17" i="27" a="1"/>
  <c r="B17" i="27" s="1"/>
  <c r="J19" i="27" a="1"/>
  <c r="J19" i="27" s="1"/>
  <c r="F17" i="27" a="1"/>
  <c r="F17" i="27" s="1"/>
  <c r="P14" i="27" a="1"/>
  <c r="P14" i="27" s="1"/>
  <c r="L11" i="27" a="1"/>
  <c r="L11" i="27" s="1"/>
  <c r="G9" i="27" a="1"/>
  <c r="G9" i="27" s="1"/>
  <c r="B16" i="27" a="1"/>
  <c r="B16" i="27" s="1"/>
  <c r="I19" i="27" a="1"/>
  <c r="I19" i="27" s="1"/>
  <c r="E17" i="27" a="1"/>
  <c r="E17" i="27" s="1"/>
  <c r="O14" i="27" a="1"/>
  <c r="O14" i="27" s="1"/>
  <c r="K11" i="27" a="1"/>
  <c r="K11" i="27" s="1"/>
  <c r="E9" i="27" a="1"/>
  <c r="E9" i="27" s="1"/>
  <c r="H19" i="27" a="1"/>
  <c r="H19" i="27" s="1"/>
  <c r="D17" i="27" a="1"/>
  <c r="D17" i="27" s="1"/>
  <c r="N14" i="27" a="1"/>
  <c r="N14" i="27" s="1"/>
  <c r="J11" i="27" a="1"/>
  <c r="J11" i="27" s="1"/>
  <c r="C9" i="27" a="1"/>
  <c r="C9" i="27" s="1"/>
  <c r="G19" i="27" a="1"/>
  <c r="G19" i="27" s="1"/>
  <c r="C17" i="27" a="1"/>
  <c r="C17" i="27" s="1"/>
  <c r="M14" i="27" a="1"/>
  <c r="M14" i="27" s="1"/>
  <c r="I11" i="27" a="1"/>
  <c r="I11" i="27" s="1"/>
  <c r="O8" i="27" a="1"/>
  <c r="O8" i="27" s="1"/>
  <c r="F19" i="27" a="1"/>
  <c r="F19" i="27" s="1"/>
  <c r="P16" i="27" a="1"/>
  <c r="P16" i="27" s="1"/>
  <c r="L14" i="27" a="1"/>
  <c r="L14" i="27" s="1"/>
  <c r="H11" i="27" a="1"/>
  <c r="H11" i="27" s="1"/>
  <c r="N8" i="27" a="1"/>
  <c r="N8" i="27" s="1"/>
  <c r="E19" i="27" a="1"/>
  <c r="E19" i="27" s="1"/>
  <c r="O16" i="27" a="1"/>
  <c r="O16" i="27" s="1"/>
  <c r="K14" i="27" a="1"/>
  <c r="K14" i="27" s="1"/>
  <c r="G11" i="27" a="1"/>
  <c r="G11" i="27" s="1"/>
  <c r="M8" i="27" a="1"/>
  <c r="M8" i="27" s="1"/>
  <c r="D19" i="27" a="1"/>
  <c r="D19" i="27" s="1"/>
  <c r="N16" i="27" a="1"/>
  <c r="N16" i="27" s="1"/>
  <c r="J14" i="27" a="1"/>
  <c r="J14" i="27" s="1"/>
  <c r="F11" i="27" a="1"/>
  <c r="F11" i="27" s="1"/>
  <c r="L8" i="27" a="1"/>
  <c r="L8" i="27" s="1"/>
  <c r="C19" i="27" a="1"/>
  <c r="C19" i="27" s="1"/>
  <c r="M16" i="27" a="1"/>
  <c r="M16" i="27" s="1"/>
  <c r="I14" i="27" a="1"/>
  <c r="I14" i="27" s="1"/>
  <c r="E11" i="27" a="1"/>
  <c r="E11" i="27" s="1"/>
  <c r="K8" i="27" a="1"/>
  <c r="K8" i="27" s="1"/>
  <c r="P18" i="27" a="1"/>
  <c r="P18" i="27" s="1"/>
  <c r="L16" i="27" a="1"/>
  <c r="L16" i="27" s="1"/>
  <c r="H14" i="27" a="1"/>
  <c r="H14" i="27" s="1"/>
  <c r="D11" i="27" a="1"/>
  <c r="D11" i="27" s="1"/>
  <c r="J8" i="27" a="1"/>
  <c r="J8" i="27" s="1"/>
  <c r="O18" i="27" a="1"/>
  <c r="O18" i="27" s="1"/>
  <c r="K16" i="27" a="1"/>
  <c r="K16" i="27" s="1"/>
  <c r="G14" i="27" a="1"/>
  <c r="G14" i="27" s="1"/>
  <c r="C11" i="27" a="1"/>
  <c r="C11" i="27" s="1"/>
  <c r="H8" i="27" a="1"/>
  <c r="H8" i="27" s="1"/>
  <c r="N18" i="27" a="1"/>
  <c r="N18" i="27" s="1"/>
  <c r="J16" i="27" a="1"/>
  <c r="J16" i="27" s="1"/>
  <c r="F14" i="27" a="1"/>
  <c r="F14" i="27" s="1"/>
  <c r="P10" i="27" a="1"/>
  <c r="P10" i="27" s="1"/>
  <c r="G8" i="27" a="1"/>
  <c r="G8" i="27" s="1"/>
  <c r="M18" i="27" a="1"/>
  <c r="M18" i="27" s="1"/>
  <c r="I16" i="27" a="1"/>
  <c r="I16" i="27" s="1"/>
  <c r="E14" i="27" a="1"/>
  <c r="E14" i="27" s="1"/>
  <c r="O10" i="27" a="1"/>
  <c r="O10" i="27" s="1"/>
  <c r="F8" i="27" a="1"/>
  <c r="F8" i="27" s="1"/>
  <c r="L18" i="27" a="1"/>
  <c r="L18" i="27" s="1"/>
  <c r="H16" i="27" a="1"/>
  <c r="H16" i="27" s="1"/>
  <c r="D14" i="27" a="1"/>
  <c r="D14" i="27" s="1"/>
  <c r="N10" i="27" a="1"/>
  <c r="N10" i="27" s="1"/>
  <c r="D8" i="27" a="1"/>
  <c r="D8" i="27" s="1"/>
  <c r="K18" i="27" a="1"/>
  <c r="K18" i="27" s="1"/>
  <c r="G16" i="27" a="1"/>
  <c r="G16" i="27" s="1"/>
  <c r="C14" i="27" a="1"/>
  <c r="C14" i="27" s="1"/>
  <c r="M10" i="27" a="1"/>
  <c r="M10" i="27" s="1"/>
  <c r="C8" i="27" a="1"/>
  <c r="C8" i="27" s="1"/>
  <c r="J18" i="27" a="1"/>
  <c r="J18" i="27" s="1"/>
  <c r="F16" i="27" a="1"/>
  <c r="F16" i="27" s="1"/>
  <c r="P13" i="27" a="1"/>
  <c r="P13" i="27" s="1"/>
  <c r="L10" i="27" a="1"/>
  <c r="L10" i="27" s="1"/>
  <c r="O7" i="27" a="1"/>
  <c r="O7" i="27" s="1"/>
  <c r="M20" i="27" a="1"/>
  <c r="M20" i="27" s="1"/>
  <c r="E16" i="27" a="1"/>
  <c r="E16" i="27" s="1"/>
  <c r="O13" i="27" a="1"/>
  <c r="O13" i="27" s="1"/>
  <c r="K10" i="27" a="1"/>
  <c r="K10" i="27" s="1"/>
  <c r="L5" i="27" a="1"/>
  <c r="L5" i="27" s="1"/>
  <c r="K5" i="27" a="1"/>
  <c r="K5" i="27" s="1"/>
  <c r="J5" i="27" a="1"/>
  <c r="J5" i="27" s="1"/>
  <c r="I5" i="27" a="1"/>
  <c r="I5" i="27" s="1"/>
  <c r="G5" i="27" a="1"/>
  <c r="G5" i="27" s="1"/>
  <c r="F5" i="27" a="1"/>
  <c r="F5" i="27" s="1"/>
  <c r="E5" i="27" a="1"/>
  <c r="E5" i="27" s="1"/>
  <c r="D5" i="27" a="1"/>
  <c r="D5" i="27" s="1"/>
  <c r="C5" i="27" a="1"/>
  <c r="C5" i="27" s="1"/>
  <c r="I9" i="27" a="1"/>
  <c r="I9" i="27" s="1"/>
  <c r="E7" i="27" a="1"/>
  <c r="E7" i="27" s="1"/>
  <c r="D7" i="27" a="1"/>
  <c r="D7" i="27" s="1"/>
  <c r="F9" i="27" a="1"/>
  <c r="F9" i="27" s="1"/>
  <c r="C7" i="27" a="1"/>
  <c r="C7" i="27" s="1"/>
  <c r="P6" i="27" a="1"/>
  <c r="P6" i="27" s="1"/>
  <c r="D9" i="27" a="1"/>
  <c r="D9" i="27" s="1"/>
  <c r="O6" i="27" a="1"/>
  <c r="O6" i="27" s="1"/>
  <c r="N6" i="27" a="1"/>
  <c r="N6" i="27" s="1"/>
  <c r="P8" i="27" a="1"/>
  <c r="P8" i="27" s="1"/>
  <c r="M6" i="27" a="1"/>
  <c r="M6" i="27" s="1"/>
  <c r="L6" i="27" a="1"/>
  <c r="L6" i="27" s="1"/>
  <c r="K6" i="27" a="1"/>
  <c r="K6" i="27" s="1"/>
  <c r="J6" i="27" a="1"/>
  <c r="J6" i="27" s="1"/>
  <c r="I6" i="27" a="1"/>
  <c r="I6" i="27" s="1"/>
  <c r="H6" i="27" a="1"/>
  <c r="H6" i="27" s="1"/>
  <c r="G6" i="27" a="1"/>
  <c r="G6" i="27" s="1"/>
  <c r="I8" i="27" a="1"/>
  <c r="I8" i="27" s="1"/>
  <c r="F6" i="27" a="1"/>
  <c r="F6" i="27" s="1"/>
  <c r="E6" i="27" a="1"/>
  <c r="E6" i="27" s="1"/>
  <c r="D6" i="27" a="1"/>
  <c r="D6" i="27" s="1"/>
  <c r="C6" i="27" a="1"/>
  <c r="C6" i="27" s="1"/>
  <c r="E8" i="27" a="1"/>
  <c r="E8" i="27" s="1"/>
  <c r="P5" i="27" a="1"/>
  <c r="P5" i="27" s="1"/>
  <c r="O5" i="27" a="1"/>
  <c r="O5" i="27" s="1"/>
  <c r="N5" i="27" a="1"/>
  <c r="N5" i="27" s="1"/>
  <c r="P7" i="27" a="1"/>
  <c r="P7" i="27" s="1"/>
  <c r="I8" i="28"/>
  <c r="I9" i="28" s="1"/>
  <c r="I10" i="28" s="1"/>
  <c r="Q15" i="27" l="1"/>
  <c r="Q16" i="27"/>
  <c r="Q10" i="27"/>
  <c r="Q13" i="27"/>
  <c r="Q20" i="27"/>
  <c r="Q18" i="27"/>
  <c r="Q19" i="27"/>
  <c r="Q11" i="27"/>
  <c r="Q14" i="27"/>
  <c r="Q17" i="27"/>
  <c r="Q9" i="27"/>
  <c r="Q7" i="27"/>
  <c r="Q6" i="27"/>
  <c r="Q8" i="27"/>
  <c r="C42" i="27"/>
  <c r="D42" i="27" s="1"/>
  <c r="E42" i="27" s="1"/>
  <c r="F42" i="27" s="1"/>
  <c r="G42" i="27" s="1"/>
  <c r="H42" i="27" s="1"/>
  <c r="I42" i="27" s="1"/>
  <c r="J42" i="27" s="1"/>
  <c r="K42" i="27" s="1"/>
  <c r="L42" i="27" s="1"/>
  <c r="M42" i="27" s="1"/>
  <c r="N42" i="27" s="1"/>
  <c r="O42" i="27" s="1"/>
  <c r="P42" i="27" s="1"/>
  <c r="Q5" i="27" l="1"/>
  <c r="B21" i="27" a="1"/>
  <c r="B21" i="27" s="1"/>
  <c r="C21" i="27" l="1"/>
  <c r="D21" i="27" s="1"/>
  <c r="E21" i="27" s="1"/>
  <c r="F21" i="27" s="1"/>
  <c r="G21" i="27" s="1"/>
  <c r="H21" i="27" s="1"/>
  <c r="I21" i="27" s="1"/>
  <c r="J21" i="27" s="1"/>
  <c r="K21" i="27" s="1"/>
  <c r="L21" i="27" s="1"/>
  <c r="M21" i="27" s="1"/>
  <c r="N21" i="27" s="1"/>
  <c r="O21" i="27" s="1"/>
  <c r="P21" i="27" s="1"/>
  <c r="I11" i="28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I84" i="28" s="1"/>
  <c r="I85" i="28" s="1"/>
  <c r="I86" i="28" s="1"/>
  <c r="I87" i="28" s="1"/>
  <c r="I88" i="28" s="1"/>
  <c r="I89" i="28" s="1"/>
  <c r="I90" i="28" s="1"/>
  <c r="I91" i="28" s="1"/>
  <c r="I92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<sst xmlns="http://schemas.openxmlformats.org/spreadsheetml/2006/main" count="175" uniqueCount="70">
  <si>
    <t>Total</t>
  </si>
  <si>
    <t>Adjust</t>
  </si>
  <si>
    <t>Aug 2023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</si>
  <si>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</si>
  <si>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</si>
  <si>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</si>
  <si>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</si>
  <si>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</si>
  <si>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</si>
  <si>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</si>
  <si>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</si>
  <si>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</si>
  <si>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Sep 2023</t>
  </si>
  <si>
    <t>Oct 2023</t>
  </si>
  <si>
    <t>Nov 2023</t>
  </si>
  <si>
    <t>Dec 2023</t>
  </si>
  <si>
    <t>Totals</t>
  </si>
  <si>
    <t>Other Income</t>
  </si>
  <si>
    <t>Other Outlay</t>
  </si>
  <si>
    <t>Jan 2024</t>
  </si>
  <si>
    <t>Rent</t>
  </si>
  <si>
    <t>Utilities</t>
  </si>
  <si>
    <t>Furniture</t>
  </si>
  <si>
    <t>Applicances</t>
  </si>
  <si>
    <t>TV &amp; Internet</t>
  </si>
  <si>
    <t>Petrol</t>
  </si>
  <si>
    <t>Interest Income</t>
  </si>
  <si>
    <t>Date</t>
  </si>
  <si>
    <t>Credit</t>
  </si>
  <si>
    <t>Debit</t>
  </si>
  <si>
    <t>Category</t>
  </si>
  <si>
    <t>Budget</t>
  </si>
  <si>
    <t>Actual</t>
  </si>
  <si>
    <t>Net</t>
  </si>
  <si>
    <t>Groceries</t>
  </si>
  <si>
    <t>Computer Equipment</t>
  </si>
  <si>
    <t>Interest</t>
  </si>
  <si>
    <t>Rec</t>
  </si>
  <si>
    <t>Supplies</t>
  </si>
  <si>
    <t>Balance</t>
  </si>
  <si>
    <t>Opening Balance:</t>
  </si>
  <si>
    <t>Account Register</t>
  </si>
  <si>
    <t>Payee</t>
  </si>
  <si>
    <t>Notes</t>
  </si>
  <si>
    <t>Pet Supplies</t>
  </si>
  <si>
    <t>Salary</t>
  </si>
  <si>
    <t>$10,000.00</t>
  </si>
  <si>
    <t>Joe's Gas</t>
  </si>
  <si>
    <t>Mr. Big</t>
  </si>
  <si>
    <t>Mo Powah</t>
  </si>
  <si>
    <t>Sit On It!</t>
  </si>
  <si>
    <t>FreshEstEver</t>
  </si>
  <si>
    <t>Initech</t>
  </si>
  <si>
    <t>Hits &amp; Bits</t>
  </si>
  <si>
    <t>Fridges R Us</t>
  </si>
  <si>
    <t>The Range Ranger</t>
  </si>
  <si>
    <t>Furry Friends</t>
  </si>
  <si>
    <t>All Mart</t>
  </si>
  <si>
    <t>Amaze On</t>
  </si>
  <si>
    <t>New beanbag</t>
  </si>
  <si>
    <t>New beer fridge</t>
  </si>
  <si>
    <t>4K monitor</t>
  </si>
  <si>
    <t>Hot plate</t>
  </si>
  <si>
    <t>Camping chairs for living room</t>
  </si>
  <si>
    <t>Chips, dips, and drinks for the game</t>
  </si>
  <si>
    <t>New bunny carrier</t>
  </si>
  <si>
    <t>YESSSS!</t>
  </si>
  <si>
    <t>Bill the Bookie</t>
  </si>
  <si>
    <t>Bob's Burgers</t>
  </si>
  <si>
    <t>Dining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</si>
</sst>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14809]d\ mmm\ yyyy;@"/>
    <numFmt numFmtId="165" formatCode="m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0" borderId="6" applyNumberFormat="0" applyFill="0" applyAlignment="0" applyProtection="0"/>
  </cellStyleXfs>
  <cellXfs count="29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2" fillId="0" borderId="3" xfId="2" applyAlignment="1">
      <alignment horizontal="left"/>
    </xf>
    <xf numFmtId="8" fontId="0" fillId="0" borderId="0" xfId="0" applyNumberFormat="1" applyAlignment="1">
      <alignment horizontal="right"/>
    </xf>
    <xf numFmtId="0" fontId="5" fillId="0" borderId="6" xfId="3" applyAlignment="1">
      <alignment horizontal="left"/>
    </xf>
    <xf numFmtId="164" fontId="0" fillId="0" borderId="0" xfId="0" applyNumberFormat="1"/>
    <xf numFmtId="0" fontId="5" fillId="0" borderId="6" xfId="3" applyAlignment="1">
      <alignment horizontal="right"/>
    </xf>
    <xf numFmtId="0" fontId="5" fillId="0" borderId="6" xfId="3"/>
    <xf numFmtId="15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4" fillId="2" borderId="7" xfId="0" applyFont="1" applyFill="1" applyBorder="1"/>
    <xf numFmtId="8" fontId="6" fillId="0" borderId="0" xfId="0" applyNumberFormat="1" applyFont="1" applyAlignment="1">
      <alignment horizontal="right"/>
    </xf>
    <xf numFmtId="8" fontId="0" fillId="0" borderId="0" xfId="1" applyNumberFormat="1" applyFont="1" applyFill="1" applyAlignment="1">
      <alignment horizontal="right"/>
    </xf>
    <xf numFmtId="8" fontId="8" fillId="0" borderId="0" xfId="0" applyNumberFormat="1" applyFont="1" applyAlignment="1">
      <alignment horizontal="left"/>
    </xf>
    <xf numFmtId="0" fontId="7" fillId="0" borderId="0" xfId="0" applyFont="1"/>
    <xf numFmtId="165" fontId="0" fillId="0" borderId="0" xfId="0" applyNumberFormat="1" applyAlignment="1">
      <alignment horizontal="left"/>
    </xf>
    <xf numFmtId="8" fontId="9" fillId="0" borderId="0" xfId="0" applyNumberFormat="1" applyFont="1" applyAlignment="1">
      <alignment horizontal="right"/>
    </xf>
    <xf numFmtId="0" fontId="0" fillId="0" borderId="1" xfId="0" applyFont="1" applyFill="1" applyBorder="1" applyAlignment="1">
      <alignment horizontal="right"/>
    </xf>
    <xf numFmtId="8" fontId="0" fillId="0" borderId="0" xfId="0" applyNumberFormat="1" applyFill="1"/>
    <xf numFmtId="0" fontId="0" fillId="0" borderId="1" xfId="0" applyFill="1" applyBorder="1" applyAlignment="1">
      <alignment horizontal="right"/>
    </xf>
    <xf numFmtId="8" fontId="0" fillId="0" borderId="0" xfId="0" applyNumberFormat="1" applyFill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/>
    <xf numFmtId="8" fontId="10" fillId="0" borderId="0" xfId="0" applyNumberFormat="1" applyFont="1" applyFill="1"/>
    <xf numFmtId="8" fontId="10" fillId="0" borderId="0" xfId="0" applyNumberFormat="1" applyFont="1" applyFill="1" applyAlignment="1">
      <alignment horizontal="right"/>
    </xf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82"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theme="2" tint="-0.24994659260841701"/>
      </font>
    </dxf>
    <dxf>
      <fill>
        <patternFill>
          <bgColor theme="9" tint="0.39994506668294322"/>
        </patternFill>
      </fill>
    </dxf>
    <dxf>
      <font>
        <color theme="2" tint="-0.499984740745262"/>
      </font>
    </dxf>
    <dxf>
      <font>
        <color theme="2" tint="-0.24994659260841701"/>
      </font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14809]d\ mmm\ yyyy;@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20" formatCode="d/mmm/yy"/>
    </dxf>
    <dxf>
      <numFmt numFmtId="20" formatCode="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24A18-196A-490B-AF25-DA7D1E3A9428}" name="RegisterTable" displayName="RegisterTable" ref="A6:I92" totalsRowShown="0">
  <autoFilter ref="A6:I92" xr:uid="{0E724A18-196A-490B-AF25-DA7D1E3A9428}"/>
  <sortState xmlns:xlrd2="http://schemas.microsoft.com/office/spreadsheetml/2017/richdata2" ref="B7:I56">
    <sortCondition ref="B6:B56"/>
  </sortState>
  <tableColumns count="9">
    <tableColumn id="12" xr3:uid="{D8A49B8A-1951-4447-AF47-9EAA0BB85DE7}" name="Rec" dataDxfId="81"/>
    <tableColumn id="1" xr3:uid="{DE810105-8991-4033-85C5-0CB87295F10E}" name="Date" dataDxfId="80"/>
    <tableColumn id="2" xr3:uid="{1313C629-1859-4679-AB7B-794875C6BDE7}" name="Debit" dataDxfId="79" dataCellStyle="Currency"/>
    <tableColumn id="3" xr3:uid="{094886E6-6B53-424C-8022-4ECFFBA4718E}" name="Credit" dataDxfId="78" dataCellStyle="Currency"/>
    <tableColumn id="5" xr3:uid="{18AD39F4-D969-44C0-8DCD-C00AFA8EA48E}" name="Payee" dataDxfId="77"/>
    <tableColumn id="4" xr3:uid="{C5DFAA3E-F213-4889-9036-A50E91D40F6F}" name="Category"/>
    <tableColumn id="6" xr3:uid="{77E29FE0-2E33-4741-9118-8EC005A9AB4C}" name="Notes" dataDxfId="76"/>
    <tableColumn id="14" xr3:uid="{A613C5BE-1236-43D9-961D-74D8FCAAFE9F}" name="Net" dataDxfId="72">
      <calculatedColumnFormula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calculatedColumnFormula>
    </tableColumn>
    <tableColumn id="11" xr3:uid="{484B540F-3960-49E6-971A-19BCA48D90F6}" name="$10,000.00" dataDxfId="75">
      <calculatedColumnFormula>OFFSET(RegisterTable[[#This Row],[$10,000.00]],-1,)+RegisterTable[[#This Row],[Net]]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6BD01-B313-45E4-975C-3CAA9A21FDC7}" name="BudgetTable" displayName="BudgetTable" ref="A25:Q42" totalsRowCount="1" headerRowDxfId="74">
  <autoFilter ref="A25:Q41" xr:uid="{1E06BD01-B313-45E4-975C-3CAA9A21FDC7}"/>
  <tableColumns count="17">
    <tableColumn id="1" xr3:uid="{F195EB07-0B7E-4399-BAAC-2C019D4EC1C4}" name="Category" totalsRowLabel="Total" dataDxfId="67" totalsRowDxfId="50"/>
    <tableColumn id="2" xr3:uid="{F6CF870F-2AE5-4ACC-80D8-40E81335CC2B}" name="Nov 2022" totalsRowFunction="custom" dataDxfId="66" totalsRowDxfId="14">
      <totalsRowFormula array="1">OpeningBalance+SUM(BudgetTable[Nov 2022])</totalsRowFormula>
    </tableColumn>
    <tableColumn id="3" xr3:uid="{1298B2BF-2ED4-4618-AA49-5FDD356BE21B}" name="Dec 2022" totalsRowFunction="custom" dataDxfId="65" totalsRowDxfId="13">
      <totalsRowFormula>BudgetTable[[#Totals],[Nov 2022]]+SUM(BudgetTable[Dec 2022])</totalsRowFormula>
    </tableColumn>
    <tableColumn id="4" xr3:uid="{4BA778F9-5B81-4732-B2E1-3C7E32B28814}" name="Jan 2023" totalsRowFunction="custom" dataDxfId="64" totalsRowDxfId="12">
      <totalsRowFormula>BudgetTable[[#Totals],[Dec 2022]]+SUM(BudgetTable[Jan 2023])</totalsRowFormula>
    </tableColumn>
    <tableColumn id="5" xr3:uid="{549168B5-A7B9-4D84-A170-F170EFC6A7B3}" name="Feb 2023" totalsRowFunction="custom" dataDxfId="63" totalsRowDxfId="11">
      <totalsRowFormula>BudgetTable[[#Totals],[Jan 2023]]+SUM(BudgetTable[Feb 2023])</totalsRowFormula>
    </tableColumn>
    <tableColumn id="6" xr3:uid="{DED36E17-BA63-4BF6-83F4-D83B65AA0D12}" name="Mar 2023" totalsRowFunction="custom" dataDxfId="62" totalsRowDxfId="10">
      <totalsRowFormula>BudgetTable[[#Totals],[Feb 2023]]+SUM(BudgetTable[Mar 2023])</totalsRowFormula>
    </tableColumn>
    <tableColumn id="7" xr3:uid="{68CEFDE2-E938-4B68-AE39-2EBD5FC28E1B}" name="Apr 2023" totalsRowFunction="custom" dataDxfId="61" totalsRowDxfId="9">
      <totalsRowFormula>BudgetTable[[#Totals],[Mar 2023]]+SUM(BudgetTable[Apr 2023])</totalsRowFormula>
    </tableColumn>
    <tableColumn id="8" xr3:uid="{377E6EA8-C596-4631-9E2A-3590AB4EC1D5}" name="May 2023" totalsRowFunction="custom" dataDxfId="60" totalsRowDxfId="8">
      <totalsRowFormula>BudgetTable[[#Totals],[Apr 2023]]+SUM(BudgetTable[May 2023])</totalsRowFormula>
    </tableColumn>
    <tableColumn id="9" xr3:uid="{D5628591-0023-4077-83B0-7900C54155B8}" name="Jun 2023" totalsRowFunction="custom" dataDxfId="59" totalsRowDxfId="7">
      <totalsRowFormula>BudgetTable[[#Totals],[May 2023]]+SUM(BudgetTable[Jun 2023])</totalsRowFormula>
    </tableColumn>
    <tableColumn id="10" xr3:uid="{C07A4D5D-EB75-43C2-8153-4E2DCA60E363}" name="Jul 2023" totalsRowFunction="custom" dataDxfId="58" totalsRowDxfId="6">
      <totalsRowFormula>BudgetTable[[#Totals],[Jun 2023]]+SUM(BudgetTable[Jul 2023])</totalsRowFormula>
    </tableColumn>
    <tableColumn id="11" xr3:uid="{EEF26386-A1DB-4E9B-8EAB-6692F8A67113}" name="Aug 2023" totalsRowFunction="custom" dataDxfId="57" totalsRowDxfId="5">
      <totalsRowFormula>BudgetTable[[#Totals],[Jul 2023]]+SUM(BudgetTable[Aug 2023])</totalsRowFormula>
    </tableColumn>
    <tableColumn id="12" xr3:uid="{60471A64-457D-42F6-A3FB-9BAE6D297576}" name="Sep 2023" totalsRowFunction="custom" dataDxfId="56" totalsRowDxfId="4">
      <totalsRowFormula>BudgetTable[[#Totals],[Aug 2023]]+SUM(BudgetTable[Sep 2023])</totalsRowFormula>
    </tableColumn>
    <tableColumn id="13" xr3:uid="{E437F2AA-A9B3-4D0D-9D27-69547E4FA011}" name="Oct 2023" totalsRowFunction="custom" dataDxfId="55" totalsRowDxfId="3">
      <totalsRowFormula>BudgetTable[[#Totals],[Sep 2023]]+SUM(BudgetTable[Oct 2023])</totalsRowFormula>
    </tableColumn>
    <tableColumn id="14" xr3:uid="{DF02C039-087C-4D3B-8D65-8627C22E5BE6}" name="Nov 2023" totalsRowFunction="custom" dataDxfId="54" totalsRowDxfId="2">
      <totalsRowFormula>BudgetTable[[#Totals],[Oct 2023]]+SUM(BudgetTable[Nov 2023])</totalsRowFormula>
    </tableColumn>
    <tableColumn id="15" xr3:uid="{57B08509-BD1D-41E5-8DE3-18AA29D2B5F2}" name="Dec 2023" totalsRowFunction="custom" dataDxfId="53" totalsRowDxfId="1">
      <totalsRowFormula>BudgetTable[[#Totals],[Nov 2023]]+SUM(BudgetTable[Dec 2023])</totalsRowFormula>
    </tableColumn>
    <tableColumn id="16" xr3:uid="{2D00FE55-614D-48C5-8627-843C3DA47392}" name="Jan 2024" totalsRowFunction="custom" dataDxfId="31" totalsRowDxfId="0">
      <totalsRowFormula>BudgetTable[[#Totals],[Dec 2023]]+SUM(BudgetTable[Jan 2024])</totalsRowFormula>
    </tableColumn>
    <tableColumn id="17" xr3:uid="{245EF947-5A56-4481-9B01-7BD49B1D7201}" name="Totals" dataDxfId="30" totalsRowDxfId="49">
      <calculatedColumnFormula>SUM(BudgetTable[[#This Row],[Nov 2022]:[Jan 2024]])</calculatedColumnFormula>
    </tableColumn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3A1AB-DBB2-4C60-9DD4-0E8B38F346CE}" name="ActualTable" displayName="ActualTable" ref="A4:Q21" totalsRowCount="1" headerRowDxfId="73">
  <autoFilter ref="A4:Q20" xr:uid="{8F13A1AB-DBB2-4C60-9DD4-0E8B38F346CE}"/>
  <tableColumns count="17">
    <tableColumn id="1" xr3:uid="{A6469E61-0901-403F-85FE-D8A2BCD25BA7}" name="Category" totalsRowLabel="Total" dataDxfId="48" totalsRowDxfId="52"/>
    <tableColumn id="2" xr3:uid="{57A3F446-7D83-4D14-BD75-BF0A5DE0DD40}" name="Nov 2022" totalsRowFunction="custom" dataDxfId="47" totalsRowDxfId="29">
      <calculatedColumnFormula array="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 array="1">OpeningBalance+SUM(ActualTable[Nov 2022])</totalsRowFormula>
    </tableColumn>
    <tableColumn id="3" xr3:uid="{8AF382D3-D469-4B05-AD14-6D1605E1488B}" name="Dec 2022" totalsRowFunction="custom" dataDxfId="46" totalsRowDxfId="28">
      <calculatedColumnFormula array="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ActualTable[[#Totals],[Nov 2022]]+SUM(ActualTable[Dec 2022])</totalsRowFormula>
    </tableColumn>
    <tableColumn id="4" xr3:uid="{420EFD40-2B22-4F84-8EEA-1FCBCE85D53D}" name="Jan 2023" totalsRowFunction="custom" dataDxfId="45" totalsRowDxfId="27">
      <calculatedColumnFormula array="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ActualTable[[#Totals],[Dec 2022]]+SUM(ActualTable[Jan 2023])</totalsRowFormula>
    </tableColumn>
    <tableColumn id="5" xr3:uid="{BC157BD9-FD20-4743-804D-5D9C48744EEE}" name="Feb 2023" totalsRowFunction="custom" dataDxfId="44" totalsRowDxfId="26">
      <calculatedColumnFormula array="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ActualTable[[#Totals],[Jan 2023]]+SUM(ActualTable[Feb 2023])</totalsRowFormula>
    </tableColumn>
    <tableColumn id="6" xr3:uid="{CD0BEB67-CFFD-4BC6-8D55-710B2BD0E4EA}" name="Mar 2023" totalsRowFunction="custom" dataDxfId="43" totalsRowDxfId="25">
      <calculatedColumnFormula array="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ActualTable[[#Totals],[Feb 2023]]+SUM(ActualTable[Mar 2023])</totalsRowFormula>
    </tableColumn>
    <tableColumn id="7" xr3:uid="{45E93579-E542-4AAB-A8ED-7C97F7E64D71}" name="Apr 2023" totalsRowFunction="custom" dataDxfId="42" totalsRowDxfId="24">
      <calculatedColumnFormula array="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ActualTable[[#Totals],[Mar 2023]]+SUM(ActualTable[Apr 2023])</totalsRowFormula>
    </tableColumn>
    <tableColumn id="8" xr3:uid="{863B960F-499C-4314-9C92-C9952E7A41E1}" name="May 2023" totalsRowFunction="custom" dataDxfId="41" totalsRowDxfId="23">
      <calculatedColumnFormula array="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ActualTable[[#Totals],[Apr 2023]]+SUM(ActualTable[May 2023])</totalsRowFormula>
    </tableColumn>
    <tableColumn id="9" xr3:uid="{783190E7-0649-4C0E-B6EC-273C3E8BC3A9}" name="Jun 2023" totalsRowFunction="custom" dataDxfId="40" totalsRowDxfId="22">
      <calculatedColumnFormula array="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ActualTable[[#Totals],[May 2023]]+SUM(ActualTable[Jun 2023])</totalsRowFormula>
    </tableColumn>
    <tableColumn id="10" xr3:uid="{8AEE0546-96FF-4A7D-AA05-356F0DA33CDD}" name="Jul 2023" totalsRowFunction="custom" dataDxfId="39" totalsRowDxfId="21">
      <calculatedColumnFormula array="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ActualTable[[#Totals],[Jun 2023]]+SUM(ActualTable[Jul 2023])</totalsRowFormula>
    </tableColumn>
    <tableColumn id="11" xr3:uid="{AC5A0F84-E7B0-4AAD-8B53-2E395EB228DD}" name="Aug 2023" totalsRowFunction="custom" dataDxfId="38" totalsRowDxfId="20">
      <calculatedColumnFormula array="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ActualTable[[#Totals],[Jul 2023]]+SUM(ActualTable[Aug 2023])</totalsRowFormula>
    </tableColumn>
    <tableColumn id="12" xr3:uid="{7EFFCD30-C9ED-4ED1-874B-17963208C559}" name="Sep 2023" totalsRowFunction="custom" dataDxfId="37" totalsRowDxfId="19">
      <calculatedColumnFormula array="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ActualTable[[#Totals],[Aug 2023]]+SUM(ActualTable[Sep 2023])</totalsRowFormula>
    </tableColumn>
    <tableColumn id="13" xr3:uid="{7FC47548-D669-473F-BD51-A6F248C26ADA}" name="Oct 2023" totalsRowFunction="custom" dataDxfId="36" totalsRowDxfId="18">
      <calculatedColumnFormula array="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ActualTable[[#Totals],[Sep 2023]]+SUM(ActualTable[Oct 2023])</totalsRowFormula>
    </tableColumn>
    <tableColumn id="14" xr3:uid="{CCCB34EE-F43A-4DE2-B2E4-FCC6C14A6F2C}" name="Nov 2023" totalsRowFunction="custom" dataDxfId="35" totalsRowDxfId="17">
      <calculatedColumnFormula array="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ActualTable[[#Totals],[Oct 2023]]+SUM(ActualTable[Nov 2023])</totalsRowFormula>
    </tableColumn>
    <tableColumn id="15" xr3:uid="{DA560EF7-A0B7-4160-9A40-E56B909C66F6}" name="Dec 2023" totalsRowFunction="custom" dataDxfId="34" totalsRowDxfId="16">
      <calculatedColumnFormula array="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ActualTable[[#Totals],[Nov 2023]]+SUM(ActualTable[Dec 2023])</totalsRowFormula>
    </tableColumn>
    <tableColumn id="16" xr3:uid="{80F0D7EA-C213-468E-9404-A08E4FA7C38A}" name="Jan 2024" totalsRowFunction="custom" dataDxfId="33" totalsRowDxfId="15">
      <calculatedColumnFormula array="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ActualTable[[#Totals],[Dec 2023]]+SUM(ActualTable[Jan 2024])</totalsRowFormula>
    </tableColumn>
    <tableColumn id="17" xr3:uid="{DA1A4836-0D7F-4977-B2CA-D915B949B8F5}" name="Totals" dataDxfId="32" totalsRowDxfId="51">
      <calculatedColumnFormula>SUM(ActualTable[[#This Row],[Nov 2022]:[Jan 2024]])</calculatedColumnFormula>
    </tableColumn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1B1E-6591-4B2B-9689-E62B5000744C}">
  <dimension ref="A1:N92"/>
  <sheetViews>
    <sheetView zoomScale="85" zoomScaleNormal="85" workbookViewId="0">
      <selection activeCell="B44" sqref="B44"/>
    </sheetView>
  </sheetViews>
  <sheetFormatPr defaultRowHeight="14.5" x14ac:dyDescent="0.35"/>
  <cols>
    <col min="1" max="1" width="6.7265625" bestFit="1" customWidth="1"/>
    <col min="2" max="2" width="11" customWidth="1"/>
    <col min="3" max="4" width="14.26953125" customWidth="1"/>
    <col min="5" max="5" width="36.36328125" customWidth="1"/>
    <col min="6" max="6" width="21.36328125" customWidth="1"/>
    <col min="7" max="7" width="36.36328125" style="10" customWidth="1"/>
    <col min="8" max="8" width="14.26953125" customWidth="1"/>
    <col min="9" max="9" width="15.54296875" customWidth="1"/>
    <col min="10" max="10" width="14.08984375" customWidth="1"/>
  </cols>
  <sheetData>
    <row r="1" spans="1:14" x14ac:dyDescent="0.35">
      <c r="A1" s="2"/>
      <c r="B1" s="2"/>
      <c r="G1"/>
    </row>
    <row r="2" spans="1:14" ht="20" thickBot="1" x14ac:dyDescent="0.5">
      <c r="A2" s="3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thickTop="1" x14ac:dyDescent="0.35">
      <c r="A3" s="2"/>
      <c r="B3" s="2"/>
      <c r="G3"/>
    </row>
    <row r="4" spans="1:14" x14ac:dyDescent="0.35">
      <c r="A4" s="17" t="s">
        <v>40</v>
      </c>
      <c r="B4" s="17"/>
      <c r="C4" s="4" t="str">
        <f>RegisterTable[[#Headers],[$10,000.00]]</f>
        <v>$10,000.00</v>
      </c>
      <c r="G4"/>
    </row>
    <row r="5" spans="1:14" x14ac:dyDescent="0.35">
      <c r="B5" s="4"/>
      <c r="G5"/>
      <c r="I5" s="13" t="s">
        <v>39</v>
      </c>
    </row>
    <row r="6" spans="1:14" x14ac:dyDescent="0.35">
      <c r="A6" t="s">
        <v>37</v>
      </c>
      <c r="B6" t="s">
        <v>27</v>
      </c>
      <c r="C6" t="s">
        <v>29</v>
      </c>
      <c r="D6" t="s">
        <v>28</v>
      </c>
      <c r="E6" t="s">
        <v>42</v>
      </c>
      <c r="F6" t="s">
        <v>30</v>
      </c>
      <c r="G6" t="s">
        <v>43</v>
      </c>
      <c r="H6" t="s">
        <v>33</v>
      </c>
      <c r="I6" s="16" t="s">
        <v>46</v>
      </c>
    </row>
    <row r="7" spans="1:14" x14ac:dyDescent="0.35">
      <c r="A7" s="9" t="s">
        <v>37</v>
      </c>
      <c r="B7" s="9">
        <v>44866</v>
      </c>
      <c r="C7" s="15">
        <v>256</v>
      </c>
      <c r="D7" s="15"/>
      <c r="E7" s="6" t="s">
        <v>53</v>
      </c>
      <c r="F7" t="s">
        <v>24</v>
      </c>
      <c r="H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7" s="19">
        <f ca="1">OFFSET(RegisterTable[[#This Row],[$10,000.00]],-1,)+RegisterTable[[#This Row],[Net]]</f>
        <v>9744</v>
      </c>
      <c r="J7" s="1"/>
    </row>
    <row r="8" spans="1:14" x14ac:dyDescent="0.35">
      <c r="A8" s="9" t="s">
        <v>37</v>
      </c>
      <c r="B8" s="9">
        <v>44868</v>
      </c>
      <c r="C8" s="4">
        <v>2500</v>
      </c>
      <c r="D8" s="4"/>
      <c r="E8" t="s">
        <v>48</v>
      </c>
      <c r="F8" t="s">
        <v>20</v>
      </c>
      <c r="G8"/>
      <c r="H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8" s="14">
        <f ca="1">OFFSET(RegisterTable[[#This Row],[$10,000.00]],-1,)+RegisterTable[[#This Row],[Net]]</f>
        <v>7244</v>
      </c>
      <c r="J8" s="1"/>
    </row>
    <row r="9" spans="1:14" x14ac:dyDescent="0.35">
      <c r="A9" s="9" t="s">
        <v>37</v>
      </c>
      <c r="B9" s="9">
        <v>44875</v>
      </c>
      <c r="C9" s="4">
        <v>64.040000000000006</v>
      </c>
      <c r="D9" s="4"/>
      <c r="E9" t="s">
        <v>47</v>
      </c>
      <c r="F9" t="s">
        <v>25</v>
      </c>
      <c r="G9"/>
      <c r="H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-64.040000000000006</v>
      </c>
      <c r="I9" s="14">
        <f ca="1">OFFSET(RegisterTable[[#This Row],[$10,000.00]],-1,)+RegisterTable[[#This Row],[Net]]</f>
        <v>7179.96</v>
      </c>
      <c r="J9" s="1"/>
    </row>
    <row r="10" spans="1:14" x14ac:dyDescent="0.35">
      <c r="A10" s="9" t="s">
        <v>37</v>
      </c>
      <c r="B10" s="9">
        <v>44880</v>
      </c>
      <c r="C10" s="4">
        <v>164.55</v>
      </c>
      <c r="D10" s="4"/>
      <c r="E10" t="s">
        <v>49</v>
      </c>
      <c r="F10" t="s">
        <v>21</v>
      </c>
      <c r="G10"/>
      <c r="H1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-164.55</v>
      </c>
      <c r="I10" s="14">
        <f ca="1">OFFSET(RegisterTable[[#This Row],[$10,000.00]],-1,)+RegisterTable[[#This Row],[Net]]</f>
        <v>7015.41</v>
      </c>
      <c r="J10" s="1"/>
    </row>
    <row r="11" spans="1:14" x14ac:dyDescent="0.35">
      <c r="A11" s="9" t="s">
        <v>37</v>
      </c>
      <c r="B11" s="9">
        <v>44882</v>
      </c>
      <c r="C11" s="4">
        <v>64.73</v>
      </c>
      <c r="D11" s="4"/>
      <c r="E11" t="s">
        <v>47</v>
      </c>
      <c r="F11" t="s">
        <v>25</v>
      </c>
      <c r="G11"/>
      <c r="H1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-64.73</v>
      </c>
      <c r="I11" s="14">
        <f ca="1">OFFSET(RegisterTable[[#This Row],[$10,000.00]],-1,)+RegisterTable[[#This Row],[Net]]</f>
        <v>6950.68</v>
      </c>
      <c r="J11" s="1"/>
    </row>
    <row r="12" spans="1:14" x14ac:dyDescent="0.35">
      <c r="A12" s="9" t="s">
        <v>37</v>
      </c>
      <c r="B12" s="9">
        <v>44884</v>
      </c>
      <c r="C12" s="4">
        <v>599</v>
      </c>
      <c r="D12" s="4"/>
      <c r="E12" t="s">
        <v>50</v>
      </c>
      <c r="F12" t="s">
        <v>22</v>
      </c>
      <c r="G12" t="s">
        <v>59</v>
      </c>
      <c r="H1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-599</v>
      </c>
      <c r="I12" s="14">
        <f ca="1">OFFSET(RegisterTable[[#This Row],[$10,000.00]],-1,)+RegisterTable[[#This Row],[Net]]</f>
        <v>6351.68</v>
      </c>
      <c r="J12" s="1"/>
    </row>
    <row r="13" spans="1:14" x14ac:dyDescent="0.35">
      <c r="A13" s="9" t="s">
        <v>37</v>
      </c>
      <c r="B13" s="9">
        <v>44887</v>
      </c>
      <c r="C13" s="4">
        <v>55.9</v>
      </c>
      <c r="D13" s="4"/>
      <c r="E13" t="s">
        <v>51</v>
      </c>
      <c r="F13" t="s">
        <v>34</v>
      </c>
      <c r="G13"/>
      <c r="H1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-55.9</v>
      </c>
      <c r="I13" s="14">
        <f ca="1">OFFSET(RegisterTable[[#This Row],[$10,000.00]],-1,)+RegisterTable[[#This Row],[Net]]</f>
        <v>6295.7800000000007</v>
      </c>
      <c r="J13" s="1"/>
    </row>
    <row r="14" spans="1:14" x14ac:dyDescent="0.35">
      <c r="A14" s="9" t="s">
        <v>37</v>
      </c>
      <c r="B14" s="9">
        <v>44889</v>
      </c>
      <c r="C14" s="4">
        <v>64.47</v>
      </c>
      <c r="D14" s="4"/>
      <c r="E14" t="s">
        <v>47</v>
      </c>
      <c r="F14" t="s">
        <v>25</v>
      </c>
      <c r="G14"/>
      <c r="H1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-64.47</v>
      </c>
      <c r="I14" s="14">
        <f ca="1">OFFSET(RegisterTable[[#This Row],[$10,000.00]],-1,)+RegisterTable[[#This Row],[Net]]</f>
        <v>6231.31</v>
      </c>
      <c r="J14" s="1"/>
    </row>
    <row r="15" spans="1:14" x14ac:dyDescent="0.35">
      <c r="A15" s="9" t="s">
        <v>37</v>
      </c>
      <c r="B15" s="9">
        <v>44891</v>
      </c>
      <c r="C15" s="4"/>
      <c r="D15" s="4">
        <v>5000</v>
      </c>
      <c r="E15" t="s">
        <v>52</v>
      </c>
      <c r="F15" t="s">
        <v>45</v>
      </c>
      <c r="G15"/>
      <c r="H1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15" s="14">
        <f ca="1">OFFSET(RegisterTable[[#This Row],[$10,000.00]],-1,)+RegisterTable[[#This Row],[Net]]</f>
        <v>11231.310000000001</v>
      </c>
      <c r="J15" s="1"/>
    </row>
    <row r="16" spans="1:14" x14ac:dyDescent="0.35">
      <c r="A16" s="9" t="s">
        <v>37</v>
      </c>
      <c r="B16" s="9">
        <v>44895</v>
      </c>
      <c r="C16" s="4"/>
      <c r="D16" s="4">
        <v>0.7</v>
      </c>
      <c r="E16" t="s">
        <v>36</v>
      </c>
      <c r="F16" t="s">
        <v>26</v>
      </c>
      <c r="G16"/>
      <c r="H1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0.7</v>
      </c>
      <c r="I16" s="14">
        <f ca="1">OFFSET(RegisterTable[[#This Row],[$10,000.00]],-1,)+RegisterTable[[#This Row],[Net]]</f>
        <v>11232.010000000002</v>
      </c>
      <c r="J16" s="1"/>
    </row>
    <row r="17" spans="1:10" x14ac:dyDescent="0.35">
      <c r="A17" s="9" t="s">
        <v>37</v>
      </c>
      <c r="B17" s="9">
        <v>44895</v>
      </c>
      <c r="C17" s="4">
        <v>66.03</v>
      </c>
      <c r="D17" s="4"/>
      <c r="E17" t="s">
        <v>51</v>
      </c>
      <c r="F17" t="s">
        <v>34</v>
      </c>
      <c r="G17"/>
      <c r="H1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-66.03</v>
      </c>
      <c r="I17" s="14">
        <f ca="1">OFFSET(RegisterTable[[#This Row],[$10,000.00]],-1,)+RegisterTable[[#This Row],[Net]]</f>
        <v>11165.980000000001</v>
      </c>
      <c r="J17" s="1"/>
    </row>
    <row r="18" spans="1:10" x14ac:dyDescent="0.35">
      <c r="A18" s="9"/>
      <c r="B18" s="9">
        <v>44896</v>
      </c>
      <c r="C18" s="4">
        <v>256</v>
      </c>
      <c r="D18" s="4"/>
      <c r="E18" t="s">
        <v>53</v>
      </c>
      <c r="F18" t="s">
        <v>24</v>
      </c>
      <c r="G18"/>
      <c r="H1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18" s="14">
        <f ca="1">OFFSET(RegisterTable[[#This Row],[$10,000.00]],-1,)+RegisterTable[[#This Row],[Net]]</f>
        <v>10909.980000000001</v>
      </c>
      <c r="J18" s="1"/>
    </row>
    <row r="19" spans="1:10" x14ac:dyDescent="0.35">
      <c r="A19" s="9"/>
      <c r="B19" s="9">
        <v>44896</v>
      </c>
      <c r="C19" s="4">
        <v>115.6</v>
      </c>
      <c r="D19" s="4"/>
      <c r="E19" t="s">
        <v>50</v>
      </c>
      <c r="F19" t="s">
        <v>22</v>
      </c>
      <c r="G19" t="s">
        <v>63</v>
      </c>
      <c r="H1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-115.6</v>
      </c>
      <c r="I19" s="14">
        <f ca="1">OFFSET(RegisterTable[[#This Row],[$10,000.00]],-1,)+RegisterTable[[#This Row],[Net]]</f>
        <v>10794.380000000001</v>
      </c>
      <c r="J19" s="1"/>
    </row>
    <row r="20" spans="1:10" x14ac:dyDescent="0.35">
      <c r="A20" s="9"/>
      <c r="B20" s="9">
        <v>44896</v>
      </c>
      <c r="C20" s="4">
        <v>68.8</v>
      </c>
      <c r="D20" s="4"/>
      <c r="E20" t="s">
        <v>47</v>
      </c>
      <c r="F20" t="s">
        <v>25</v>
      </c>
      <c r="G20"/>
      <c r="H2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-68.8</v>
      </c>
      <c r="I20" s="14">
        <f ca="1">OFFSET(RegisterTable[[#This Row],[$10,000.00]],-1,)+RegisterTable[[#This Row],[Net]]</f>
        <v>10725.580000000002</v>
      </c>
      <c r="J20" s="1"/>
    </row>
    <row r="21" spans="1:10" x14ac:dyDescent="0.35">
      <c r="A21" s="9"/>
      <c r="B21" s="9">
        <v>44898</v>
      </c>
      <c r="C21" s="4">
        <v>2500</v>
      </c>
      <c r="D21" s="4"/>
      <c r="E21" t="s">
        <v>48</v>
      </c>
      <c r="F21" t="s">
        <v>20</v>
      </c>
      <c r="G21"/>
      <c r="H2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21" s="14">
        <f ca="1">OFFSET(RegisterTable[[#This Row],[$10,000.00]],-1,)+RegisterTable[[#This Row],[Net]]</f>
        <v>8225.5800000000017</v>
      </c>
      <c r="J21" s="1"/>
    </row>
    <row r="22" spans="1:10" x14ac:dyDescent="0.35">
      <c r="A22" s="9"/>
      <c r="B22" s="9">
        <v>44903</v>
      </c>
      <c r="C22" s="4">
        <v>81.14</v>
      </c>
      <c r="D22" s="4"/>
      <c r="E22" t="s">
        <v>51</v>
      </c>
      <c r="F22" t="s">
        <v>34</v>
      </c>
      <c r="G22"/>
      <c r="H2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-81.14</v>
      </c>
      <c r="I22" s="14">
        <f ca="1">OFFSET(RegisterTable[[#This Row],[$10,000.00]],-1,)+RegisterTable[[#This Row],[Net]]</f>
        <v>8144.4400000000014</v>
      </c>
      <c r="J22" s="1"/>
    </row>
    <row r="23" spans="1:10" x14ac:dyDescent="0.35">
      <c r="A23" s="9"/>
      <c r="B23" s="9">
        <v>44903</v>
      </c>
      <c r="C23" s="4">
        <v>118</v>
      </c>
      <c r="D23" s="4"/>
      <c r="E23" t="s">
        <v>55</v>
      </c>
      <c r="F23" t="s">
        <v>23</v>
      </c>
      <c r="G23" t="s">
        <v>62</v>
      </c>
      <c r="H2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-118</v>
      </c>
      <c r="I23" s="14">
        <f ca="1">OFFSET(RegisterTable[[#This Row],[$10,000.00]],-1,)+RegisterTable[[#This Row],[Net]]</f>
        <v>8026.4400000000014</v>
      </c>
      <c r="J23" s="1"/>
    </row>
    <row r="24" spans="1:10" x14ac:dyDescent="0.35">
      <c r="A24" s="9"/>
      <c r="B24" s="9">
        <v>44904</v>
      </c>
      <c r="C24" s="4">
        <v>65.06</v>
      </c>
      <c r="D24" s="4"/>
      <c r="E24" t="s">
        <v>47</v>
      </c>
      <c r="F24" t="s">
        <v>25</v>
      </c>
      <c r="G24"/>
      <c r="H2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-65.06</v>
      </c>
      <c r="I24" s="14">
        <f ca="1">OFFSET(RegisterTable[[#This Row],[$10,000.00]],-1,)+RegisterTable[[#This Row],[Net]]</f>
        <v>7961.380000000001</v>
      </c>
      <c r="J24" s="1"/>
    </row>
    <row r="25" spans="1:10" x14ac:dyDescent="0.35">
      <c r="A25" s="9"/>
      <c r="B25" s="9">
        <v>44910</v>
      </c>
      <c r="C25" s="4">
        <v>231.09</v>
      </c>
      <c r="D25" s="4"/>
      <c r="E25" t="s">
        <v>49</v>
      </c>
      <c r="F25" t="s">
        <v>21</v>
      </c>
      <c r="G25"/>
      <c r="H2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-231.09</v>
      </c>
      <c r="I25" s="14">
        <f ca="1">OFFSET(RegisterTable[[#This Row],[$10,000.00]],-1,)+RegisterTable[[#This Row],[Net]]</f>
        <v>7730.2900000000009</v>
      </c>
      <c r="J25" s="1"/>
    </row>
    <row r="26" spans="1:10" x14ac:dyDescent="0.35">
      <c r="A26" s="9"/>
      <c r="B26" s="9">
        <v>44912</v>
      </c>
      <c r="C26" s="4">
        <v>14.9</v>
      </c>
      <c r="D26" s="4"/>
      <c r="E26" t="s">
        <v>51</v>
      </c>
      <c r="F26" t="s">
        <v>34</v>
      </c>
      <c r="G26"/>
      <c r="H2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-14.9</v>
      </c>
      <c r="I26" s="14">
        <f ca="1">OFFSET(RegisterTable[[#This Row],[$10,000.00]],-1,)+RegisterTable[[#This Row],[Net]]</f>
        <v>7715.3900000000012</v>
      </c>
      <c r="J26" s="1"/>
    </row>
    <row r="27" spans="1:10" x14ac:dyDescent="0.35">
      <c r="A27" s="9"/>
      <c r="B27" s="9">
        <v>44912</v>
      </c>
      <c r="C27" s="4">
        <v>57.14</v>
      </c>
      <c r="D27" s="4"/>
      <c r="E27" t="s">
        <v>47</v>
      </c>
      <c r="F27" t="s">
        <v>25</v>
      </c>
      <c r="G27"/>
      <c r="H2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-57.14</v>
      </c>
      <c r="I27" s="14">
        <f ca="1">OFFSET(RegisterTable[[#This Row],[$10,000.00]],-1,)+RegisterTable[[#This Row],[Net]]</f>
        <v>7658.2500000000009</v>
      </c>
      <c r="J27" s="1"/>
    </row>
    <row r="28" spans="1:10" x14ac:dyDescent="0.35">
      <c r="A28" s="9"/>
      <c r="B28" s="9">
        <v>44916</v>
      </c>
      <c r="C28" s="4">
        <v>65.33</v>
      </c>
      <c r="D28" s="4"/>
      <c r="E28" t="s">
        <v>51</v>
      </c>
      <c r="F28" t="s">
        <v>34</v>
      </c>
      <c r="G28"/>
      <c r="H2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-65.33</v>
      </c>
      <c r="I28" s="14">
        <f ca="1">OFFSET(RegisterTable[[#This Row],[$10,000.00]],-1,)+RegisterTable[[#This Row],[Net]]</f>
        <v>7592.920000000001</v>
      </c>
      <c r="J28" s="1"/>
    </row>
    <row r="29" spans="1:10" x14ac:dyDescent="0.35">
      <c r="A29" s="9"/>
      <c r="B29" s="9">
        <v>44917</v>
      </c>
      <c r="C29" s="4">
        <v>111.45</v>
      </c>
      <c r="D29" s="4"/>
      <c r="E29" t="s">
        <v>56</v>
      </c>
      <c r="F29" t="s">
        <v>44</v>
      </c>
      <c r="G29" t="s">
        <v>65</v>
      </c>
      <c r="H2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-111.45</v>
      </c>
      <c r="I29" s="14">
        <f ca="1">OFFSET(RegisterTable[[#This Row],[$10,000.00]],-1,)+RegisterTable[[#This Row],[Net]]</f>
        <v>7481.4700000000012</v>
      </c>
      <c r="J29" s="1"/>
    </row>
    <row r="30" spans="1:10" x14ac:dyDescent="0.35">
      <c r="A30" s="9"/>
      <c r="B30" s="9">
        <v>44917</v>
      </c>
      <c r="C30" s="4">
        <v>103</v>
      </c>
      <c r="D30" s="4"/>
      <c r="E30" t="s">
        <v>57</v>
      </c>
      <c r="F30" t="s">
        <v>38</v>
      </c>
      <c r="G30"/>
      <c r="H3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-103</v>
      </c>
      <c r="I30" s="14">
        <f ca="1">OFFSET(RegisterTable[[#This Row],[$10,000.00]],-1,)+RegisterTable[[#This Row],[Net]]</f>
        <v>7378.4700000000012</v>
      </c>
      <c r="J30" s="1"/>
    </row>
    <row r="31" spans="1:10" x14ac:dyDescent="0.35">
      <c r="A31" s="9"/>
      <c r="B31" s="9">
        <v>44919</v>
      </c>
      <c r="C31" s="4">
        <v>60.27</v>
      </c>
      <c r="D31" s="4"/>
      <c r="E31" t="s">
        <v>47</v>
      </c>
      <c r="F31" t="s">
        <v>25</v>
      </c>
      <c r="G31"/>
      <c r="H3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-60.27</v>
      </c>
      <c r="I31" s="14">
        <f ca="1">OFFSET(RegisterTable[[#This Row],[$10,000.00]],-1,)+RegisterTable[[#This Row],[Net]]</f>
        <v>7318.2000000000007</v>
      </c>
      <c r="J31" s="1"/>
    </row>
    <row r="32" spans="1:10" x14ac:dyDescent="0.35">
      <c r="A32" s="9"/>
      <c r="B32" s="9">
        <v>44922</v>
      </c>
      <c r="C32" s="4"/>
      <c r="D32" s="4">
        <v>5000</v>
      </c>
      <c r="E32" t="s">
        <v>52</v>
      </c>
      <c r="F32" t="s">
        <v>45</v>
      </c>
      <c r="G32"/>
      <c r="H3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32" s="14">
        <f ca="1">OFFSET(RegisterTable[[#This Row],[$10,000.00]],-1,)+RegisterTable[[#This Row],[Net]]</f>
        <v>12318.2</v>
      </c>
      <c r="J32" s="1"/>
    </row>
    <row r="33" spans="1:10" x14ac:dyDescent="0.35">
      <c r="A33" s="9"/>
      <c r="B33" s="9">
        <v>44923</v>
      </c>
      <c r="C33" s="4">
        <v>116.51</v>
      </c>
      <c r="D33" s="4"/>
      <c r="E33" t="s">
        <v>51</v>
      </c>
      <c r="F33" t="s">
        <v>34</v>
      </c>
      <c r="G33"/>
      <c r="H3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-116.51</v>
      </c>
      <c r="I33" s="14">
        <f ca="1">OFFSET(RegisterTable[[#This Row],[$10,000.00]],-1,)+RegisterTable[[#This Row],[Net]]</f>
        <v>12201.69</v>
      </c>
      <c r="J33" s="1"/>
    </row>
    <row r="34" spans="1:10" x14ac:dyDescent="0.35">
      <c r="A34" s="9"/>
      <c r="B34" s="9">
        <v>44924</v>
      </c>
      <c r="C34" s="4">
        <v>499</v>
      </c>
      <c r="D34" s="4"/>
      <c r="E34" t="s">
        <v>54</v>
      </c>
      <c r="F34" t="s">
        <v>23</v>
      </c>
      <c r="G34" t="s">
        <v>60</v>
      </c>
      <c r="H3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-499</v>
      </c>
      <c r="I34" s="14">
        <f ca="1">OFFSET(RegisterTable[[#This Row],[$10,000.00]],-1,)+RegisterTable[[#This Row],[Net]]</f>
        <v>11702.69</v>
      </c>
      <c r="J34" s="1"/>
    </row>
    <row r="35" spans="1:10" x14ac:dyDescent="0.35">
      <c r="A35" s="9"/>
      <c r="B35" s="9">
        <v>44924</v>
      </c>
      <c r="C35" s="4">
        <v>1091</v>
      </c>
      <c r="D35" s="4"/>
      <c r="E35" t="s">
        <v>50</v>
      </c>
      <c r="F35" t="s">
        <v>22</v>
      </c>
      <c r="G35"/>
      <c r="H3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-1091</v>
      </c>
      <c r="I35" s="14">
        <f ca="1">OFFSET(RegisterTable[[#This Row],[$10,000.00]],-1,)+RegisterTable[[#This Row],[Net]]</f>
        <v>10611.69</v>
      </c>
      <c r="J35" s="1"/>
    </row>
    <row r="36" spans="1:10" x14ac:dyDescent="0.35">
      <c r="A36" s="9"/>
      <c r="B36" s="9">
        <v>44926</v>
      </c>
      <c r="C36" s="4"/>
      <c r="D36" s="4">
        <v>0.37</v>
      </c>
      <c r="E36" t="s">
        <v>36</v>
      </c>
      <c r="F36" t="s">
        <v>26</v>
      </c>
      <c r="G36"/>
      <c r="H3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0.37</v>
      </c>
      <c r="I36" s="14">
        <f ca="1">OFFSET(RegisterTable[[#This Row],[$10,000.00]],-1,)+RegisterTable[[#This Row],[Net]]</f>
        <v>10612.060000000001</v>
      </c>
      <c r="J36" s="1"/>
    </row>
    <row r="37" spans="1:10" x14ac:dyDescent="0.35">
      <c r="A37" s="9"/>
      <c r="B37" s="9">
        <v>44926</v>
      </c>
      <c r="C37" s="4">
        <v>63.13</v>
      </c>
      <c r="D37" s="4"/>
      <c r="E37" t="s">
        <v>47</v>
      </c>
      <c r="F37" t="s">
        <v>25</v>
      </c>
      <c r="G37"/>
      <c r="H3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-63.13</v>
      </c>
      <c r="I37" s="14">
        <f ca="1">OFFSET(RegisterTable[[#This Row],[$10,000.00]],-1,)+RegisterTable[[#This Row],[Net]]</f>
        <v>10548.930000000002</v>
      </c>
      <c r="J37" s="1"/>
    </row>
    <row r="38" spans="1:10" x14ac:dyDescent="0.35">
      <c r="A38" s="9"/>
      <c r="B38" s="9">
        <v>44926</v>
      </c>
      <c r="C38" s="4">
        <v>106.23</v>
      </c>
      <c r="D38" s="4"/>
      <c r="E38" t="s">
        <v>57</v>
      </c>
      <c r="F38" t="s">
        <v>38</v>
      </c>
      <c r="G38" t="s">
        <v>64</v>
      </c>
      <c r="H3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-106.23</v>
      </c>
      <c r="I38" s="14">
        <f ca="1">OFFSET(RegisterTable[[#This Row],[$10,000.00]],-1,)+RegisterTable[[#This Row],[Net]]</f>
        <v>10442.700000000003</v>
      </c>
      <c r="J38" s="1"/>
    </row>
    <row r="39" spans="1:10" x14ac:dyDescent="0.35">
      <c r="A39" s="9"/>
      <c r="B39" s="9">
        <v>44927</v>
      </c>
      <c r="C39" s="4">
        <v>66</v>
      </c>
      <c r="D39" s="4"/>
      <c r="E39" t="s">
        <v>67</v>
      </c>
      <c r="F39" t="s">
        <v>18</v>
      </c>
      <c r="G39"/>
      <c r="H3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</v>
      </c>
      <c r="I39" s="14">
        <f ca="1">OFFSET(RegisterTable[[#This Row],[$10,000.00]],-1,)+RegisterTable[[#This Row],[Net]]</f>
        <v>10376.700000000003</v>
      </c>
    </row>
    <row r="40" spans="1:10" x14ac:dyDescent="0.35">
      <c r="A40" s="9"/>
      <c r="B40" s="9">
        <v>44929</v>
      </c>
      <c r="C40" s="4">
        <v>2592.86</v>
      </c>
      <c r="D40" s="4"/>
      <c r="E40" t="s">
        <v>48</v>
      </c>
      <c r="F40" t="s">
        <v>20</v>
      </c>
      <c r="G40"/>
      <c r="H4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-2592.86</v>
      </c>
      <c r="I40" s="14">
        <f ca="1">OFFSET(RegisterTable[[#This Row],[$10,000.00]],-1,)+RegisterTable[[#This Row],[Net]]</f>
        <v>7783.840000000002</v>
      </c>
    </row>
    <row r="41" spans="1:10" x14ac:dyDescent="0.35">
      <c r="A41" s="9"/>
      <c r="B41" s="9">
        <v>44929</v>
      </c>
      <c r="C41" s="4">
        <v>528.07000000000005</v>
      </c>
      <c r="D41" s="4"/>
      <c r="E41" s="6" t="s">
        <v>58</v>
      </c>
      <c r="F41" t="s">
        <v>35</v>
      </c>
      <c r="G41" t="s">
        <v>61</v>
      </c>
      <c r="H4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-528.07000000000005</v>
      </c>
      <c r="I41" s="14">
        <f ca="1">OFFSET(RegisterTable[[#This Row],[$10,000.00]],-1,)+RegisterTable[[#This Row],[Net]]</f>
        <v>7255.7700000000023</v>
      </c>
    </row>
    <row r="42" spans="1:10" x14ac:dyDescent="0.35">
      <c r="A42" s="9"/>
      <c r="B42" s="9">
        <v>44930</v>
      </c>
      <c r="C42" s="4"/>
      <c r="D42" s="4">
        <v>132</v>
      </c>
      <c r="E42" s="6" t="s">
        <v>67</v>
      </c>
      <c r="F42" t="s">
        <v>17</v>
      </c>
      <c r="G42" t="s">
        <v>66</v>
      </c>
      <c r="H4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132</v>
      </c>
      <c r="I42" s="14">
        <f ca="1">OFFSET(RegisterTable[[#This Row],[$10,000.00]],-1,)+RegisterTable[[#This Row],[Net]]</f>
        <v>7387.7700000000023</v>
      </c>
    </row>
    <row r="43" spans="1:10" x14ac:dyDescent="0.35">
      <c r="A43" s="9"/>
      <c r="B43" s="9">
        <v>44931</v>
      </c>
      <c r="C43" s="4">
        <v>7.98</v>
      </c>
      <c r="D43" s="4"/>
      <c r="E43" s="6" t="s">
        <v>68</v>
      </c>
      <c r="F43" t="s">
        <v>69</v>
      </c>
      <c r="G43"/>
      <c r="H4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-7.98</v>
      </c>
      <c r="I43" s="14">
        <f ca="1">OFFSET(RegisterTable[[#This Row],[$10,000.00]],-1,)+RegisterTable[[#This Row],[Net]]</f>
        <v>7379.7900000000027</v>
      </c>
    </row>
    <row r="44" spans="1:10" x14ac:dyDescent="0.35">
      <c r="A44" s="9"/>
      <c r="B44" s="9"/>
      <c r="C44" s="4"/>
      <c r="D44" s="4"/>
      <c r="E44" s="6"/>
      <c r="G44"/>
      <c r="H4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4" s="14">
        <f ca="1">OFFSET(RegisterTable[[#This Row],[$10,000.00]],-1,)+RegisterTable[[#This Row],[Net]]</f>
        <v>7379.7900000000027</v>
      </c>
    </row>
    <row r="45" spans="1:10" x14ac:dyDescent="0.35">
      <c r="A45" s="9"/>
      <c r="B45" s="9"/>
      <c r="C45" s="4"/>
      <c r="D45" s="4"/>
      <c r="E45" s="6"/>
      <c r="G45"/>
      <c r="H4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5" s="14">
        <f ca="1">OFFSET(RegisterTable[[#This Row],[$10,000.00]],-1,)+RegisterTable[[#This Row],[Net]]</f>
        <v>7379.7900000000027</v>
      </c>
    </row>
    <row r="46" spans="1:10" x14ac:dyDescent="0.35">
      <c r="A46" s="9"/>
      <c r="B46" s="9"/>
      <c r="C46" s="4"/>
      <c r="D46" s="4"/>
      <c r="E46" s="6"/>
      <c r="G46"/>
      <c r="H4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6" s="14">
        <f ca="1">OFFSET(RegisterTable[[#This Row],[$10,000.00]],-1,)+RegisterTable[[#This Row],[Net]]</f>
        <v>7379.7900000000027</v>
      </c>
    </row>
    <row r="47" spans="1:10" x14ac:dyDescent="0.35">
      <c r="A47" s="9"/>
      <c r="B47" s="9"/>
      <c r="C47" s="4"/>
      <c r="D47" s="4"/>
      <c r="E47" s="6"/>
      <c r="G47"/>
      <c r="H4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7" s="14">
        <f ca="1">OFFSET(RegisterTable[[#This Row],[$10,000.00]],-1,)+RegisterTable[[#This Row],[Net]]</f>
        <v>7379.7900000000027</v>
      </c>
    </row>
    <row r="48" spans="1:10" x14ac:dyDescent="0.35">
      <c r="A48" s="9"/>
      <c r="B48" s="9"/>
      <c r="C48" s="4"/>
      <c r="D48" s="4"/>
      <c r="E48" s="6"/>
      <c r="G48"/>
      <c r="H4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8" s="14">
        <f ca="1">OFFSET(RegisterTable[[#This Row],[$10,000.00]],-1,)+RegisterTable[[#This Row],[Net]]</f>
        <v>7379.7900000000027</v>
      </c>
    </row>
    <row r="49" spans="1:9" x14ac:dyDescent="0.35">
      <c r="A49" s="9"/>
      <c r="B49" s="9"/>
      <c r="C49" s="4"/>
      <c r="D49" s="4"/>
      <c r="E49" s="6"/>
      <c r="G49"/>
      <c r="H4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9" s="14">
        <f ca="1">OFFSET(RegisterTable[[#This Row],[$10,000.00]],-1,)+RegisterTable[[#This Row],[Net]]</f>
        <v>7379.7900000000027</v>
      </c>
    </row>
    <row r="50" spans="1:9" x14ac:dyDescent="0.35">
      <c r="A50" s="9"/>
      <c r="B50" s="9"/>
      <c r="C50" s="4"/>
      <c r="D50" s="4"/>
      <c r="E50" s="6"/>
      <c r="G50"/>
      <c r="H5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0" s="14">
        <f ca="1">OFFSET(RegisterTable[[#This Row],[$10,000.00]],-1,)+RegisterTable[[#This Row],[Net]]</f>
        <v>7379.7900000000027</v>
      </c>
    </row>
    <row r="51" spans="1:9" x14ac:dyDescent="0.35">
      <c r="A51" s="9"/>
      <c r="B51" s="9"/>
      <c r="C51" s="4"/>
      <c r="D51" s="4"/>
      <c r="E51" s="6"/>
      <c r="G51"/>
      <c r="H5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1" s="14">
        <f ca="1">OFFSET(RegisterTable[[#This Row],[$10,000.00]],-1,)+RegisterTable[[#This Row],[Net]]</f>
        <v>7379.7900000000027</v>
      </c>
    </row>
    <row r="52" spans="1:9" x14ac:dyDescent="0.35">
      <c r="A52" s="9"/>
      <c r="B52" s="9"/>
      <c r="C52" s="4"/>
      <c r="D52" s="4"/>
      <c r="E52" s="6"/>
      <c r="G52"/>
      <c r="H5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2" s="14">
        <f ca="1">OFFSET(RegisterTable[[#This Row],[$10,000.00]],-1,)+RegisterTable[[#This Row],[Net]]</f>
        <v>7379.7900000000027</v>
      </c>
    </row>
    <row r="53" spans="1:9" x14ac:dyDescent="0.35">
      <c r="A53" s="9"/>
      <c r="B53" s="9"/>
      <c r="C53" s="4"/>
      <c r="D53" s="4"/>
      <c r="E53" s="6"/>
      <c r="G53"/>
      <c r="H5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3" s="14">
        <f ca="1">OFFSET(RegisterTable[[#This Row],[$10,000.00]],-1,)+RegisterTable[[#This Row],[Net]]</f>
        <v>7379.7900000000027</v>
      </c>
    </row>
    <row r="54" spans="1:9" x14ac:dyDescent="0.35">
      <c r="A54" s="9"/>
      <c r="B54" s="9"/>
      <c r="C54" s="4"/>
      <c r="D54" s="4"/>
      <c r="E54" s="6"/>
      <c r="G54"/>
      <c r="H5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4" s="14">
        <f ca="1">OFFSET(RegisterTable[[#This Row],[$10,000.00]],-1,)+RegisterTable[[#This Row],[Net]]</f>
        <v>7379.7900000000027</v>
      </c>
    </row>
    <row r="55" spans="1:9" x14ac:dyDescent="0.35">
      <c r="A55" s="9"/>
      <c r="B55" s="9"/>
      <c r="C55" s="4"/>
      <c r="D55" s="4"/>
      <c r="E55" s="6"/>
      <c r="G55"/>
      <c r="H5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5" s="14">
        <f ca="1">OFFSET(RegisterTable[[#This Row],[$10,000.00]],-1,)+RegisterTable[[#This Row],[Net]]</f>
        <v>7379.7900000000027</v>
      </c>
    </row>
    <row r="56" spans="1:9" x14ac:dyDescent="0.35">
      <c r="A56" s="9"/>
      <c r="B56" s="9"/>
      <c r="C56" s="4"/>
      <c r="D56" s="4"/>
      <c r="E56" s="6"/>
      <c r="G56"/>
      <c r="H5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6" s="14">
        <f ca="1">OFFSET(RegisterTable[[#This Row],[$10,000.00]],-1,)+RegisterTable[[#This Row],[Net]]</f>
        <v>7379.7900000000027</v>
      </c>
    </row>
    <row r="57" spans="1:9" x14ac:dyDescent="0.35">
      <c r="A57" s="9"/>
      <c r="B57" s="9"/>
      <c r="C57" s="15"/>
      <c r="D57" s="15"/>
      <c r="E57" s="6"/>
      <c r="F57" s="10"/>
      <c r="G57"/>
      <c r="H5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7" s="14">
        <f ca="1">OFFSET(RegisterTable[[#This Row],[$10,000.00]],-1,)+RegisterTable[[#This Row],[Net]]</f>
        <v>7379.7900000000027</v>
      </c>
    </row>
    <row r="58" spans="1:9" x14ac:dyDescent="0.35">
      <c r="A58" s="9"/>
      <c r="B58" s="9"/>
      <c r="C58" s="15"/>
      <c r="D58" s="15"/>
      <c r="E58" s="6"/>
      <c r="F58" s="10"/>
      <c r="G58"/>
      <c r="H5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8" s="14">
        <f ca="1">OFFSET(RegisterTable[[#This Row],[$10,000.00]],-1,)+RegisterTable[[#This Row],[Net]]</f>
        <v>7379.7900000000027</v>
      </c>
    </row>
    <row r="59" spans="1:9" x14ac:dyDescent="0.35">
      <c r="A59" s="9"/>
      <c r="B59" s="9"/>
      <c r="C59" s="15"/>
      <c r="D59" s="15"/>
      <c r="E59" s="6"/>
      <c r="F59" s="10"/>
      <c r="G59"/>
      <c r="H5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9" s="14">
        <f ca="1">OFFSET(RegisterTable[[#This Row],[$10,000.00]],-1,)+RegisterTable[[#This Row],[Net]]</f>
        <v>7379.7900000000027</v>
      </c>
    </row>
    <row r="60" spans="1:9" x14ac:dyDescent="0.35">
      <c r="A60" s="9"/>
      <c r="B60" s="9"/>
      <c r="C60" s="15"/>
      <c r="D60" s="15"/>
      <c r="E60" s="6"/>
      <c r="F60" s="10"/>
      <c r="G60"/>
      <c r="H6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0" s="14">
        <f ca="1">OFFSET(RegisterTable[[#This Row],[$10,000.00]],-1,)+RegisterTable[[#This Row],[Net]]</f>
        <v>7379.7900000000027</v>
      </c>
    </row>
    <row r="61" spans="1:9" x14ac:dyDescent="0.35">
      <c r="A61" s="9"/>
      <c r="B61" s="9"/>
      <c r="C61" s="15"/>
      <c r="D61" s="15"/>
      <c r="E61" s="6"/>
      <c r="F61" s="10"/>
      <c r="G61"/>
      <c r="H6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1" s="14">
        <f ca="1">OFFSET(RegisterTable[[#This Row],[$10,000.00]],-1,)+RegisterTable[[#This Row],[Net]]</f>
        <v>7379.7900000000027</v>
      </c>
    </row>
    <row r="62" spans="1:9" x14ac:dyDescent="0.35">
      <c r="A62" s="9"/>
      <c r="B62" s="9"/>
      <c r="C62" s="15"/>
      <c r="D62" s="15"/>
      <c r="E62" s="6"/>
      <c r="F62" s="10"/>
      <c r="G62"/>
      <c r="H6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2" s="14">
        <f ca="1">OFFSET(RegisterTable[[#This Row],[$10,000.00]],-1,)+RegisterTable[[#This Row],[Net]]</f>
        <v>7379.7900000000027</v>
      </c>
    </row>
    <row r="63" spans="1:9" x14ac:dyDescent="0.35">
      <c r="A63" s="9"/>
      <c r="B63" s="9"/>
      <c r="C63" s="15"/>
      <c r="D63" s="15"/>
      <c r="E63" s="6"/>
      <c r="F63" s="10"/>
      <c r="G63"/>
      <c r="H6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3" s="14">
        <f ca="1">OFFSET(RegisterTable[[#This Row],[$10,000.00]],-1,)+RegisterTable[[#This Row],[Net]]</f>
        <v>7379.7900000000027</v>
      </c>
    </row>
    <row r="64" spans="1:9" x14ac:dyDescent="0.35">
      <c r="A64" s="9"/>
      <c r="B64" s="9"/>
      <c r="C64" s="15"/>
      <c r="D64" s="15"/>
      <c r="E64" s="6"/>
      <c r="F64" s="10"/>
      <c r="G64"/>
      <c r="H6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4" s="14">
        <f ca="1">OFFSET(RegisterTable[[#This Row],[$10,000.00]],-1,)+RegisterTable[[#This Row],[Net]]</f>
        <v>7379.7900000000027</v>
      </c>
    </row>
    <row r="65" spans="1:9" x14ac:dyDescent="0.35">
      <c r="A65" s="9"/>
      <c r="B65" s="9"/>
      <c r="C65" s="15"/>
      <c r="D65" s="15"/>
      <c r="E65" s="6"/>
      <c r="F65" s="10"/>
      <c r="G65"/>
      <c r="H6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5" s="14">
        <f ca="1">OFFSET(RegisterTable[[#This Row],[$10,000.00]],-1,)+RegisterTable[[#This Row],[Net]]</f>
        <v>7379.7900000000027</v>
      </c>
    </row>
    <row r="66" spans="1:9" x14ac:dyDescent="0.35">
      <c r="A66" s="9"/>
      <c r="B66" s="9"/>
      <c r="C66" s="15"/>
      <c r="D66" s="15"/>
      <c r="E66" s="6"/>
      <c r="F66" s="10"/>
      <c r="G66"/>
      <c r="H6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6" s="14">
        <f ca="1">OFFSET(RegisterTable[[#This Row],[$10,000.00]],-1,)+RegisterTable[[#This Row],[Net]]</f>
        <v>7379.7900000000027</v>
      </c>
    </row>
    <row r="67" spans="1:9" x14ac:dyDescent="0.35">
      <c r="A67" s="9"/>
      <c r="B67" s="9"/>
      <c r="C67" s="15"/>
      <c r="D67" s="15"/>
      <c r="E67" s="6"/>
      <c r="F67" s="10"/>
      <c r="G67"/>
      <c r="H6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7" s="14">
        <f ca="1">OFFSET(RegisterTable[[#This Row],[$10,000.00]],-1,)+RegisterTable[[#This Row],[Net]]</f>
        <v>7379.7900000000027</v>
      </c>
    </row>
    <row r="68" spans="1:9" x14ac:dyDescent="0.35">
      <c r="A68" s="9"/>
      <c r="B68" s="9"/>
      <c r="C68" s="15"/>
      <c r="D68" s="15"/>
      <c r="E68" s="6"/>
      <c r="F68" s="10"/>
      <c r="G68"/>
      <c r="H6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8" s="14">
        <f ca="1">OFFSET(RegisterTable[[#This Row],[$10,000.00]],-1,)+RegisterTable[[#This Row],[Net]]</f>
        <v>7379.7900000000027</v>
      </c>
    </row>
    <row r="69" spans="1:9" x14ac:dyDescent="0.35">
      <c r="A69" s="9"/>
      <c r="B69" s="9"/>
      <c r="C69" s="15"/>
      <c r="D69" s="15"/>
      <c r="E69" s="6"/>
      <c r="F69" s="10"/>
      <c r="G69"/>
      <c r="H6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9" s="14">
        <f ca="1">OFFSET(RegisterTable[[#This Row],[$10,000.00]],-1,)+RegisterTable[[#This Row],[Net]]</f>
        <v>7379.7900000000027</v>
      </c>
    </row>
    <row r="70" spans="1:9" x14ac:dyDescent="0.35">
      <c r="A70" s="9"/>
      <c r="B70" s="9"/>
      <c r="C70" s="15"/>
      <c r="D70" s="15"/>
      <c r="E70" s="6"/>
      <c r="F70" s="10"/>
      <c r="G70"/>
      <c r="H7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0" s="14">
        <f ca="1">OFFSET(RegisterTable[[#This Row],[$10,000.00]],-1,)+RegisterTable[[#This Row],[Net]]</f>
        <v>7379.7900000000027</v>
      </c>
    </row>
    <row r="71" spans="1:9" x14ac:dyDescent="0.35">
      <c r="A71" s="9"/>
      <c r="B71" s="9"/>
      <c r="C71" s="15"/>
      <c r="D71" s="15"/>
      <c r="E71" s="6"/>
      <c r="F71" s="10"/>
      <c r="G71"/>
      <c r="H7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1" s="14">
        <f ca="1">OFFSET(RegisterTable[[#This Row],[$10,000.00]],-1,)+RegisterTable[[#This Row],[Net]]</f>
        <v>7379.7900000000027</v>
      </c>
    </row>
    <row r="72" spans="1:9" x14ac:dyDescent="0.35">
      <c r="A72" s="9"/>
      <c r="B72" s="9"/>
      <c r="C72" s="15"/>
      <c r="D72" s="15"/>
      <c r="E72" s="6"/>
      <c r="F72" s="10"/>
      <c r="G72"/>
      <c r="H7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2" s="14">
        <f ca="1">OFFSET(RegisterTable[[#This Row],[$10,000.00]],-1,)+RegisterTable[[#This Row],[Net]]</f>
        <v>7379.7900000000027</v>
      </c>
    </row>
    <row r="73" spans="1:9" x14ac:dyDescent="0.35">
      <c r="A73" s="9"/>
      <c r="B73" s="9"/>
      <c r="C73" s="15"/>
      <c r="D73" s="15"/>
      <c r="E73" s="6"/>
      <c r="F73" s="10"/>
      <c r="G73"/>
      <c r="H7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3" s="14">
        <f ca="1">OFFSET(RegisterTable[[#This Row],[$10,000.00]],-1,)+RegisterTable[[#This Row],[Net]]</f>
        <v>7379.7900000000027</v>
      </c>
    </row>
    <row r="74" spans="1:9" x14ac:dyDescent="0.35">
      <c r="A74" s="9"/>
      <c r="B74" s="9"/>
      <c r="C74" s="15"/>
      <c r="D74" s="15"/>
      <c r="E74" s="6"/>
      <c r="F74" s="10"/>
      <c r="G74"/>
      <c r="H7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4" s="14">
        <f ca="1">OFFSET(RegisterTable[[#This Row],[$10,000.00]],-1,)+RegisterTable[[#This Row],[Net]]</f>
        <v>7379.7900000000027</v>
      </c>
    </row>
    <row r="75" spans="1:9" x14ac:dyDescent="0.35">
      <c r="A75" s="9"/>
      <c r="B75" s="9"/>
      <c r="C75" s="15"/>
      <c r="D75" s="15"/>
      <c r="E75" s="6"/>
      <c r="F75" s="10"/>
      <c r="G75"/>
      <c r="H7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5" s="14">
        <f ca="1">OFFSET(RegisterTable[[#This Row],[$10,000.00]],-1,)+RegisterTable[[#This Row],[Net]]</f>
        <v>7379.7900000000027</v>
      </c>
    </row>
    <row r="76" spans="1:9" x14ac:dyDescent="0.35">
      <c r="A76" s="9"/>
      <c r="B76" s="9"/>
      <c r="C76" s="15"/>
      <c r="D76" s="15"/>
      <c r="E76" s="6"/>
      <c r="F76" s="10"/>
      <c r="G76"/>
      <c r="H7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6" s="14">
        <f ca="1">OFFSET(RegisterTable[[#This Row],[$10,000.00]],-1,)+RegisterTable[[#This Row],[Net]]</f>
        <v>7379.7900000000027</v>
      </c>
    </row>
    <row r="77" spans="1:9" x14ac:dyDescent="0.35">
      <c r="A77" s="9"/>
      <c r="B77" s="9"/>
      <c r="C77" s="15"/>
      <c r="D77" s="15"/>
      <c r="E77" s="6"/>
      <c r="F77" s="10"/>
      <c r="G77"/>
      <c r="H7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7" s="14">
        <f ca="1">OFFSET(RegisterTable[[#This Row],[$10,000.00]],-1,)+RegisterTable[[#This Row],[Net]]</f>
        <v>7379.7900000000027</v>
      </c>
    </row>
    <row r="78" spans="1:9" x14ac:dyDescent="0.35">
      <c r="A78" s="9"/>
      <c r="B78" s="9"/>
      <c r="C78" s="15"/>
      <c r="D78" s="15"/>
      <c r="E78" s="6"/>
      <c r="F78" s="10"/>
      <c r="G78"/>
      <c r="H7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8" s="14">
        <f ca="1">OFFSET(RegisterTable[[#This Row],[$10,000.00]],-1,)+RegisterTable[[#This Row],[Net]]</f>
        <v>7379.7900000000027</v>
      </c>
    </row>
    <row r="79" spans="1:9" x14ac:dyDescent="0.35">
      <c r="A79" s="9"/>
      <c r="B79" s="9"/>
      <c r="C79" s="15"/>
      <c r="D79" s="15"/>
      <c r="E79" s="6"/>
      <c r="F79" s="10"/>
      <c r="G79"/>
      <c r="H7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9" s="14">
        <f ca="1">OFFSET(RegisterTable[[#This Row],[$10,000.00]],-1,)+RegisterTable[[#This Row],[Net]]</f>
        <v>7379.7900000000027</v>
      </c>
    </row>
    <row r="80" spans="1:9" x14ac:dyDescent="0.35">
      <c r="A80" s="9"/>
      <c r="B80" s="9"/>
      <c r="C80" s="15"/>
      <c r="D80" s="15"/>
      <c r="E80" s="6"/>
      <c r="F80" s="10"/>
      <c r="G80"/>
      <c r="H8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0" s="14">
        <f ca="1">OFFSET(RegisterTable[[#This Row],[$10,000.00]],-1,)+RegisterTable[[#This Row],[Net]]</f>
        <v>7379.7900000000027</v>
      </c>
    </row>
    <row r="81" spans="1:9" x14ac:dyDescent="0.35">
      <c r="A81" s="9"/>
      <c r="B81" s="9"/>
      <c r="C81" s="15"/>
      <c r="D81" s="15"/>
      <c r="E81" s="6"/>
      <c r="F81" s="10"/>
      <c r="G81"/>
      <c r="H8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1" s="14">
        <f ca="1">OFFSET(RegisterTable[[#This Row],[$10,000.00]],-1,)+RegisterTable[[#This Row],[Net]]</f>
        <v>7379.7900000000027</v>
      </c>
    </row>
    <row r="82" spans="1:9" x14ac:dyDescent="0.35">
      <c r="A82" s="9"/>
      <c r="B82" s="9"/>
      <c r="C82" s="15"/>
      <c r="D82" s="15"/>
      <c r="E82" s="6"/>
      <c r="F82" s="10"/>
      <c r="G82"/>
      <c r="H8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2" s="14">
        <f ca="1">OFFSET(RegisterTable[[#This Row],[$10,000.00]],-1,)+RegisterTable[[#This Row],[Net]]</f>
        <v>7379.7900000000027</v>
      </c>
    </row>
    <row r="83" spans="1:9" x14ac:dyDescent="0.35">
      <c r="A83" s="9"/>
      <c r="B83" s="9"/>
      <c r="C83" s="15"/>
      <c r="D83" s="15"/>
      <c r="E83" s="6"/>
      <c r="F83" s="10"/>
      <c r="G83"/>
      <c r="H8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3" s="14">
        <f ca="1">OFFSET(RegisterTable[[#This Row],[$10,000.00]],-1,)+RegisterTable[[#This Row],[Net]]</f>
        <v>7379.7900000000027</v>
      </c>
    </row>
    <row r="84" spans="1:9" x14ac:dyDescent="0.35">
      <c r="A84" s="9"/>
      <c r="B84" s="9"/>
      <c r="C84" s="15"/>
      <c r="D84" s="15"/>
      <c r="E84" s="6"/>
      <c r="F84" s="10"/>
      <c r="G84"/>
      <c r="H8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4" s="14">
        <f ca="1">OFFSET(RegisterTable[[#This Row],[$10,000.00]],-1,)+RegisterTable[[#This Row],[Net]]</f>
        <v>7379.7900000000027</v>
      </c>
    </row>
    <row r="85" spans="1:9" x14ac:dyDescent="0.35">
      <c r="A85" s="9"/>
      <c r="B85" s="9"/>
      <c r="C85" s="15"/>
      <c r="D85" s="15"/>
      <c r="E85" s="6"/>
      <c r="F85" s="10"/>
      <c r="G85"/>
      <c r="H8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5" s="14">
        <f ca="1">OFFSET(RegisterTable[[#This Row],[$10,000.00]],-1,)+RegisterTable[[#This Row],[Net]]</f>
        <v>7379.7900000000027</v>
      </c>
    </row>
    <row r="86" spans="1:9" x14ac:dyDescent="0.35">
      <c r="A86" s="9"/>
      <c r="B86" s="9"/>
      <c r="C86" s="15"/>
      <c r="D86" s="15"/>
      <c r="E86" s="6"/>
      <c r="F86" s="10"/>
      <c r="G86"/>
      <c r="H8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6" s="14">
        <f ca="1">OFFSET(RegisterTable[[#This Row],[$10,000.00]],-1,)+RegisterTable[[#This Row],[Net]]</f>
        <v>7379.7900000000027</v>
      </c>
    </row>
    <row r="87" spans="1:9" x14ac:dyDescent="0.35">
      <c r="A87" s="9"/>
      <c r="B87" s="9"/>
      <c r="C87" s="15"/>
      <c r="D87" s="15"/>
      <c r="E87" s="6"/>
      <c r="F87" s="10"/>
      <c r="G87"/>
      <c r="H8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7" s="14">
        <f ca="1">OFFSET(RegisterTable[[#This Row],[$10,000.00]],-1,)+RegisterTable[[#This Row],[Net]]</f>
        <v>7379.7900000000027</v>
      </c>
    </row>
    <row r="88" spans="1:9" x14ac:dyDescent="0.35">
      <c r="A88" s="9"/>
      <c r="B88" s="9"/>
      <c r="C88" s="15"/>
      <c r="D88" s="15"/>
      <c r="E88" s="6"/>
      <c r="F88" s="10"/>
      <c r="G88"/>
      <c r="H8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8" s="14">
        <f ca="1">OFFSET(RegisterTable[[#This Row],[$10,000.00]],-1,)+RegisterTable[[#This Row],[Net]]</f>
        <v>7379.7900000000027</v>
      </c>
    </row>
    <row r="89" spans="1:9" x14ac:dyDescent="0.35">
      <c r="A89" s="9"/>
      <c r="B89" s="9"/>
      <c r="C89" s="15"/>
      <c r="D89" s="15"/>
      <c r="E89" s="6"/>
      <c r="F89" s="10"/>
      <c r="G89"/>
      <c r="H8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9" s="14">
        <f ca="1">OFFSET(RegisterTable[[#This Row],[$10,000.00]],-1,)+RegisterTable[[#This Row],[Net]]</f>
        <v>7379.7900000000027</v>
      </c>
    </row>
    <row r="90" spans="1:9" x14ac:dyDescent="0.35">
      <c r="A90" s="9"/>
      <c r="B90" s="9"/>
      <c r="C90" s="15"/>
      <c r="D90" s="15"/>
      <c r="E90" s="6"/>
      <c r="F90" s="10"/>
      <c r="G90"/>
      <c r="H9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0" s="14">
        <f ca="1">OFFSET(RegisterTable[[#This Row],[$10,000.00]],-1,)+RegisterTable[[#This Row],[Net]]</f>
        <v>7379.7900000000027</v>
      </c>
    </row>
    <row r="91" spans="1:9" x14ac:dyDescent="0.35">
      <c r="A91" s="9"/>
      <c r="B91" s="9"/>
      <c r="C91" s="15"/>
      <c r="D91" s="15"/>
      <c r="E91" s="6"/>
      <c r="F91" s="10"/>
      <c r="G91"/>
      <c r="H9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1" s="14">
        <f ca="1">OFFSET(RegisterTable[[#This Row],[$10,000.00]],-1,)+RegisterTable[[#This Row],[Net]]</f>
        <v>7379.7900000000027</v>
      </c>
    </row>
    <row r="92" spans="1:9" x14ac:dyDescent="0.35">
      <c r="A92" s="9"/>
      <c r="B92" s="9"/>
      <c r="C92" s="15"/>
      <c r="D92" s="15"/>
      <c r="E92" s="6"/>
      <c r="F92" s="10"/>
      <c r="G92"/>
      <c r="H9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2" s="14">
        <f ca="1">OFFSET(RegisterTable[[#This Row],[$10,000.00]],-1,)+RegisterTable[[#This Row],[Net]]</f>
        <v>7379.7900000000027</v>
      </c>
    </row>
  </sheetData>
  <phoneticPr fontId="3" type="noConversion"/>
  <conditionalFormatting sqref="G7:G92 C7:E92">
    <cfRule type="cellIs" dxfId="71" priority="8" operator="equal">
      <formula>0</formula>
    </cfRule>
  </conditionalFormatting>
  <conditionalFormatting sqref="B5 C4 I6:I7">
    <cfRule type="cellIs" dxfId="70" priority="5" operator="equal">
      <formula>0</formula>
    </cfRule>
  </conditionalFormatting>
  <conditionalFormatting sqref="A7:I92">
    <cfRule type="expression" dxfId="69" priority="2">
      <formula>$A7="Rec"</formula>
    </cfRule>
  </conditionalFormatting>
  <dataValidations count="2">
    <dataValidation type="list" allowBlank="1" showInputMessage="1" showErrorMessage="1" sqref="F7:F31 F32:F92" xr:uid="{FACAB7E6-8EDD-409D-8433-6D338E1DB06D}">
      <formula1>CategoriesList</formula1>
    </dataValidation>
    <dataValidation type="list" allowBlank="1" showInputMessage="1" showErrorMessage="1" sqref="A7:A92" xr:uid="{64AC772F-6EAE-43F2-9693-0D3DC8D52BFE}">
      <formula1>"Rec,"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A7D-2307-4D38-94C2-B579DAA0D29F}">
  <dimension ref="A2:Q42"/>
  <sheetViews>
    <sheetView tabSelected="1" zoomScale="90" zoomScaleNormal="90" workbookViewId="0">
      <pane xSplit="1" topLeftCell="B1" activePane="topRight" state="frozen"/>
      <selection activeCell="A21" sqref="A21"/>
      <selection pane="topRight" activeCell="D5" sqref="D5"/>
    </sheetView>
  </sheetViews>
  <sheetFormatPr defaultRowHeight="14.5" x14ac:dyDescent="0.35"/>
  <cols>
    <col min="1" max="1" width="19.81640625" style="2" customWidth="1"/>
    <col min="2" max="2" width="12.1796875" style="2" customWidth="1"/>
    <col min="3" max="17" width="12.1796875" customWidth="1"/>
  </cols>
  <sheetData>
    <row r="2" spans="1:17" ht="17.5" thickBot="1" x14ac:dyDescent="0.45">
      <c r="A2" s="5" t="s">
        <v>32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thickTop="1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5">
      <c r="A4" s="11" t="s">
        <v>30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1" t="s">
        <v>11</v>
      </c>
      <c r="K4" s="11" t="s">
        <v>2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19</v>
      </c>
      <c r="Q4" s="11" t="s">
        <v>16</v>
      </c>
    </row>
    <row r="5" spans="1:17" x14ac:dyDescent="0.35">
      <c r="A5" s="22" t="s">
        <v>45</v>
      </c>
      <c r="B5" s="27" cm="1">
        <f t="array" ref="B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C5" s="27" cm="1">
        <f t="array" ref="C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D5" s="27" cm="1">
        <f t="array" ref="D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5" s="27" cm="1">
        <f t="array" ref="E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5" s="27" cm="1">
        <f t="array" ref="F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5" s="27" cm="1">
        <f t="array" ref="G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5" s="27" cm="1">
        <f t="array" ref="H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5" s="27" cm="1">
        <f t="array" ref="I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5" s="27" cm="1">
        <f t="array" ref="J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5" s="27" cm="1">
        <f t="array" ref="K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5" s="27" cm="1">
        <f t="array" ref="L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5" s="27" cm="1">
        <f t="array" ref="M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5" s="27" cm="1">
        <f t="array" ref="N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5" s="27" cm="1">
        <f t="array" ref="O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5" s="27" cm="1">
        <f t="array" ref="P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5" s="27">
        <f>SUM(ActualTable[[#This Row],[Nov 2022]:[Jan 2024]])</f>
        <v>10000</v>
      </c>
    </row>
    <row r="6" spans="1:17" x14ac:dyDescent="0.35">
      <c r="A6" s="22" t="s">
        <v>26</v>
      </c>
      <c r="B6" s="27" cm="1">
        <f t="array" ref="B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0.7</v>
      </c>
      <c r="C6" s="27" cm="1">
        <f t="array" ref="C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0.37</v>
      </c>
      <c r="D6" s="27" cm="1">
        <f t="array" ref="D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6" s="27" cm="1">
        <f t="array" ref="E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6" s="27" cm="1">
        <f t="array" ref="F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6" s="27" cm="1">
        <f t="array" ref="G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6" s="27" cm="1">
        <f t="array" ref="H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6" s="27" cm="1">
        <f t="array" ref="I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6" s="27" cm="1">
        <f t="array" ref="J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6" s="27" cm="1">
        <f t="array" ref="K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6" s="27" cm="1">
        <f t="array" ref="L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6" s="27" cm="1">
        <f t="array" ref="M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6" s="27" cm="1">
        <f t="array" ref="N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6" s="27" cm="1">
        <f t="array" ref="O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6" s="27" cm="1">
        <f t="array" ref="P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6" s="27">
        <f>SUM(ActualTable[[#This Row],[Nov 2022]:[Jan 2024]])</f>
        <v>1.0699999999999998</v>
      </c>
    </row>
    <row r="7" spans="1:17" x14ac:dyDescent="0.35">
      <c r="A7" s="22" t="s">
        <v>17</v>
      </c>
      <c r="B7" s="27" cm="1">
        <f t="array" ref="B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7" s="27" cm="1">
        <f t="array" ref="C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7" s="27" cm="1">
        <f t="array" ref="D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132</v>
      </c>
      <c r="E7" s="27" cm="1">
        <f t="array" ref="E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7" s="27" cm="1">
        <f t="array" ref="F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7" s="27" cm="1">
        <f t="array" ref="G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7" s="27" cm="1">
        <f t="array" ref="H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7" s="27" cm="1">
        <f t="array" ref="I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7" s="27" cm="1">
        <f t="array" ref="J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7" s="27" cm="1">
        <f t="array" ref="K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7" s="27" cm="1">
        <f t="array" ref="L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7" s="27" cm="1">
        <f t="array" ref="M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7" s="27" cm="1">
        <f t="array" ref="N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7" s="27" cm="1">
        <f t="array" ref="O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7" s="27" cm="1">
        <f t="array" ref="P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7" s="27">
        <f>SUM(ActualTable[[#This Row],[Nov 2022]:[Jan 2024]])</f>
        <v>132</v>
      </c>
    </row>
    <row r="8" spans="1:17" x14ac:dyDescent="0.35">
      <c r="A8" s="22" t="s">
        <v>20</v>
      </c>
      <c r="B8" s="27" cm="1">
        <f t="array" ref="B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C8" s="27" cm="1">
        <f t="array" ref="C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D8" s="27" cm="1">
        <f t="array" ref="D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-2592.86</v>
      </c>
      <c r="E8" s="27" cm="1">
        <f t="array" ref="E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8" s="27" cm="1">
        <f t="array" ref="F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8" s="27" cm="1">
        <f t="array" ref="G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8" s="27" cm="1">
        <f t="array" ref="H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8" s="27" cm="1">
        <f t="array" ref="I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8" s="27" cm="1">
        <f t="array" ref="J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8" s="27" cm="1">
        <f t="array" ref="K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8" s="27" cm="1">
        <f t="array" ref="L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8" s="27" cm="1">
        <f t="array" ref="M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8" s="27" cm="1">
        <f t="array" ref="N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8" s="27" cm="1">
        <f t="array" ref="O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8" s="27" cm="1">
        <f t="array" ref="P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8" s="27">
        <f>SUM(ActualTable[[#This Row],[Nov 2022]:[Jan 2024]])</f>
        <v>-7592.8600000000006</v>
      </c>
    </row>
    <row r="9" spans="1:17" x14ac:dyDescent="0.35">
      <c r="A9" s="22" t="s">
        <v>21</v>
      </c>
      <c r="B9" s="27" cm="1">
        <f t="array" ref="B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-164.55</v>
      </c>
      <c r="C9" s="27" cm="1">
        <f t="array" ref="C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-231.09</v>
      </c>
      <c r="D9" s="27" cm="1">
        <f t="array" ref="D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9" s="27" cm="1">
        <f t="array" ref="E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9" s="27" cm="1">
        <f t="array" ref="F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9" s="27" cm="1">
        <f t="array" ref="G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9" s="27" cm="1">
        <f t="array" ref="H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9" s="27" cm="1">
        <f t="array" ref="I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9" s="27" cm="1">
        <f t="array" ref="J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9" s="27" cm="1">
        <f t="array" ref="K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9" s="27" cm="1">
        <f t="array" ref="L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9" s="27" cm="1">
        <f t="array" ref="M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9" s="27" cm="1">
        <f t="array" ref="N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9" s="27" cm="1">
        <f t="array" ref="O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9" s="27" cm="1">
        <f t="array" ref="P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9" s="27">
        <f>SUM(ActualTable[[#This Row],[Nov 2022]:[Jan 2024]])</f>
        <v>-395.64</v>
      </c>
    </row>
    <row r="10" spans="1:17" x14ac:dyDescent="0.35">
      <c r="A10" s="22" t="s">
        <v>34</v>
      </c>
      <c r="B10" s="28" cm="1">
        <f t="array" ref="B1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-121.93</v>
      </c>
      <c r="C10" s="28" cm="1">
        <f t="array" ref="C1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-277.88</v>
      </c>
      <c r="D10" s="28" cm="1">
        <f t="array" ref="D1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0" s="28" cm="1">
        <f t="array" ref="E1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0" s="28" cm="1">
        <f t="array" ref="F1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0" s="28" cm="1">
        <f t="array" ref="G1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0" s="28" cm="1">
        <f t="array" ref="H1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0" s="28" cm="1">
        <f t="array" ref="I1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0" s="28" cm="1">
        <f t="array" ref="J1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0" s="28" cm="1">
        <f t="array" ref="K1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0" s="28" cm="1">
        <f t="array" ref="L1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0" s="28" cm="1">
        <f t="array" ref="M1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0" s="28" cm="1">
        <f t="array" ref="N1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0" s="28" cm="1">
        <f t="array" ref="O1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0" s="28" cm="1">
        <f t="array" ref="P1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0" s="27">
        <f>SUM(ActualTable[[#This Row],[Nov 2022]:[Jan 2024]])</f>
        <v>-399.81</v>
      </c>
    </row>
    <row r="11" spans="1:17" x14ac:dyDescent="0.35">
      <c r="A11" s="22" t="s">
        <v>38</v>
      </c>
      <c r="B11" s="27" cm="1">
        <f t="array" ref="B1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1" s="27" cm="1">
        <f t="array" ref="C1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-209.23000000000002</v>
      </c>
      <c r="D11" s="27" cm="1">
        <f t="array" ref="D1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1" s="27" cm="1">
        <f t="array" ref="E1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1" s="27" cm="1">
        <f t="array" ref="F1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1" s="27" cm="1">
        <f t="array" ref="G1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1" s="27" cm="1">
        <f t="array" ref="H1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1" s="27" cm="1">
        <f t="array" ref="I1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1" s="27" cm="1">
        <f t="array" ref="J1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1" s="27" cm="1">
        <f t="array" ref="K1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1" s="27" cm="1">
        <f t="array" ref="L1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1" s="27" cm="1">
        <f t="array" ref="M1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1" s="27" cm="1">
        <f t="array" ref="N1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1" s="27" cm="1">
        <f t="array" ref="O1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1" s="27" cm="1">
        <f t="array" ref="P1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1" s="27">
        <f>SUM(ActualTable[[#This Row],[Nov 2022]:[Jan 2024]])</f>
        <v>-209.23000000000002</v>
      </c>
    </row>
    <row r="12" spans="1:17" x14ac:dyDescent="0.35">
      <c r="A12" s="20" t="s">
        <v>69</v>
      </c>
      <c r="B12" s="27" cm="1">
        <f t="array" ref="B12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2" s="27" cm="1">
        <f t="array" ref="C12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2" s="27" cm="1">
        <f t="array" ref="D12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-7.98</v>
      </c>
      <c r="E12" s="27" cm="1">
        <f t="array" ref="E12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2" s="27" cm="1">
        <f t="array" ref="F12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2" s="27" cm="1">
        <f t="array" ref="G12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2" s="27" cm="1">
        <f t="array" ref="H12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2" s="27" cm="1">
        <f t="array" ref="I12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2" s="27" cm="1">
        <f t="array" ref="J12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2" s="27" cm="1">
        <f t="array" ref="K12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2" s="27" cm="1">
        <f t="array" ref="L12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2" s="27" cm="1">
        <f t="array" ref="M12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2" s="27" cm="1">
        <f t="array" ref="N12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2" s="27" cm="1">
        <f t="array" ref="O12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2" s="27" cm="1">
        <f t="array" ref="P12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2" s="27">
        <f>SUM(ActualTable[[#This Row],[Nov 2022]:[Jan 2024]])</f>
        <v>-7.98</v>
      </c>
    </row>
    <row r="13" spans="1:17" x14ac:dyDescent="0.35">
      <c r="A13" s="22" t="s">
        <v>24</v>
      </c>
      <c r="B13" s="27" cm="1">
        <f t="array" ref="B13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C13" s="27" cm="1">
        <f t="array" ref="C13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D13" s="27" cm="1">
        <f t="array" ref="D13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3" s="27" cm="1">
        <f t="array" ref="E13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3" s="27" cm="1">
        <f t="array" ref="F13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3" s="27" cm="1">
        <f t="array" ref="G13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3" s="27" cm="1">
        <f t="array" ref="H13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3" s="27" cm="1">
        <f t="array" ref="I13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3" s="27" cm="1">
        <f t="array" ref="J13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3" s="27" cm="1">
        <f t="array" ref="K13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3" s="27" cm="1">
        <f t="array" ref="L13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3" s="27" cm="1">
        <f t="array" ref="M13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3" s="27" cm="1">
        <f t="array" ref="N13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3" s="27" cm="1">
        <f t="array" ref="O13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3" s="27" cm="1">
        <f t="array" ref="P13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3" s="27">
        <f>SUM(ActualTable[[#This Row],[Nov 2022]:[Jan 2024]])</f>
        <v>-512</v>
      </c>
    </row>
    <row r="14" spans="1:17" x14ac:dyDescent="0.35">
      <c r="A14" s="22" t="s">
        <v>25</v>
      </c>
      <c r="B14" s="27" cm="1">
        <f t="array" ref="B14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-193.24</v>
      </c>
      <c r="C14" s="27" cm="1">
        <f t="array" ref="C14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-314.40000000000003</v>
      </c>
      <c r="D14" s="27" cm="1">
        <f t="array" ref="D14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4" s="27" cm="1">
        <f t="array" ref="E14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4" s="27" cm="1">
        <f t="array" ref="F14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4" s="27" cm="1">
        <f t="array" ref="G14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4" s="27" cm="1">
        <f t="array" ref="H14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4" s="27" cm="1">
        <f t="array" ref="I14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4" s="27" cm="1">
        <f t="array" ref="J14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4" s="27" cm="1">
        <f t="array" ref="K14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4" s="27" cm="1">
        <f t="array" ref="L14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4" s="27" cm="1">
        <f t="array" ref="M14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4" s="27" cm="1">
        <f t="array" ref="N14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4" s="27" cm="1">
        <f t="array" ref="O14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4" s="27" cm="1">
        <f t="array" ref="P14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4" s="27">
        <f>SUM(ActualTable[[#This Row],[Nov 2022]:[Jan 2024]])</f>
        <v>-507.64000000000004</v>
      </c>
    </row>
    <row r="15" spans="1:17" x14ac:dyDescent="0.35">
      <c r="A15" s="24" t="s">
        <v>23</v>
      </c>
      <c r="B15" s="27" cm="1">
        <f t="array" ref="B1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5" s="27" cm="1">
        <f t="array" ref="C1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-617</v>
      </c>
      <c r="D15" s="27" cm="1">
        <f t="array" ref="D1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5" s="27" cm="1">
        <f t="array" ref="E1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5" s="27" cm="1">
        <f t="array" ref="F1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5" s="27" cm="1">
        <f t="array" ref="G1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5" s="27" cm="1">
        <f t="array" ref="H1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5" s="27" cm="1">
        <f t="array" ref="I1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5" s="27" cm="1">
        <f t="array" ref="J1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5" s="27" cm="1">
        <f t="array" ref="K1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5" s="27" cm="1">
        <f t="array" ref="L1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5" s="27" cm="1">
        <f t="array" ref="M1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5" s="27" cm="1">
        <f t="array" ref="N1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5" s="27" cm="1">
        <f t="array" ref="O1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5" s="27" cm="1">
        <f t="array" ref="P1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5" s="27">
        <f>SUM(ActualTable[[#This Row],[Nov 2022]:[Jan 2024]])</f>
        <v>-617</v>
      </c>
    </row>
    <row r="16" spans="1:17" x14ac:dyDescent="0.35">
      <c r="A16" s="24" t="s">
        <v>22</v>
      </c>
      <c r="B16" s="27" cm="1">
        <f t="array" ref="B1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-599</v>
      </c>
      <c r="C16" s="27" cm="1">
        <f t="array" ref="C1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-1206.5999999999999</v>
      </c>
      <c r="D16" s="27" cm="1">
        <f t="array" ref="D1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6" s="27" cm="1">
        <f t="array" ref="E1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6" s="27" cm="1">
        <f t="array" ref="F1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6" s="27" cm="1">
        <f t="array" ref="G1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6" s="27" cm="1">
        <f t="array" ref="H1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6" s="27" cm="1">
        <f t="array" ref="I1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6" s="27" cm="1">
        <f t="array" ref="J1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6" s="27" cm="1">
        <f t="array" ref="K1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6" s="27" cm="1">
        <f t="array" ref="L1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6" s="27" cm="1">
        <f t="array" ref="M1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6" s="27" cm="1">
        <f t="array" ref="N1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6" s="27" cm="1">
        <f t="array" ref="O1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6" s="27" cm="1">
        <f t="array" ref="P1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6" s="27">
        <f>SUM(ActualTable[[#This Row],[Nov 2022]:[Jan 2024]])</f>
        <v>-1805.6</v>
      </c>
    </row>
    <row r="17" spans="1:17" x14ac:dyDescent="0.35">
      <c r="A17" s="22" t="s">
        <v>44</v>
      </c>
      <c r="B17" s="27" cm="1">
        <f t="array" ref="B1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7" s="27" cm="1">
        <f t="array" ref="C1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-111.45</v>
      </c>
      <c r="D17" s="27" cm="1">
        <f t="array" ref="D1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7" s="27" cm="1">
        <f t="array" ref="E1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7" s="27" cm="1">
        <f t="array" ref="F1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7" s="27" cm="1">
        <f t="array" ref="G1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7" s="27" cm="1">
        <f t="array" ref="H1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7" s="27" cm="1">
        <f t="array" ref="I1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7" s="27" cm="1">
        <f t="array" ref="J1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7" s="27" cm="1">
        <f t="array" ref="K1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7" s="27" cm="1">
        <f t="array" ref="L1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7" s="27" cm="1">
        <f t="array" ref="M1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7" s="27" cm="1">
        <f t="array" ref="N1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7" s="27" cm="1">
        <f t="array" ref="O1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7" s="27" cm="1">
        <f t="array" ref="P1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7" s="27">
        <f>SUM(ActualTable[[#This Row],[Nov 2022]:[Jan 2024]])</f>
        <v>-111.45</v>
      </c>
    </row>
    <row r="18" spans="1:17" x14ac:dyDescent="0.35">
      <c r="A18" s="22" t="s">
        <v>35</v>
      </c>
      <c r="B18" s="27" cm="1">
        <f t="array" ref="B1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8" s="27" cm="1">
        <f t="array" ref="C1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8" s="27" cm="1">
        <f t="array" ref="D1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-528.07000000000005</v>
      </c>
      <c r="E18" s="27" cm="1">
        <f t="array" ref="E1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8" s="27" cm="1">
        <f t="array" ref="F1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8" s="27" cm="1">
        <f t="array" ref="G1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8" s="27" cm="1">
        <f t="array" ref="H1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8" s="27" cm="1">
        <f t="array" ref="I1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8" s="27" cm="1">
        <f t="array" ref="J1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8" s="27" cm="1">
        <f t="array" ref="K1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8" s="27" cm="1">
        <f t="array" ref="L1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8" s="27" cm="1">
        <f t="array" ref="M1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8" s="27" cm="1">
        <f t="array" ref="N1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8" s="27" cm="1">
        <f t="array" ref="O1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8" s="27" cm="1">
        <f t="array" ref="P1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8" s="27">
        <f>SUM(ActualTable[[#This Row],[Nov 2022]:[Jan 2024]])</f>
        <v>-528.07000000000005</v>
      </c>
    </row>
    <row r="19" spans="1:17" x14ac:dyDescent="0.35">
      <c r="A19" s="22" t="s">
        <v>18</v>
      </c>
      <c r="B19" s="27" cm="1">
        <f t="array" ref="B1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9" s="27" cm="1">
        <f t="array" ref="C1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9" s="27" cm="1">
        <f t="array" ref="D1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-66</v>
      </c>
      <c r="E19" s="27" cm="1">
        <f t="array" ref="E1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9" s="27" cm="1">
        <f t="array" ref="F1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9" s="27" cm="1">
        <f t="array" ref="G1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9" s="27" cm="1">
        <f t="array" ref="H1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9" s="27" cm="1">
        <f t="array" ref="I1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9" s="27" cm="1">
        <f t="array" ref="J1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9" s="27" cm="1">
        <f t="array" ref="K1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9" s="27" cm="1">
        <f t="array" ref="L1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9" s="27" cm="1">
        <f t="array" ref="M1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9" s="27" cm="1">
        <f t="array" ref="N1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9" s="27" cm="1">
        <f t="array" ref="O1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9" s="27" cm="1">
        <f t="array" ref="P1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9" s="27">
        <f>SUM(ActualTable[[#This Row],[Nov 2022]:[Jan 2024]])</f>
        <v>-66</v>
      </c>
    </row>
    <row r="20" spans="1:17" x14ac:dyDescent="0.35">
      <c r="A20" s="22" t="s">
        <v>1</v>
      </c>
      <c r="B20" s="27" cm="1">
        <f t="array" ref="B2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0" s="27" cm="1">
        <f t="array" ref="C2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0" s="27" cm="1">
        <f t="array" ref="D2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20" s="27" cm="1">
        <f t="array" ref="E2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0" s="27" cm="1">
        <f t="array" ref="F2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0" s="27" cm="1">
        <f t="array" ref="G2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0" s="27" cm="1">
        <f t="array" ref="H2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0" s="27" cm="1">
        <f t="array" ref="I2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0" s="27" cm="1">
        <f t="array" ref="J2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0" s="27" cm="1">
        <f t="array" ref="K2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0" s="27" cm="1">
        <f t="array" ref="L2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0" s="27" cm="1">
        <f t="array" ref="M2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0" s="27" cm="1">
        <f t="array" ref="N2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0" s="27" cm="1">
        <f t="array" ref="O2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0" s="27" cm="1">
        <f t="array" ref="P2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20" s="27">
        <f>SUM(ActualTable[[#This Row],[Nov 2022]:[Jan 2024]])</f>
        <v>0</v>
      </c>
    </row>
    <row r="21" spans="1:17" x14ac:dyDescent="0.35">
      <c r="A21" s="25" t="s">
        <v>0</v>
      </c>
      <c r="B21" s="27" cm="1">
        <f t="array" ref="B21">OpeningBalance+SUM(ActualTable[Nov 2022])</f>
        <v>11165.98</v>
      </c>
      <c r="C21" s="27">
        <f>ActualTable[[#Totals],[Nov 2022]]+SUM(ActualTable[Dec 2022])</f>
        <v>10442.699999999999</v>
      </c>
      <c r="D21" s="27">
        <f>ActualTable[[#Totals],[Dec 2022]]+SUM(ActualTable[Jan 2023])</f>
        <v>7379.7899999999991</v>
      </c>
      <c r="E21" s="27">
        <f>ActualTable[[#Totals],[Jan 2023]]+SUM(ActualTable[Feb 2023])</f>
        <v>7379.7899999999991</v>
      </c>
      <c r="F21" s="27">
        <f>ActualTable[[#Totals],[Feb 2023]]+SUM(ActualTable[Mar 2023])</f>
        <v>7379.7899999999991</v>
      </c>
      <c r="G21" s="27">
        <f>ActualTable[[#Totals],[Mar 2023]]+SUM(ActualTable[Apr 2023])</f>
        <v>7379.7899999999991</v>
      </c>
      <c r="H21" s="27">
        <f>ActualTable[[#Totals],[Apr 2023]]+SUM(ActualTable[May 2023])</f>
        <v>7379.7899999999991</v>
      </c>
      <c r="I21" s="27">
        <f>ActualTable[[#Totals],[May 2023]]+SUM(ActualTable[Jun 2023])</f>
        <v>7379.7899999999991</v>
      </c>
      <c r="J21" s="27">
        <f>ActualTable[[#Totals],[Jun 2023]]+SUM(ActualTable[Jul 2023])</f>
        <v>7379.7899999999991</v>
      </c>
      <c r="K21" s="27">
        <f>ActualTable[[#Totals],[Jul 2023]]+SUM(ActualTable[Aug 2023])</f>
        <v>7379.7899999999991</v>
      </c>
      <c r="L21" s="27">
        <f>ActualTable[[#Totals],[Aug 2023]]+SUM(ActualTable[Sep 2023])</f>
        <v>7379.7899999999991</v>
      </c>
      <c r="M21" s="27">
        <f>ActualTable[[#Totals],[Sep 2023]]+SUM(ActualTable[Oct 2023])</f>
        <v>7379.7899999999991</v>
      </c>
      <c r="N21" s="27">
        <f>ActualTable[[#Totals],[Oct 2023]]+SUM(ActualTable[Nov 2023])</f>
        <v>7379.7899999999991</v>
      </c>
      <c r="O21" s="27">
        <f>ActualTable[[#Totals],[Nov 2023]]+SUM(ActualTable[Dec 2023])</f>
        <v>7379.7899999999991</v>
      </c>
      <c r="P21" s="27">
        <f>ActualTable[[#Totals],[Dec 2023]]+SUM(ActualTable[Jan 2024])</f>
        <v>7379.7899999999991</v>
      </c>
      <c r="Q21" s="26"/>
    </row>
    <row r="22" spans="1:17" x14ac:dyDescent="0.3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 ht="17.5" thickBot="1" x14ac:dyDescent="0.45">
      <c r="A23" s="5" t="s">
        <v>31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" thickTop="1" x14ac:dyDescent="0.35"/>
    <row r="25" spans="1:17" x14ac:dyDescent="0.35">
      <c r="A25" s="11" t="s">
        <v>30</v>
      </c>
      <c r="B25" s="12" t="s">
        <v>3</v>
      </c>
      <c r="C25" s="12" t="s">
        <v>4</v>
      </c>
      <c r="D25" s="12" t="s">
        <v>5</v>
      </c>
      <c r="E25" s="12" t="s">
        <v>6</v>
      </c>
      <c r="F25" s="12" t="s">
        <v>7</v>
      </c>
      <c r="G25" s="12" t="s">
        <v>8</v>
      </c>
      <c r="H25" s="12" t="s">
        <v>9</v>
      </c>
      <c r="I25" s="12" t="s">
        <v>10</v>
      </c>
      <c r="J25" s="11" t="s">
        <v>11</v>
      </c>
      <c r="K25" s="11" t="s">
        <v>2</v>
      </c>
      <c r="L25" s="11" t="s">
        <v>12</v>
      </c>
      <c r="M25" s="11" t="s">
        <v>13</v>
      </c>
      <c r="N25" s="11" t="s">
        <v>14</v>
      </c>
      <c r="O25" s="11" t="s">
        <v>15</v>
      </c>
      <c r="P25" s="11" t="s">
        <v>19</v>
      </c>
      <c r="Q25" s="11" t="s">
        <v>16</v>
      </c>
    </row>
    <row r="26" spans="1:17" x14ac:dyDescent="0.35">
      <c r="A26" s="22" t="s">
        <v>45</v>
      </c>
      <c r="B26" s="23">
        <v>5000</v>
      </c>
      <c r="C26" s="23">
        <v>5000</v>
      </c>
      <c r="D26" s="23">
        <v>5250</v>
      </c>
      <c r="E26" s="23">
        <v>5250</v>
      </c>
      <c r="F26" s="23">
        <v>5250</v>
      </c>
      <c r="G26" s="23">
        <v>5250</v>
      </c>
      <c r="H26" s="23">
        <v>5250</v>
      </c>
      <c r="I26" s="23">
        <v>5250</v>
      </c>
      <c r="J26" s="23">
        <v>5250</v>
      </c>
      <c r="K26" s="23">
        <v>5250</v>
      </c>
      <c r="L26" s="23">
        <v>5250</v>
      </c>
      <c r="M26" s="23">
        <v>5250</v>
      </c>
      <c r="N26" s="23">
        <v>5250</v>
      </c>
      <c r="O26" s="23">
        <v>5250</v>
      </c>
      <c r="P26" s="23">
        <v>5250</v>
      </c>
      <c r="Q26" s="27">
        <f>SUM(BudgetTable[[#This Row],[Nov 2022]:[Jan 2024]])</f>
        <v>78250</v>
      </c>
    </row>
    <row r="27" spans="1:17" x14ac:dyDescent="0.35">
      <c r="A27" s="22" t="s">
        <v>26</v>
      </c>
      <c r="B27" s="21">
        <v>0.7</v>
      </c>
      <c r="C27" s="21">
        <v>0.37</v>
      </c>
      <c r="D27" s="21">
        <v>0.5</v>
      </c>
      <c r="E27" s="21">
        <v>0.5</v>
      </c>
      <c r="F27" s="21">
        <v>0.5</v>
      </c>
      <c r="G27" s="21">
        <v>0.5</v>
      </c>
      <c r="H27" s="21">
        <v>0.5</v>
      </c>
      <c r="I27" s="21">
        <v>0.5</v>
      </c>
      <c r="J27" s="21">
        <v>0.5</v>
      </c>
      <c r="K27" s="21">
        <v>0.5</v>
      </c>
      <c r="L27" s="21">
        <v>0.5</v>
      </c>
      <c r="M27" s="21">
        <v>0.5</v>
      </c>
      <c r="N27" s="21">
        <v>0.5</v>
      </c>
      <c r="O27" s="21">
        <v>0.5</v>
      </c>
      <c r="P27" s="21">
        <v>0.5</v>
      </c>
      <c r="Q27" s="27">
        <f>SUM(BudgetTable[[#This Row],[Nov 2022]:[Jan 2024]])</f>
        <v>7.57</v>
      </c>
    </row>
    <row r="28" spans="1:17" x14ac:dyDescent="0.35">
      <c r="A28" s="22" t="s">
        <v>17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7">
        <f>SUM(BudgetTable[[#This Row],[Nov 2022]:[Jan 2024]])</f>
        <v>0</v>
      </c>
    </row>
    <row r="29" spans="1:17" x14ac:dyDescent="0.35">
      <c r="A29" s="22" t="s">
        <v>20</v>
      </c>
      <c r="B29" s="23">
        <v>-2500</v>
      </c>
      <c r="C29" s="21">
        <v>-2500</v>
      </c>
      <c r="D29" s="21">
        <v>-2592.86</v>
      </c>
      <c r="E29" s="21">
        <v>-2592.86</v>
      </c>
      <c r="F29" s="21">
        <v>-2592.86</v>
      </c>
      <c r="G29" s="21">
        <v>-2592.86</v>
      </c>
      <c r="H29" s="21">
        <v>-2592.86</v>
      </c>
      <c r="I29" s="21">
        <v>-2592.86</v>
      </c>
      <c r="J29" s="21">
        <v>-2592.86</v>
      </c>
      <c r="K29" s="21">
        <v>-2592.86</v>
      </c>
      <c r="L29" s="21">
        <v>-2592.86</v>
      </c>
      <c r="M29" s="21">
        <v>-2592.86</v>
      </c>
      <c r="N29" s="21">
        <v>-2592.86</v>
      </c>
      <c r="O29" s="21">
        <v>-2592.86</v>
      </c>
      <c r="P29" s="21">
        <v>-2592.86</v>
      </c>
      <c r="Q29" s="27">
        <f>SUM(BudgetTable[[#This Row],[Nov 2022]:[Jan 2024]])</f>
        <v>-38707.180000000008</v>
      </c>
    </row>
    <row r="30" spans="1:17" x14ac:dyDescent="0.35">
      <c r="A30" s="22" t="s">
        <v>21</v>
      </c>
      <c r="B30" s="21">
        <v>-164.55</v>
      </c>
      <c r="C30" s="21">
        <v>-231.09</v>
      </c>
      <c r="D30" s="21">
        <v>-200</v>
      </c>
      <c r="E30" s="21">
        <v>-200</v>
      </c>
      <c r="F30" s="21">
        <v>-200</v>
      </c>
      <c r="G30" s="21">
        <v>-200</v>
      </c>
      <c r="H30" s="21">
        <v>-200</v>
      </c>
      <c r="I30" s="21">
        <v>-200</v>
      </c>
      <c r="J30" s="21">
        <v>-200</v>
      </c>
      <c r="K30" s="21">
        <v>-200</v>
      </c>
      <c r="L30" s="21">
        <v>-200</v>
      </c>
      <c r="M30" s="21">
        <v>-200</v>
      </c>
      <c r="N30" s="21">
        <v>-200</v>
      </c>
      <c r="O30" s="21">
        <v>-200</v>
      </c>
      <c r="P30" s="21">
        <v>-200</v>
      </c>
      <c r="Q30" s="27">
        <f>SUM(BudgetTable[[#This Row],[Nov 2022]:[Jan 2024]])</f>
        <v>-2995.64</v>
      </c>
    </row>
    <row r="31" spans="1:17" x14ac:dyDescent="0.35">
      <c r="A31" s="22" t="s">
        <v>34</v>
      </c>
      <c r="B31" s="21">
        <v>-121.93</v>
      </c>
      <c r="C31" s="21">
        <v>-277.88</v>
      </c>
      <c r="D31" s="21">
        <v>-250</v>
      </c>
      <c r="E31" s="21">
        <v>-250</v>
      </c>
      <c r="F31" s="21">
        <v>-250</v>
      </c>
      <c r="G31" s="21">
        <v>-250</v>
      </c>
      <c r="H31" s="21">
        <v>-250</v>
      </c>
      <c r="I31" s="21">
        <v>-250</v>
      </c>
      <c r="J31" s="21">
        <v>-250</v>
      </c>
      <c r="K31" s="21">
        <v>-250</v>
      </c>
      <c r="L31" s="21">
        <v>-250</v>
      </c>
      <c r="M31" s="21">
        <v>-250</v>
      </c>
      <c r="N31" s="21">
        <v>-250</v>
      </c>
      <c r="O31" s="21">
        <v>-250</v>
      </c>
      <c r="P31" s="21">
        <v>-250</v>
      </c>
      <c r="Q31" s="27">
        <f>SUM(BudgetTable[[#This Row],[Nov 2022]:[Jan 2024]])</f>
        <v>-3649.81</v>
      </c>
    </row>
    <row r="32" spans="1:17" x14ac:dyDescent="0.35">
      <c r="A32" s="22" t="s">
        <v>38</v>
      </c>
      <c r="B32" s="21">
        <v>-106.23</v>
      </c>
      <c r="C32" s="21">
        <v>-103</v>
      </c>
      <c r="D32" s="21">
        <v>-110</v>
      </c>
      <c r="E32" s="21">
        <v>-110</v>
      </c>
      <c r="F32" s="21">
        <v>-110</v>
      </c>
      <c r="G32" s="21">
        <v>-110</v>
      </c>
      <c r="H32" s="21">
        <v>-110</v>
      </c>
      <c r="I32" s="21">
        <v>-110</v>
      </c>
      <c r="J32" s="21">
        <v>-110</v>
      </c>
      <c r="K32" s="21">
        <v>-110</v>
      </c>
      <c r="L32" s="21">
        <v>-110</v>
      </c>
      <c r="M32" s="21">
        <v>-110</v>
      </c>
      <c r="N32" s="21">
        <v>-110</v>
      </c>
      <c r="O32" s="21">
        <v>-110</v>
      </c>
      <c r="P32" s="21">
        <v>-110</v>
      </c>
      <c r="Q32" s="27">
        <f>SUM(BudgetTable[[#This Row],[Nov 2022]:[Jan 2024]])</f>
        <v>-1639.23</v>
      </c>
    </row>
    <row r="33" spans="1:17" x14ac:dyDescent="0.35">
      <c r="A33" s="20" t="s">
        <v>69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7">
        <f>SUM(BudgetTable[[#This Row],[Nov 2022]:[Jan 2024]])</f>
        <v>0</v>
      </c>
    </row>
    <row r="34" spans="1:17" x14ac:dyDescent="0.35">
      <c r="A34" s="22" t="s">
        <v>24</v>
      </c>
      <c r="B34" s="21">
        <v>-256</v>
      </c>
      <c r="C34" s="21">
        <v>-256</v>
      </c>
      <c r="D34" s="21">
        <v>-256</v>
      </c>
      <c r="E34" s="21">
        <v>-256</v>
      </c>
      <c r="F34" s="21">
        <v>-256</v>
      </c>
      <c r="G34" s="21">
        <v>-256</v>
      </c>
      <c r="H34" s="21">
        <v>-256</v>
      </c>
      <c r="I34" s="21">
        <v>-256</v>
      </c>
      <c r="J34" s="21">
        <v>-256</v>
      </c>
      <c r="K34" s="21">
        <v>-256</v>
      </c>
      <c r="L34" s="21">
        <v>-256</v>
      </c>
      <c r="M34" s="21">
        <v>-256</v>
      </c>
      <c r="N34" s="21">
        <v>-256</v>
      </c>
      <c r="O34" s="21">
        <v>-256</v>
      </c>
      <c r="P34" s="21">
        <v>-256</v>
      </c>
      <c r="Q34" s="27">
        <f>SUM(BudgetTable[[#This Row],[Nov 2022]:[Jan 2024]])</f>
        <v>-3840</v>
      </c>
    </row>
    <row r="35" spans="1:17" x14ac:dyDescent="0.35">
      <c r="A35" s="22" t="s">
        <v>25</v>
      </c>
      <c r="B35" s="21">
        <v>-193.24</v>
      </c>
      <c r="C35" s="21">
        <v>-314.40000000000003</v>
      </c>
      <c r="D35" s="21">
        <v>-300</v>
      </c>
      <c r="E35" s="21">
        <v>-300</v>
      </c>
      <c r="F35" s="21">
        <v>-300</v>
      </c>
      <c r="G35" s="21">
        <v>-300</v>
      </c>
      <c r="H35" s="21">
        <v>-300</v>
      </c>
      <c r="I35" s="21">
        <v>-300</v>
      </c>
      <c r="J35" s="21">
        <v>-300</v>
      </c>
      <c r="K35" s="21">
        <v>-300</v>
      </c>
      <c r="L35" s="21">
        <v>-300</v>
      </c>
      <c r="M35" s="21">
        <v>-300</v>
      </c>
      <c r="N35" s="21">
        <v>-300</v>
      </c>
      <c r="O35" s="21">
        <v>-300</v>
      </c>
      <c r="P35" s="21">
        <v>-300</v>
      </c>
      <c r="Q35" s="27">
        <f>SUM(BudgetTable[[#This Row],[Nov 2022]:[Jan 2024]])</f>
        <v>-4407.6400000000003</v>
      </c>
    </row>
    <row r="36" spans="1:17" x14ac:dyDescent="0.35">
      <c r="A36" s="24" t="s">
        <v>23</v>
      </c>
      <c r="B36" s="21">
        <v>0</v>
      </c>
      <c r="C36" s="21">
        <v>-617</v>
      </c>
      <c r="D36" s="21">
        <v>-850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7">
        <f>SUM(BudgetTable[[#This Row],[Nov 2022]:[Jan 2024]])</f>
        <v>-1467</v>
      </c>
    </row>
    <row r="37" spans="1:17" x14ac:dyDescent="0.35">
      <c r="A37" s="24" t="s">
        <v>22</v>
      </c>
      <c r="B37" s="21">
        <v>-599</v>
      </c>
      <c r="C37" s="21">
        <v>-1206.5999999999999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7">
        <f>SUM(BudgetTable[[#This Row],[Nov 2022]:[Jan 2024]])</f>
        <v>-1805.6</v>
      </c>
    </row>
    <row r="38" spans="1:17" x14ac:dyDescent="0.35">
      <c r="A38" s="22" t="s">
        <v>44</v>
      </c>
      <c r="B38" s="23">
        <v>0</v>
      </c>
      <c r="C38" s="23">
        <v>-111.45</v>
      </c>
      <c r="D38" s="23">
        <v>-90</v>
      </c>
      <c r="E38" s="23">
        <v>-90</v>
      </c>
      <c r="F38" s="23">
        <v>-90</v>
      </c>
      <c r="G38" s="23">
        <v>-90</v>
      </c>
      <c r="H38" s="23">
        <v>-90</v>
      </c>
      <c r="I38" s="23">
        <v>-90</v>
      </c>
      <c r="J38" s="23">
        <v>-90</v>
      </c>
      <c r="K38" s="23">
        <v>-90</v>
      </c>
      <c r="L38" s="23">
        <v>-90</v>
      </c>
      <c r="M38" s="23">
        <v>-90</v>
      </c>
      <c r="N38" s="23">
        <v>-90</v>
      </c>
      <c r="O38" s="23">
        <v>-90</v>
      </c>
      <c r="P38" s="23">
        <v>-90</v>
      </c>
      <c r="Q38" s="27">
        <f>SUM(BudgetTable[[#This Row],[Nov 2022]:[Jan 2024]])</f>
        <v>-1281.45</v>
      </c>
    </row>
    <row r="39" spans="1:17" x14ac:dyDescent="0.35">
      <c r="A39" s="22" t="s">
        <v>35</v>
      </c>
      <c r="B39" s="21">
        <v>0</v>
      </c>
      <c r="C39" s="21">
        <v>0</v>
      </c>
      <c r="D39" s="21">
        <v>-528.07000000000005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7">
        <f>SUM(BudgetTable[[#This Row],[Nov 2022]:[Jan 2024]])</f>
        <v>-528.07000000000005</v>
      </c>
    </row>
    <row r="40" spans="1:17" x14ac:dyDescent="0.35">
      <c r="A40" s="22" t="s">
        <v>18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7">
        <f>SUM(BudgetTable[[#This Row],[Nov 2022]:[Jan 2024]])</f>
        <v>0</v>
      </c>
    </row>
    <row r="41" spans="1:17" x14ac:dyDescent="0.35">
      <c r="A41" s="22" t="s">
        <v>1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7">
        <f>SUM(BudgetTable[[#This Row],[Nov 2022]:[Jan 2024]])</f>
        <v>0</v>
      </c>
    </row>
    <row r="42" spans="1:17" x14ac:dyDescent="0.35">
      <c r="A42" s="25" t="s">
        <v>0</v>
      </c>
      <c r="B42" s="27" cm="1">
        <f t="array" ref="B42">OpeningBalance+SUM(BudgetTable[Nov 2022])</f>
        <v>11059.75</v>
      </c>
      <c r="C42" s="27">
        <f>BudgetTable[[#Totals],[Nov 2022]]+SUM(BudgetTable[Dec 2022])</f>
        <v>10442.699999999999</v>
      </c>
      <c r="D42" s="27">
        <f>BudgetTable[[#Totals],[Dec 2022]]+SUM(BudgetTable[Jan 2023])</f>
        <v>10516.269999999999</v>
      </c>
      <c r="E42" s="27">
        <f>BudgetTable[[#Totals],[Jan 2023]]+SUM(BudgetTable[Feb 2023])</f>
        <v>11967.909999999998</v>
      </c>
      <c r="F42" s="27">
        <f>BudgetTable[[#Totals],[Feb 2023]]+SUM(BudgetTable[Mar 2023])</f>
        <v>13419.549999999997</v>
      </c>
      <c r="G42" s="27">
        <f>BudgetTable[[#Totals],[Mar 2023]]+SUM(BudgetTable[Apr 2023])</f>
        <v>14871.189999999997</v>
      </c>
      <c r="H42" s="27">
        <f>BudgetTable[[#Totals],[Apr 2023]]+SUM(BudgetTable[May 2023])</f>
        <v>16322.829999999996</v>
      </c>
      <c r="I42" s="27">
        <f>BudgetTable[[#Totals],[May 2023]]+SUM(BudgetTable[Jun 2023])</f>
        <v>17774.469999999998</v>
      </c>
      <c r="J42" s="27">
        <f>BudgetTable[[#Totals],[Jun 2023]]+SUM(BudgetTable[Jul 2023])</f>
        <v>19226.109999999997</v>
      </c>
      <c r="K42" s="27">
        <f>BudgetTable[[#Totals],[Jul 2023]]+SUM(BudgetTable[Aug 2023])</f>
        <v>20677.749999999996</v>
      </c>
      <c r="L42" s="27">
        <f>BudgetTable[[#Totals],[Aug 2023]]+SUM(BudgetTable[Sep 2023])</f>
        <v>22129.389999999996</v>
      </c>
      <c r="M42" s="27">
        <f>BudgetTable[[#Totals],[Sep 2023]]+SUM(BudgetTable[Oct 2023])</f>
        <v>23581.029999999995</v>
      </c>
      <c r="N42" s="27">
        <f>BudgetTable[[#Totals],[Oct 2023]]+SUM(BudgetTable[Nov 2023])</f>
        <v>25032.669999999995</v>
      </c>
      <c r="O42" s="27">
        <f>BudgetTable[[#Totals],[Nov 2023]]+SUM(BudgetTable[Dec 2023])</f>
        <v>26484.309999999994</v>
      </c>
      <c r="P42" s="27">
        <f>BudgetTable[[#Totals],[Dec 2023]]+SUM(BudgetTable[Jan 2024])</f>
        <v>27935.949999999993</v>
      </c>
      <c r="Q42" s="26"/>
    </row>
  </sheetData>
  <dataConsolidate/>
  <phoneticPr fontId="3" type="noConversion"/>
  <conditionalFormatting sqref="A5:Q20 A26:Q41">
    <cfRule type="cellIs" dxfId="68" priority="3" operator="equal">
      <formula>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Register</vt:lpstr>
      <vt:lpstr>Budget</vt:lpstr>
      <vt:lpstr>CategoriesList</vt:lpstr>
      <vt:lpstr>OpeningBalance</vt:lpstr>
      <vt:lpstr>RegisterOpeningBalance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2018-04-26T00:29:38Z</dcterms:created>
  <dcterms:modified xsi:type="dcterms:W3CDTF">2023-01-05T11:41:56Z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Ref">
    <vt:lpwstr>https://api.informationprotection.azure.com/api/ae4df1f7-611e-444f-897e-f964e1205171</vt:lpwstr>
  </property>
  <property fmtid="{D5CDD505-2E9C-101B-9397-08002B2CF9AE}" pid="5" name="MSIP_Label_1ebac993-578d-4fb6-a024-e1968d57a18c_Owner">
    <vt:lpwstr>pp185150@ncr.com</vt:lpwstr>
  </property>
  <property fmtid="{D5CDD505-2E9C-101B-9397-08002B2CF9AE}" pid="6" name="MSIP_Label_1ebac993-578d-4fb6-a024-e1968d57a18c_SetDate">
    <vt:lpwstr>2018-05-28T09:30:38.6778806+10:00</vt:lpwstr>
  </property>
  <property fmtid="{D5CDD505-2E9C-101B-9397-08002B2CF9AE}" pid="7" name="MSIP_Label_1ebac993-578d-4fb6-a024-e1968d57a18c_Name">
    <vt:lpwstr>Personal</vt:lpwstr>
  </property>
  <property fmtid="{D5CDD505-2E9C-101B-9397-08002B2CF9AE}" pid="8" name="MSIP_Label_1ebac993-578d-4fb6-a024-e1968d57a18c_Application">
    <vt:lpwstr>Microsoft Azure Information Protection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