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C6C5834B-9D1C-4AAB-A31C-F6CD498027A4}" xr6:coauthVersionLast="47" xr6:coauthVersionMax="47" xr10:uidLastSave="{00000000-0000-0000-0000-000000000000}"/>
  <bookViews>
    <workbookView xWindow="-110" yWindow="-110" windowWidth="38620" windowHeight="21100" tabRatio="797" xr2:uid="{C88FE53F-2AC6-481E-80CC-17C81C708257}"/>
  </bookViews>
  <sheets>
    <sheet name="Register" sheetId="28" r:id="rId1"/>
    <sheet name="Budget" sheetId="27" r:id="rId2"/>
  </sheets>
  <definedNames>
    <definedName name="CategoriesList">ActualTable[Category]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7" l="1" a="1"/>
  <c r="B19" i="27" s="1"/>
  <c r="C19" i="27" a="1"/>
  <c r="C19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 s="1"/>
  <c r="N19" i="27" a="1"/>
  <c r="N19" i="27" s="1"/>
  <c r="O19" i="27" a="1"/>
  <c r="O19" i="27" s="1"/>
  <c r="P19" i="27" a="1"/>
  <c r="P19" i="27" s="1"/>
  <c r="H5" i="28" l="1"/>
  <c r="I5" i="28" s="1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B45" i="27"/>
  <c r="C46" i="27" l="1"/>
  <c r="F46" i="27"/>
  <c r="M46" i="27"/>
  <c r="I46" i="27"/>
  <c r="E46" i="27"/>
  <c r="P46" i="27"/>
  <c r="O46" i="27"/>
  <c r="L46" i="27"/>
  <c r="J46" i="27"/>
  <c r="G46" i="27"/>
  <c r="D46" i="27"/>
  <c r="B46" i="27"/>
  <c r="N46" i="27"/>
  <c r="K46" i="27"/>
  <c r="H46" i="27"/>
  <c r="C12" i="27" a="1"/>
  <c r="C12" i="27" s="1"/>
  <c r="F12" i="27" a="1"/>
  <c r="F12" i="27" s="1"/>
  <c r="G12" i="27" a="1"/>
  <c r="G12" i="27" s="1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I36" i="28" l="1"/>
  <c r="I68" i="28"/>
  <c r="I37" i="28"/>
  <c r="I69" i="28"/>
  <c r="I8" i="28"/>
  <c r="I41" i="28"/>
  <c r="I10" i="28"/>
  <c r="I43" i="28"/>
  <c r="I12" i="28"/>
  <c r="I76" i="28"/>
  <c r="I77" i="28"/>
  <c r="I46" i="28"/>
  <c r="I47" i="28"/>
  <c r="I48" i="28"/>
  <c r="I49" i="28"/>
  <c r="I83" i="28"/>
  <c r="I52" i="28"/>
  <c r="I85" i="28"/>
  <c r="I55" i="28"/>
  <c r="I88" i="28"/>
  <c r="I90" i="28"/>
  <c r="I91" i="28"/>
  <c r="I61" i="28"/>
  <c r="I64" i="28"/>
  <c r="I67" i="28"/>
  <c r="I6" i="28"/>
  <c r="I38" i="28"/>
  <c r="I70" i="28"/>
  <c r="I7" i="28"/>
  <c r="I39" i="28"/>
  <c r="I71" i="28"/>
  <c r="I72" i="28"/>
  <c r="I9" i="28"/>
  <c r="I73" i="28"/>
  <c r="I74" i="28"/>
  <c r="I11" i="28"/>
  <c r="I75" i="28"/>
  <c r="I44" i="28"/>
  <c r="I13" i="28"/>
  <c r="I45" i="28"/>
  <c r="I14" i="28"/>
  <c r="I78" i="28"/>
  <c r="I79" i="28"/>
  <c r="I80" i="28"/>
  <c r="I17" i="28"/>
  <c r="I51" i="28"/>
  <c r="I21" i="28"/>
  <c r="I23" i="28"/>
  <c r="I57" i="28"/>
  <c r="I28" i="28"/>
  <c r="I63" i="28"/>
  <c r="I34" i="28"/>
  <c r="I40" i="28"/>
  <c r="I15" i="28"/>
  <c r="I18" i="28"/>
  <c r="I20" i="28"/>
  <c r="I53" i="28"/>
  <c r="I86" i="28"/>
  <c r="I24" i="28"/>
  <c r="I59" i="28"/>
  <c r="I31" i="28"/>
  <c r="I35" i="28"/>
  <c r="I42" i="28"/>
  <c r="I19" i="28"/>
  <c r="I84" i="28"/>
  <c r="I22" i="28"/>
  <c r="I87" i="28"/>
  <c r="I25" i="28"/>
  <c r="I60" i="28"/>
  <c r="I32" i="28"/>
  <c r="I81" i="28"/>
  <c r="I50" i="28"/>
  <c r="I54" i="28"/>
  <c r="I26" i="28"/>
  <c r="I66" i="28"/>
  <c r="I16" i="28"/>
  <c r="I58" i="28"/>
  <c r="I29" i="28"/>
  <c r="I65" i="28"/>
  <c r="I82" i="28"/>
  <c r="I89" i="28"/>
  <c r="I27" i="28"/>
  <c r="I62" i="28"/>
  <c r="I33" i="28"/>
  <c r="I56" i="28"/>
  <c r="I30" i="28"/>
  <c r="H21" i="27" a="1"/>
  <c r="H21" i="27" s="1"/>
  <c r="I12" i="27" a="1"/>
  <c r="I12" i="27" s="1"/>
  <c r="N7" i="27" a="1"/>
  <c r="N7" i="27" s="1"/>
  <c r="D12" i="27" a="1"/>
  <c r="D12" i="27" s="1"/>
  <c r="B12" i="27" a="1"/>
  <c r="B12" i="27" s="1"/>
  <c r="M12" i="27" a="1"/>
  <c r="M12" i="27" s="1"/>
  <c r="B13" i="27" a="1"/>
  <c r="B13" i="27" s="1"/>
  <c r="D16" i="27" a="1"/>
  <c r="D16" i="27" s="1"/>
  <c r="E21" i="27" a="1"/>
  <c r="E21" i="27" s="1"/>
  <c r="B11" i="27" a="1"/>
  <c r="B11" i="27" s="1"/>
  <c r="B7" i="27" a="1"/>
  <c r="B7" i="27" s="1"/>
  <c r="P12" i="27" a="1"/>
  <c r="P12" i="27" s="1"/>
  <c r="O12" i="27" a="1"/>
  <c r="O12" i="27" s="1"/>
  <c r="N12" i="27" a="1"/>
  <c r="N12" i="27" s="1"/>
  <c r="B21" i="27" a="1"/>
  <c r="B21" i="27" s="1"/>
  <c r="O17" i="27" a="1"/>
  <c r="O17" i="27" s="1"/>
  <c r="L12" i="27" a="1"/>
  <c r="L12" i="27" s="1"/>
  <c r="K12" i="27" a="1"/>
  <c r="K12" i="27" s="1"/>
  <c r="J12" i="27" a="1"/>
  <c r="J12" i="27" s="1"/>
  <c r="C21" i="27" a="1"/>
  <c r="C21" i="27" s="1"/>
  <c r="G18" i="27" a="1"/>
  <c r="G18" i="27" s="1"/>
  <c r="C16" i="27" a="1"/>
  <c r="C16" i="27" s="1"/>
  <c r="N13" i="27" a="1"/>
  <c r="N13" i="27" s="1"/>
  <c r="M13" i="27" a="1"/>
  <c r="M13" i="27" s="1"/>
  <c r="H18" i="27" a="1"/>
  <c r="H18" i="27" s="1"/>
  <c r="H12" i="27" a="1"/>
  <c r="H12" i="27" s="1"/>
  <c r="E12" i="27" a="1"/>
  <c r="E12" i="27" s="1"/>
  <c r="B10" i="27" a="1"/>
  <c r="B10" i="27" s="1"/>
  <c r="B15" i="27" a="1"/>
  <c r="B15" i="27" s="1"/>
  <c r="B8" i="27" a="1"/>
  <c r="B8" i="27" s="1"/>
  <c r="I18" i="27" a="1"/>
  <c r="I18" i="27" s="1"/>
  <c r="B6" i="27" a="1"/>
  <c r="B6" i="27" s="1"/>
  <c r="P21" i="27" a="1"/>
  <c r="P21" i="27" s="1"/>
  <c r="O21" i="27" a="1"/>
  <c r="O21" i="27" s="1"/>
  <c r="N21" i="27" a="1"/>
  <c r="N21" i="27" s="1"/>
  <c r="L21" i="27" a="1"/>
  <c r="L21" i="27" s="1"/>
  <c r="G21" i="27" a="1"/>
  <c r="G21" i="27" s="1"/>
  <c r="J10" i="27" a="1"/>
  <c r="J10" i="27" s="1"/>
  <c r="B9" i="27" a="1"/>
  <c r="B9" i="27" s="1"/>
  <c r="K21" i="27" a="1"/>
  <c r="K21" i="27" s="1"/>
  <c r="I21" i="27" a="1"/>
  <c r="I21" i="27" s="1"/>
  <c r="F21" i="27" a="1"/>
  <c r="F21" i="27" s="1"/>
  <c r="M7" i="27" a="1"/>
  <c r="M7" i="27" s="1"/>
  <c r="B14" i="27" a="1"/>
  <c r="B14" i="27" s="1"/>
  <c r="B5" i="27" a="1"/>
  <c r="B5" i="27" s="1"/>
  <c r="I10" i="27" a="1"/>
  <c r="I10" i="27" s="1"/>
  <c r="L7" i="27" a="1"/>
  <c r="L7" i="27" s="1"/>
  <c r="J21" i="27" a="1"/>
  <c r="J21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20" i="27" a="1"/>
  <c r="P20" i="27" s="1"/>
  <c r="L17" i="27" a="1"/>
  <c r="L17" i="27" s="1"/>
  <c r="H15" i="27" a="1"/>
  <c r="H15" i="27" s="1"/>
  <c r="D13" i="27" a="1"/>
  <c r="D13" i="27" s="1"/>
  <c r="N9" i="27" a="1"/>
  <c r="N9" i="27" s="1"/>
  <c r="O20" i="27" a="1"/>
  <c r="O20" i="27" s="1"/>
  <c r="K17" i="27" a="1"/>
  <c r="K17" i="27" s="1"/>
  <c r="G15" i="27" a="1"/>
  <c r="G15" i="27" s="1"/>
  <c r="C13" i="27" a="1"/>
  <c r="C13" i="27" s="1"/>
  <c r="M9" i="27" a="1"/>
  <c r="M9" i="27" s="1"/>
  <c r="N20" i="27" a="1"/>
  <c r="N20" i="27" s="1"/>
  <c r="J17" i="27" a="1"/>
  <c r="J17" i="27" s="1"/>
  <c r="F15" i="27" a="1"/>
  <c r="F15" i="27" s="1"/>
  <c r="P11" i="27" a="1"/>
  <c r="P11" i="27" s="1"/>
  <c r="L9" i="27" a="1"/>
  <c r="L9" i="27" s="1"/>
  <c r="M20" i="27" a="1"/>
  <c r="M20" i="27" s="1"/>
  <c r="I17" i="27" a="1"/>
  <c r="I17" i="27" s="1"/>
  <c r="E15" i="27" a="1"/>
  <c r="E15" i="27" s="1"/>
  <c r="O11" i="27" a="1"/>
  <c r="O11" i="27" s="1"/>
  <c r="K9" i="27" a="1"/>
  <c r="K9" i="27" s="1"/>
  <c r="D21" i="27" a="1"/>
  <c r="D21" i="27" s="1"/>
  <c r="B20" i="27" a="1"/>
  <c r="B20" i="27" s="1"/>
  <c r="L20" i="27" a="1"/>
  <c r="L20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20" i="27" a="1"/>
  <c r="K20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20" i="27" a="1"/>
  <c r="J20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20" i="27" a="1"/>
  <c r="I20" i="27" s="1"/>
  <c r="E17" i="27" a="1"/>
  <c r="E17" i="27" s="1"/>
  <c r="O14" i="27" a="1"/>
  <c r="O14" i="27" s="1"/>
  <c r="K11" i="27" a="1"/>
  <c r="K11" i="27" s="1"/>
  <c r="E9" i="27" a="1"/>
  <c r="E9" i="27" s="1"/>
  <c r="H20" i="27" a="1"/>
  <c r="H20" i="27" s="1"/>
  <c r="D17" i="27" a="1"/>
  <c r="D17" i="27" s="1"/>
  <c r="N14" i="27" a="1"/>
  <c r="N14" i="27" s="1"/>
  <c r="J11" i="27" a="1"/>
  <c r="J11" i="27" s="1"/>
  <c r="C9" i="27" a="1"/>
  <c r="C9" i="27" s="1"/>
  <c r="G20" i="27" a="1"/>
  <c r="G20" i="27" s="1"/>
  <c r="C17" i="27" a="1"/>
  <c r="C17" i="27" s="1"/>
  <c r="M14" i="27" a="1"/>
  <c r="M14" i="27" s="1"/>
  <c r="I11" i="27" a="1"/>
  <c r="I11" i="27" s="1"/>
  <c r="O8" i="27" a="1"/>
  <c r="O8" i="27" s="1"/>
  <c r="F20" i="27" a="1"/>
  <c r="F20" i="27" s="1"/>
  <c r="P16" i="27" a="1"/>
  <c r="P16" i="27" s="1"/>
  <c r="L14" i="27" a="1"/>
  <c r="L14" i="27" s="1"/>
  <c r="H11" i="27" a="1"/>
  <c r="H11" i="27" s="1"/>
  <c r="N8" i="27" a="1"/>
  <c r="N8" i="27" s="1"/>
  <c r="E20" i="27" a="1"/>
  <c r="E20" i="27" s="1"/>
  <c r="O16" i="27" a="1"/>
  <c r="O16" i="27" s="1"/>
  <c r="K14" i="27" a="1"/>
  <c r="K14" i="27" s="1"/>
  <c r="G11" i="27" a="1"/>
  <c r="G11" i="27" s="1"/>
  <c r="M8" i="27" a="1"/>
  <c r="M8" i="27" s="1"/>
  <c r="D20" i="27" a="1"/>
  <c r="D20" i="27" s="1"/>
  <c r="N16" i="27" a="1"/>
  <c r="N16" i="27" s="1"/>
  <c r="J14" i="27" a="1"/>
  <c r="J14" i="27" s="1"/>
  <c r="F11" i="27" a="1"/>
  <c r="F11" i="27" s="1"/>
  <c r="L8" i="27" a="1"/>
  <c r="L8" i="27" s="1"/>
  <c r="C20" i="27" a="1"/>
  <c r="C20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1" i="27" a="1"/>
  <c r="M21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P22" i="27" l="1"/>
  <c r="L22" i="27"/>
  <c r="N22" i="27"/>
  <c r="M22" i="27"/>
  <c r="C22" i="27"/>
  <c r="H22" i="27"/>
  <c r="E22" i="27"/>
  <c r="F22" i="27"/>
  <c r="G22" i="27"/>
  <c r="I22" i="27"/>
  <c r="D22" i="27"/>
  <c r="J22" i="27"/>
  <c r="O22" i="27"/>
  <c r="K22" i="27"/>
  <c r="B22" i="27"/>
  <c r="C23" i="27" l="1"/>
  <c r="E23" i="27"/>
  <c r="H23" i="27"/>
  <c r="L23" i="27"/>
  <c r="N23" i="27"/>
  <c r="B23" i="27"/>
  <c r="J23" i="27"/>
  <c r="G23" i="27"/>
  <c r="K23" i="27"/>
  <c r="O23" i="27"/>
  <c r="D23" i="27"/>
  <c r="F23" i="27"/>
  <c r="I23" i="27"/>
  <c r="M23" i="27"/>
  <c r="P23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<sst xmlns="http://schemas.openxmlformats.org/spreadsheetml/2006/main" count="178" uniqueCount="72">
  <si>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</si>
  <si>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</si>
  <si>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</si>
  <si>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</si>
  <si>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</si>
  <si>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</si>
  <si>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</si>
  <si>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</si>
  <si>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</si>
  <si>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</si>
  <si>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</si>
  <si>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</si>
  <si>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</si>
  <si>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</si>
  <si>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</si>
  <si>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</si>
  <si>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</si>
  <si>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</si>
  <si>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</si>
  <si>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</si>
  <si>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</si>
  <si>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</si>
  <si>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</si>
  <si>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</si>
  <si>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</si>
  <si>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</si>
  <si>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</si>
  <si>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</si>
  <si>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</si>
  <si>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</si>
  <si>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</si>
  <si>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</si>
  <si>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</si>
  <si>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</si>
  <si>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</si>
  <si>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</si>
  <si>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Supplies</t>
  </si>
  <si>
    <t>Balance</t>
  </si>
  <si>
    <t>Account Register</t>
  </si>
  <si>
    <t>Payee</t>
  </si>
  <si>
    <t>Notes</t>
  </si>
  <si>
    <t>Pet Supplies</t>
  </si>
  <si>
    <t>Salary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</si>
  <si>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</si>
  <si>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</si>
  <si>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</si>
  <si>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</si>
  <si>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</si>
  <si>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</si>
  <si>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</si>
  <si>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</si>
  <si>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</si>
  <si>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</si>
  <si>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</si>
  <si>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</si>
  <si>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</si>
  <si>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</si>
  <si>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</si>
  <si>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</si>
  <si>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</si>
  <si>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</si>
  <si>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</si>
  <si>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</si>
  <si>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</si>
  <si>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</si>
  <si>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</si>
  <si>
    <t>Go team!</t>
  </si>
  <si>
    <t>Monthly Total</t>
  </si>
  <si>
    <t>Running Balance</t>
  </si>
  <si>
    <t>Montly Total</t>
  </si>
  <si>
    <t>Statement Balance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</si>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</sst>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7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7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8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8" fontId="9" fillId="0" borderId="0" xfId="0" applyNumberFormat="1" applyFont="1"/>
    <xf numFmtId="8" fontId="9" fillId="0" borderId="0" xfId="0" applyNumberFormat="1" applyFont="1" applyAlignment="1">
      <alignment horizontal="right"/>
    </xf>
    <xf numFmtId="8" fontId="6" fillId="0" borderId="7" xfId="0" applyNumberFormat="1" applyFont="1" applyBorder="1"/>
    <xf numFmtId="0" fontId="10" fillId="0" borderId="0" xfId="0" applyFont="1" applyAlignment="1">
      <alignment horizontal="right"/>
    </xf>
    <xf numFmtId="0" fontId="0" fillId="0" borderId="1" xfId="0" applyFont="1" applyFill="1" applyBorder="1" applyAlignment="1">
      <alignment horizontal="right"/>
    </xf>
    <xf numFmtId="8" fontId="9" fillId="0" borderId="0" xfId="0" applyNumberFormat="1" applyFont="1" applyFill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147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fill>
        <patternFill patternType="none">
          <fgColor indexed="64"/>
          <bgColor auto="1"/>
        </patternFill>
      </fill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4:I91" totalsRowShown="0">
  <autoFilter ref="A4:I91" xr:uid="{0E724A18-196A-490B-AF25-DA7D1E3A9428}"/>
  <sortState xmlns:xlrd2="http://schemas.microsoft.com/office/spreadsheetml/2017/richdata2" ref="B5:I55">
    <sortCondition ref="B4:B55"/>
  </sortState>
  <tableColumns count="9">
    <tableColumn id="12" xr3:uid="{D8A49B8A-1951-4447-AF47-9EAA0BB85DE7}" name="Rec" dataDxfId="146"/>
    <tableColumn id="1" xr3:uid="{DE810105-8991-4033-85C5-0CB87295F10E}" name="Date" dataDxfId="145"/>
    <tableColumn id="2" xr3:uid="{1313C629-1859-4679-AB7B-794875C6BDE7}" name="Debit" dataDxfId="144" dataCellStyle="Currency"/>
    <tableColumn id="3" xr3:uid="{094886E6-6B53-424C-8022-4ECFFBA4718E}" name="Credit" dataDxfId="143" dataCellStyle="Currency"/>
    <tableColumn id="5" xr3:uid="{18AD39F4-D969-44C0-8DCD-C00AFA8EA48E}" name="Payee" dataDxfId="142"/>
    <tableColumn id="4" xr3:uid="{C5DFAA3E-F213-4889-9036-A50E91D40F6F}" name="Category"/>
    <tableColumn id="6" xr3:uid="{77E29FE0-2E33-4741-9118-8EC005A9AB4C}" name="Notes" dataDxfId="141"/>
    <tableColumn id="14" xr3:uid="{A613C5BE-1236-43D9-961D-74D8FCAAFE9F}" name="Net" dataDxfId="140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Balance" dataDxfId="139">
      <calculatedColumnFormula>SUM(INDEX(RegisterTable[Net],1):RegisterTable[[#This Row],[Net]])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7:P45" totalsRowCount="1" headerRowDxfId="138">
  <autoFilter ref="A27:P44" xr:uid="{1E06BD01-B313-45E4-975C-3CAA9A21FDC7}"/>
  <tableColumns count="16">
    <tableColumn id="1" xr3:uid="{F195EB07-0B7E-4399-BAAC-2C019D4EC1C4}" name="Category" totalsRowLabel="Montly Total" dataDxfId="137" totalsRowDxfId="15"/>
    <tableColumn id="2" xr3:uid="{F6CF870F-2AE5-4ACC-80D8-40E81335CC2B}" name="Nov 2022" totalsRowFunction="sum" dataDxfId="136" totalsRowDxfId="14"/>
    <tableColumn id="3" xr3:uid="{1298B2BF-2ED4-4618-AA49-5FDD356BE21B}" name="Dec 2022" totalsRowFunction="sum" dataDxfId="135" totalsRowDxfId="13"/>
    <tableColumn id="4" xr3:uid="{4BA778F9-5B81-4732-B2E1-3C7E32B28814}" name="Jan 2023" totalsRowFunction="sum" dataDxfId="134" totalsRowDxfId="12"/>
    <tableColumn id="5" xr3:uid="{549168B5-A7B9-4D84-A170-F170EFC6A7B3}" name="Feb 2023" totalsRowFunction="sum" dataDxfId="133" totalsRowDxfId="11"/>
    <tableColumn id="6" xr3:uid="{DED36E17-BA63-4BF6-83F4-D83B65AA0D12}" name="Mar 2023" totalsRowFunction="sum" dataDxfId="132" totalsRowDxfId="10"/>
    <tableColumn id="7" xr3:uid="{68CEFDE2-E938-4B68-AE39-2EBD5FC28E1B}" name="Apr 2023" totalsRowFunction="sum" dataDxfId="131" totalsRowDxfId="9"/>
    <tableColumn id="8" xr3:uid="{377E6EA8-C596-4631-9E2A-3590AB4EC1D5}" name="May 2023" totalsRowFunction="sum" dataDxfId="130" totalsRowDxfId="8"/>
    <tableColumn id="9" xr3:uid="{D5628591-0023-4077-83B0-7900C54155B8}" name="Jun 2023" totalsRowFunction="sum" dataDxfId="129" totalsRowDxfId="7"/>
    <tableColumn id="10" xr3:uid="{C07A4D5D-EB75-43C2-8153-4E2DCA60E363}" name="Jul 2023" totalsRowFunction="sum" dataDxfId="128" totalsRowDxfId="6"/>
    <tableColumn id="11" xr3:uid="{EEF26386-A1DB-4E9B-8EAB-6692F8A67113}" name="Aug 2023" totalsRowFunction="sum" dataDxfId="127" totalsRowDxfId="5"/>
    <tableColumn id="12" xr3:uid="{60471A64-457D-42F6-A3FB-9BAE6D297576}" name="Sep 2023" totalsRowFunction="sum" dataDxfId="126" totalsRowDxfId="4"/>
    <tableColumn id="13" xr3:uid="{E437F2AA-A9B3-4D0D-9D27-69547E4FA011}" name="Oct 2023" totalsRowFunction="sum" dataDxfId="125" totalsRowDxfId="3"/>
    <tableColumn id="14" xr3:uid="{DF02C039-087C-4D3B-8D65-8627C22E5BE6}" name="Nov 2023" totalsRowFunction="sum" dataDxfId="124" totalsRowDxfId="2"/>
    <tableColumn id="15" xr3:uid="{57B08509-BD1D-41E5-8DE3-18AA29D2B5F2}" name="Dec 2023" totalsRowFunction="sum" dataDxfId="123" totalsRowDxfId="1"/>
    <tableColumn id="16" xr3:uid="{2D00FE55-614D-48C5-8627-843C3DA47392}" name="Jan 2024" totalsRowFunction="sum" dataDxfId="122" totalsRowDxfId="0"/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P22" totalsRowCount="1" headerRowDxfId="121">
  <autoFilter ref="A4:P21" xr:uid="{8F13A1AB-DBB2-4C60-9DD4-0E8B38F346CE}"/>
  <tableColumns count="16">
    <tableColumn id="1" xr3:uid="{A6469E61-0901-403F-85FE-D8A2BCD25BA7}" name="Category" totalsRowLabel="Monthly Total" dataDxfId="120" totalsRowDxfId="35"/>
    <tableColumn id="2" xr3:uid="{57A3F446-7D83-4D14-BD75-BF0A5DE0DD40}" name="Nov 2022" totalsRowFunction="sum" dataDxfId="119" totalsRowDxfId="34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3" xr3:uid="{8AF382D3-D469-4B05-AD14-6D1605E1488B}" name="Dec 2022" totalsRowFunction="sum" dataDxfId="118" totalsRowDxfId="33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4" xr3:uid="{420EFD40-2B22-4F84-8EEA-1FCBCE85D53D}" name="Jan 2023" totalsRowFunction="sum" dataDxfId="117" totalsRowDxfId="32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5" xr3:uid="{BC157BD9-FD20-4743-804D-5D9C48744EEE}" name="Feb 2023" totalsRowFunction="sum" dataDxfId="116" totalsRowDxfId="31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6" xr3:uid="{CD0BEB67-CFFD-4BC6-8D55-710B2BD0E4EA}" name="Mar 2023" totalsRowFunction="sum" dataDxfId="115" totalsRowDxfId="30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7" xr3:uid="{45E93579-E542-4AAB-A8ED-7C97F7E64D71}" name="Apr 2023" totalsRowFunction="sum" dataDxfId="114" totalsRowDxfId="29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8" xr3:uid="{863B960F-499C-4314-9C92-C9952E7A41E1}" name="May 2023" totalsRowFunction="sum" dataDxfId="113" totalsRowDxfId="28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9" xr3:uid="{783190E7-0649-4C0E-B6EC-273C3E8BC3A9}" name="Jun 2023" totalsRowFunction="sum" dataDxfId="112" totalsRowDxfId="27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0" xr3:uid="{8AEE0546-96FF-4A7D-AA05-356F0DA33CDD}" name="Jul 2023" totalsRowFunction="sum" dataDxfId="111" totalsRowDxfId="26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1" xr3:uid="{AC5A0F84-E7B0-4AAD-8B53-2E395EB228DD}" name="Aug 2023" totalsRowFunction="sum" dataDxfId="110" totalsRowDxfId="25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2" xr3:uid="{7EFFCD30-C9ED-4ED1-874B-17963208C559}" name="Sep 2023" totalsRowFunction="sum" dataDxfId="109" totalsRowDxfId="24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3" xr3:uid="{7FC47548-D669-473F-BD51-A6F248C26ADA}" name="Oct 2023" totalsRowFunction="sum" dataDxfId="108" totalsRowDxfId="23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4" xr3:uid="{CCCB34EE-F43A-4DE2-B2E4-FCC6C14A6F2C}" name="Nov 2023" totalsRowFunction="sum" dataDxfId="107" totalsRowDxfId="22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5" xr3:uid="{DA560EF7-A0B7-4160-9A40-E56B909C66F6}" name="Dec 2023" totalsRowFunction="sum" dataDxfId="106" totalsRowDxfId="21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6" xr3:uid="{80F0D7EA-C213-468E-9404-A08E4FA7C38A}" name="Jan 2024" totalsRowFunction="sum" dataDxfId="105" totalsRowDxfId="20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</tableColumns>
  <tableStyleInfo name="TableStyleMedium2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C736DA-6B88-49D8-A960-CC4A26944980}" name="ActualRunningBalanceTable" displayName="ActualRunningBalanceTable" ref="A23:P23" headerRowCount="0" totalsRowShown="0" headerRowDxfId="104" dataDxfId="103" tableBorderDxfId="102">
  <tableColumns count="16">
    <tableColumn id="1" xr3:uid="{F23BACF8-DA26-414C-96F8-F239251B34A0}" name="Column1" headerRowDxfId="101" dataDxfId="100"/>
    <tableColumn id="2" xr3:uid="{CB2C2F6C-C726-46F6-987F-13D38048E197}" name="Column2" headerRowDxfId="99" dataDxfId="98">
      <calculatedColumnFormula>SUM(INDEX(ActualTable[#Totals],1,2):ActualTable[[#Totals],[Nov 2022]], INDEX(RegisterTable[[Balance]:[Balance]],1))</calculatedColumnFormula>
    </tableColumn>
    <tableColumn id="3" xr3:uid="{D204962C-C708-4A31-B693-2F3679069959}" name="Column3" headerRowDxfId="97" dataDxfId="96">
      <calculatedColumnFormula>SUM(INDEX(ActualTable[#Totals],1,2):ActualTable[[#Totals],[Dec 2022]], INDEX(RegisterTable[[Balance]:[Balance]],1))</calculatedColumnFormula>
    </tableColumn>
    <tableColumn id="4" xr3:uid="{EB3D4E5D-3B95-407C-A714-70B8BCEA2543}" name="Column4" headerRowDxfId="95" dataDxfId="94">
      <calculatedColumnFormula>SUM(INDEX(ActualTable[#Totals],1,2):ActualTable[[#Totals],[Jan 2023]], INDEX(RegisterTable[[Balance]:[Balance]],1))</calculatedColumnFormula>
    </tableColumn>
    <tableColumn id="5" xr3:uid="{5E3D2F40-5A85-48AF-BE8D-F4CA1DD9FAB0}" name="Column5" headerRowDxfId="93" dataDxfId="92">
      <calculatedColumnFormula>SUM(INDEX(ActualTable[#Totals],1,2):ActualTable[[#Totals],[Feb 2023]], INDEX(RegisterTable[[Balance]:[Balance]],1))</calculatedColumnFormula>
    </tableColumn>
    <tableColumn id="6" xr3:uid="{41C6086C-4AC1-49C8-9CAE-9B722F8C5DE6}" name="Column6" headerRowDxfId="91" dataDxfId="90">
      <calculatedColumnFormula>SUM(INDEX(ActualTable[#Totals],1,2):ActualTable[[#Totals],[Mar 2023]], INDEX(RegisterTable[[Balance]:[Balance]],1))</calculatedColumnFormula>
    </tableColumn>
    <tableColumn id="7" xr3:uid="{98B739A8-2BB6-4BCB-B6A7-F9DE7448DD0B}" name="Column7" headerRowDxfId="89" dataDxfId="88">
      <calculatedColumnFormula>SUM(INDEX(ActualTable[#Totals],1,2):ActualTable[[#Totals],[Apr 2023]], INDEX(RegisterTable[[Balance]:[Balance]],1))</calculatedColumnFormula>
    </tableColumn>
    <tableColumn id="8" xr3:uid="{1E1941EB-8DED-46F3-AFAD-423F7B86B829}" name="Column8" headerRowDxfId="87" dataDxfId="86">
      <calculatedColumnFormula>SUM(INDEX(ActualTable[#Totals],1,2):ActualTable[[#Totals],[May 2023]], INDEX(RegisterTable[[Balance]:[Balance]],1))</calculatedColumnFormula>
    </tableColumn>
    <tableColumn id="9" xr3:uid="{5DC5EE24-D5F5-4317-8D44-8A1EE8A62638}" name="Column9" headerRowDxfId="85" dataDxfId="84">
      <calculatedColumnFormula>SUM(INDEX(ActualTable[#Totals],1,2):ActualTable[[#Totals],[Jun 2023]], INDEX(RegisterTable[[Balance]:[Balance]],1))</calculatedColumnFormula>
    </tableColumn>
    <tableColumn id="10" xr3:uid="{A66E19CB-4AF7-4A87-A0A2-99DAB0031DBA}" name="Column10" headerRowDxfId="83" dataDxfId="82">
      <calculatedColumnFormula>SUM(INDEX(ActualTable[#Totals],1,2):ActualTable[[#Totals],[Jul 2023]], INDEX(RegisterTable[[Balance]:[Balance]],1))</calculatedColumnFormula>
    </tableColumn>
    <tableColumn id="11" xr3:uid="{785D40F6-8A87-4B2D-AA95-9F879FAF111F}" name="Column11" headerRowDxfId="81" dataDxfId="80">
      <calculatedColumnFormula>SUM(INDEX(ActualTable[#Totals],1,2):ActualTable[[#Totals],[Aug 2023]], INDEX(RegisterTable[[Balance]:[Balance]],1))</calculatedColumnFormula>
    </tableColumn>
    <tableColumn id="12" xr3:uid="{CC724688-AFD3-4BDE-85C3-F8B8FC320CA2}" name="Column12" headerRowDxfId="79" dataDxfId="78">
      <calculatedColumnFormula>SUM(INDEX(ActualTable[#Totals],1,2):ActualTable[[#Totals],[Sep 2023]], INDEX(RegisterTable[[Balance]:[Balance]],1))</calculatedColumnFormula>
    </tableColumn>
    <tableColumn id="13" xr3:uid="{D473094E-F3A7-44E3-A202-AB635580FEE2}" name="Column13" headerRowDxfId="77" dataDxfId="76">
      <calculatedColumnFormula>SUM(INDEX(ActualTable[#Totals],1,2):ActualTable[[#Totals],[Oct 2023]], INDEX(RegisterTable[[Balance]:[Balance]],1))</calculatedColumnFormula>
    </tableColumn>
    <tableColumn id="14" xr3:uid="{7A3025B1-959D-4559-84AF-CEBC4745388E}" name="Column14" headerRowDxfId="75" dataDxfId="74">
      <calculatedColumnFormula>SUM(INDEX(ActualTable[#Totals],1,2):ActualTable[[#Totals],[Nov 2023]], INDEX(RegisterTable[[Balance]:[Balance]],1))</calculatedColumnFormula>
    </tableColumn>
    <tableColumn id="15" xr3:uid="{B1DCB620-C302-4535-B92B-318DF4DB2A44}" name="Column15" headerRowDxfId="73" dataDxfId="72">
      <calculatedColumnFormula>SUM(INDEX(ActualTable[#Totals],1,2):ActualTable[[#Totals],[Dec 2023]], INDEX(RegisterTable[[Balance]:[Balance]],1))</calculatedColumnFormula>
    </tableColumn>
    <tableColumn id="16" xr3:uid="{BE1D3C65-6130-4DDD-9CEC-92DED9A32FB1}" name="Column16" headerRowDxfId="71" dataDxfId="70">
      <calculatedColumnFormula>SUM(INDEX(ActualTable[#Totals],1,2):ActualTable[[#Totals],[Jan 2024]], INDEX(RegisterTable[[Balance]:[Balance]],1))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587E99-5F8A-43FE-B4E1-B1CAD40FFAFF}" name="BudgetRunningBalanceTable" displayName="BudgetRunningBalanceTable" ref="A46:P46" headerRowCount="0" totalsRowShown="0" headerRowDxfId="69" dataDxfId="68">
  <tableColumns count="16">
    <tableColumn id="1" xr3:uid="{15F6C22D-B364-4801-B17D-2E46D088613F}" name="Column1" headerRowDxfId="67" dataDxfId="66"/>
    <tableColumn id="2" xr3:uid="{1E19EC6F-740B-4C8D-BE78-A598230F7807}" name="Column2" headerRowDxfId="65" dataDxfId="64">
      <calculatedColumnFormula>SUM(INDEX(BudgetTable[#Totals],1,2):BudgetTable[[#Totals],[Nov 2022]], INDEX(RegisterTable[[Balance]:[Balance]],1))</calculatedColumnFormula>
    </tableColumn>
    <tableColumn id="3" xr3:uid="{BFADC692-5771-4BA2-9292-D4C74551968E}" name="Column3" headerRowDxfId="63" dataDxfId="62">
      <calculatedColumnFormula>SUM(INDEX(BudgetTable[#Totals],1,2):BudgetTable[[#Totals],[Dec 2022]], INDEX(RegisterTable[[Balance]:[Balance]],1))</calculatedColumnFormula>
    </tableColumn>
    <tableColumn id="4" xr3:uid="{548FD2AA-A32C-4529-A600-D9C54C038E7D}" name="Column4" headerRowDxfId="61" dataDxfId="60">
      <calculatedColumnFormula>SUM(INDEX(BudgetTable[#Totals],1,2):BudgetTable[[#Totals],[Jan 2023]], INDEX(RegisterTable[[Balance]:[Balance]],1))</calculatedColumnFormula>
    </tableColumn>
    <tableColumn id="5" xr3:uid="{AAC561EB-84BE-48EF-B8AF-28EF4E40603D}" name="Column5" headerRowDxfId="59" dataDxfId="58">
      <calculatedColumnFormula>SUM(INDEX(BudgetTable[#Totals],1,2):BudgetTable[[#Totals],[Feb 2023]], INDEX(RegisterTable[[Balance]:[Balance]],1))</calculatedColumnFormula>
    </tableColumn>
    <tableColumn id="6" xr3:uid="{7ECBFC53-D9EA-4E38-AD10-95F013AC283B}" name="Column6" headerRowDxfId="57" dataDxfId="56">
      <calculatedColumnFormula>SUM(INDEX(BudgetTable[#Totals],1,2):BudgetTable[[#Totals],[Mar 2023]], INDEX(RegisterTable[[Balance]:[Balance]],1))</calculatedColumnFormula>
    </tableColumn>
    <tableColumn id="7" xr3:uid="{6C32F445-59B2-4A61-8295-9D2CED55069F}" name="Column7" headerRowDxfId="55" dataDxfId="54">
      <calculatedColumnFormula>SUM(INDEX(BudgetTable[#Totals],1,2):BudgetTable[[#Totals],[Apr 2023]], INDEX(RegisterTable[[Balance]:[Balance]],1))</calculatedColumnFormula>
    </tableColumn>
    <tableColumn id="8" xr3:uid="{5C780453-C5F7-486E-80BB-F07DBD8FEC16}" name="Column8" headerRowDxfId="53" dataDxfId="52">
      <calculatedColumnFormula>SUM(INDEX(BudgetTable[#Totals],1,2):BudgetTable[[#Totals],[May 2023]], INDEX(RegisterTable[[Balance]:[Balance]],1))</calculatedColumnFormula>
    </tableColumn>
    <tableColumn id="9" xr3:uid="{AA90F6D1-4BFD-41B3-B8D2-67F5F7CB81F9}" name="Column9" headerRowDxfId="51" dataDxfId="50">
      <calculatedColumnFormula>SUM(INDEX(BudgetTable[#Totals],1,2):BudgetTable[[#Totals],[Jun 2023]], INDEX(RegisterTable[[Balance]:[Balance]],1))</calculatedColumnFormula>
    </tableColumn>
    <tableColumn id="10" xr3:uid="{5A9FFB57-AEBB-4EAA-82D0-AD823904ABA2}" name="Column10" headerRowDxfId="49" dataDxfId="48">
      <calculatedColumnFormula>SUM(INDEX(BudgetTable[#Totals],1,2):BudgetTable[[#Totals],[Jul 2023]], INDEX(RegisterTable[[Balance]:[Balance]],1))</calculatedColumnFormula>
    </tableColumn>
    <tableColumn id="11" xr3:uid="{01FA178A-5573-48E5-97CD-4DA22072A4EA}" name="Column11" headerRowDxfId="47" dataDxfId="46">
      <calculatedColumnFormula>SUM(INDEX(BudgetTable[#Totals],1,2):BudgetTable[[#Totals],[Aug 2023]], INDEX(RegisterTable[[Balance]:[Balance]],1))</calculatedColumnFormula>
    </tableColumn>
    <tableColumn id="12" xr3:uid="{7C6C8C43-0896-4A8B-9215-7AF979F41F48}" name="Column12" headerRowDxfId="45" dataDxfId="44">
      <calculatedColumnFormula>SUM(INDEX(BudgetTable[#Totals],1,2):BudgetTable[[#Totals],[Sep 2023]], INDEX(RegisterTable[[Balance]:[Balance]],1))</calculatedColumnFormula>
    </tableColumn>
    <tableColumn id="13" xr3:uid="{DFC6B5C4-FB62-4CA3-9929-0A4370204E93}" name="Column13" headerRowDxfId="43" dataDxfId="42">
      <calculatedColumnFormula>SUM(INDEX(BudgetTable[#Totals],1,2):BudgetTable[[#Totals],[Oct 2023]], INDEX(RegisterTable[[Balance]:[Balance]],1))</calculatedColumnFormula>
    </tableColumn>
    <tableColumn id="14" xr3:uid="{84F16A56-AAAF-4C47-99E0-50F75A5BEB98}" name="Column14" headerRowDxfId="41" dataDxfId="40">
      <calculatedColumnFormula>SUM(INDEX(BudgetTable[#Totals],1,2):BudgetTable[[#Totals],[Nov 2023]], INDEX(RegisterTable[[Balance]:[Balance]],1))</calculatedColumnFormula>
    </tableColumn>
    <tableColumn id="15" xr3:uid="{05192377-12E6-4148-ADE0-697462615E27}" name="Column15" headerRowDxfId="39" dataDxfId="38">
      <calculatedColumnFormula>SUM(INDEX(BudgetTable[#Totals],1,2):BudgetTable[[#Totals],[Dec 2023]], INDEX(RegisterTable[[Balance]:[Balance]],1))</calculatedColumnFormula>
    </tableColumn>
    <tableColumn id="16" xr3:uid="{2EA4ACDD-C710-4F94-A6AD-8015D759315A}" name="Column16" headerRowDxfId="37" dataDxfId="36">
      <calculatedColumnFormula>SUM(INDEX(BudgetTable[#Totals],1,2):BudgetTable[[#Totals],[Jan 2024]], INDEX(RegisterTable[[Balance]:[Balance]],1))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J91"/>
  <sheetViews>
    <sheetView tabSelected="1" zoomScale="85" zoomScaleNormal="85" workbookViewId="0">
      <selection activeCell="B43" sqref="B43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0" x14ac:dyDescent="0.35">
      <c r="A1" s="2"/>
      <c r="B1" s="2"/>
      <c r="G1"/>
    </row>
    <row r="2" spans="1:10" ht="20" thickBot="1" x14ac:dyDescent="0.5">
      <c r="A2" s="3" t="s">
        <v>38</v>
      </c>
      <c r="B2" s="3"/>
      <c r="C2" s="3"/>
      <c r="D2" s="3"/>
      <c r="E2" s="3"/>
      <c r="F2" s="3"/>
      <c r="G2" s="3"/>
      <c r="H2" s="3"/>
      <c r="I2" s="3"/>
    </row>
    <row r="3" spans="1:10" ht="15" thickTop="1" x14ac:dyDescent="0.35">
      <c r="A3" s="2"/>
      <c r="B3" s="2"/>
      <c r="G3"/>
    </row>
    <row r="4" spans="1:10" x14ac:dyDescent="0.35">
      <c r="A4" t="s">
        <v>35</v>
      </c>
      <c r="B4" t="s">
        <v>25</v>
      </c>
      <c r="C4" t="s">
        <v>27</v>
      </c>
      <c r="D4" t="s">
        <v>26</v>
      </c>
      <c r="E4" t="s">
        <v>39</v>
      </c>
      <c r="F4" t="s">
        <v>28</v>
      </c>
      <c r="G4" t="s">
        <v>40</v>
      </c>
      <c r="H4" t="s">
        <v>31</v>
      </c>
      <c r="I4" s="15" t="s">
        <v>37</v>
      </c>
    </row>
    <row r="5" spans="1:10" x14ac:dyDescent="0.35">
      <c r="A5" s="9" t="s">
        <v>35</v>
      </c>
      <c r="B5" s="9">
        <v>44866</v>
      </c>
      <c r="C5" s="14"/>
      <c r="D5" s="14">
        <v>8479.26</v>
      </c>
      <c r="E5" s="6" t="s">
        <v>70</v>
      </c>
      <c r="H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8479.26</v>
      </c>
      <c r="I5" s="13">
        <f>SUM(INDEX(RegisterTable[Net],1):RegisterTable[[#This Row],[Net]])</f>
        <v>8479.26</v>
      </c>
      <c r="J5" s="1"/>
    </row>
    <row r="6" spans="1:10" x14ac:dyDescent="0.35">
      <c r="A6" s="9" t="s">
        <v>35</v>
      </c>
      <c r="B6" s="9">
        <v>44866</v>
      </c>
      <c r="C6" s="14">
        <v>256</v>
      </c>
      <c r="D6" s="14"/>
      <c r="E6" s="6" t="s">
        <v>49</v>
      </c>
      <c r="F6" t="s">
        <v>22</v>
      </c>
      <c r="H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6" s="17">
        <f>SUM(INDEX(RegisterTable[Net],1):RegisterTable[[#This Row],[Net]])</f>
        <v>8223.26</v>
      </c>
      <c r="J6" s="1"/>
    </row>
    <row r="7" spans="1:10" x14ac:dyDescent="0.35">
      <c r="A7" s="9" t="s">
        <v>35</v>
      </c>
      <c r="B7" s="9">
        <v>44868</v>
      </c>
      <c r="C7" s="4">
        <v>2500</v>
      </c>
      <c r="D7" s="4"/>
      <c r="E7" t="s">
        <v>44</v>
      </c>
      <c r="F7" t="s">
        <v>18</v>
      </c>
      <c r="G7"/>
      <c r="H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7" s="13">
        <f>SUM(INDEX(RegisterTable[Net],1):RegisterTable[[#This Row],[Net]])</f>
        <v>5723.26</v>
      </c>
      <c r="J7" s="1"/>
    </row>
    <row r="8" spans="1:10" x14ac:dyDescent="0.35">
      <c r="A8" s="9" t="s">
        <v>35</v>
      </c>
      <c r="B8" s="9">
        <v>44875</v>
      </c>
      <c r="C8" s="4">
        <v>64.040000000000006</v>
      </c>
      <c r="D8" s="4"/>
      <c r="E8" t="s">
        <v>43</v>
      </c>
      <c r="F8" t="s">
        <v>23</v>
      </c>
      <c r="G8"/>
      <c r="H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8" s="13">
        <f>SUM(INDEX(RegisterTable[Net],1):RegisterTable[[#This Row],[Net]])</f>
        <v>5659.22</v>
      </c>
      <c r="J8" s="1"/>
    </row>
    <row r="9" spans="1:10" x14ac:dyDescent="0.35">
      <c r="A9" s="9" t="s">
        <v>35</v>
      </c>
      <c r="B9" s="9">
        <v>44880</v>
      </c>
      <c r="C9" s="4">
        <v>164.55</v>
      </c>
      <c r="D9" s="4"/>
      <c r="E9" t="s">
        <v>45</v>
      </c>
      <c r="F9" t="s">
        <v>19</v>
      </c>
      <c r="G9"/>
      <c r="H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9" s="13">
        <f>SUM(INDEX(RegisterTable[Net],1):RegisterTable[[#This Row],[Net]])</f>
        <v>5494.67</v>
      </c>
      <c r="J9" s="1"/>
    </row>
    <row r="10" spans="1:10" x14ac:dyDescent="0.35">
      <c r="A10" s="9" t="s">
        <v>35</v>
      </c>
      <c r="B10" s="9">
        <v>44882</v>
      </c>
      <c r="C10" s="4">
        <v>64.73</v>
      </c>
      <c r="D10" s="4"/>
      <c r="E10" t="s">
        <v>43</v>
      </c>
      <c r="F10" t="s">
        <v>23</v>
      </c>
      <c r="G10"/>
      <c r="H1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0" s="13">
        <f>SUM(INDEX(RegisterTable[Net],1):RegisterTable[[#This Row],[Net]])</f>
        <v>5429.9400000000005</v>
      </c>
      <c r="J10" s="1"/>
    </row>
    <row r="11" spans="1:10" x14ac:dyDescent="0.35">
      <c r="A11" s="9" t="s">
        <v>35</v>
      </c>
      <c r="B11" s="9">
        <v>44884</v>
      </c>
      <c r="C11" s="4">
        <v>599</v>
      </c>
      <c r="D11" s="4"/>
      <c r="E11" t="s">
        <v>46</v>
      </c>
      <c r="F11" t="s">
        <v>20</v>
      </c>
      <c r="G11" t="s">
        <v>55</v>
      </c>
      <c r="H1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1" s="13">
        <f>SUM(INDEX(RegisterTable[Net],1):RegisterTable[[#This Row],[Net]])</f>
        <v>4830.9400000000005</v>
      </c>
      <c r="J11" s="1"/>
    </row>
    <row r="12" spans="1:10" x14ac:dyDescent="0.35">
      <c r="A12" s="9" t="s">
        <v>35</v>
      </c>
      <c r="B12" s="9">
        <v>44887</v>
      </c>
      <c r="C12" s="4">
        <v>55.9</v>
      </c>
      <c r="D12" s="4"/>
      <c r="E12" t="s">
        <v>47</v>
      </c>
      <c r="F12" t="s">
        <v>32</v>
      </c>
      <c r="G12"/>
      <c r="H1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2" s="13">
        <f>SUM(INDEX(RegisterTable[Net],1):RegisterTable[[#This Row],[Net]])</f>
        <v>4775.0400000000009</v>
      </c>
      <c r="J12" s="1"/>
    </row>
    <row r="13" spans="1:10" x14ac:dyDescent="0.35">
      <c r="A13" s="9" t="s">
        <v>35</v>
      </c>
      <c r="B13" s="9">
        <v>44889</v>
      </c>
      <c r="C13" s="4">
        <v>64.47</v>
      </c>
      <c r="D13" s="4"/>
      <c r="E13" t="s">
        <v>43</v>
      </c>
      <c r="F13" t="s">
        <v>23</v>
      </c>
      <c r="G13"/>
      <c r="H1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3" s="13">
        <f>SUM(INDEX(RegisterTable[Net],1):RegisterTable[[#This Row],[Net]])</f>
        <v>4710.5700000000006</v>
      </c>
      <c r="J13" s="1"/>
    </row>
    <row r="14" spans="1:10" x14ac:dyDescent="0.35">
      <c r="A14" s="9" t="s">
        <v>35</v>
      </c>
      <c r="B14" s="9">
        <v>44891</v>
      </c>
      <c r="C14" s="4"/>
      <c r="D14" s="4">
        <v>5000</v>
      </c>
      <c r="E14" t="s">
        <v>48</v>
      </c>
      <c r="F14" t="s">
        <v>42</v>
      </c>
      <c r="G14"/>
      <c r="H1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4" s="13">
        <f>SUM(INDEX(RegisterTable[Net],1):RegisterTable[[#This Row],[Net]])</f>
        <v>9710.57</v>
      </c>
      <c r="J14" s="1"/>
    </row>
    <row r="15" spans="1:10" x14ac:dyDescent="0.35">
      <c r="A15" s="9" t="s">
        <v>35</v>
      </c>
      <c r="B15" s="9">
        <v>44895</v>
      </c>
      <c r="C15" s="4"/>
      <c r="D15" s="4">
        <v>0.53</v>
      </c>
      <c r="E15" t="s">
        <v>34</v>
      </c>
      <c r="F15" t="s">
        <v>24</v>
      </c>
      <c r="G15"/>
      <c r="H1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0.53</v>
      </c>
      <c r="I15" s="13">
        <f>SUM(INDEX(RegisterTable[Net],1):RegisterTable[[#This Row],[Net]])</f>
        <v>9711.1</v>
      </c>
      <c r="J15" s="1"/>
    </row>
    <row r="16" spans="1:10" x14ac:dyDescent="0.35">
      <c r="A16" s="9" t="s">
        <v>35</v>
      </c>
      <c r="B16" s="9">
        <v>44895</v>
      </c>
      <c r="C16" s="4">
        <v>66.03</v>
      </c>
      <c r="D16" s="4"/>
      <c r="E16" t="s">
        <v>47</v>
      </c>
      <c r="F16" t="s">
        <v>32</v>
      </c>
      <c r="G16"/>
      <c r="H1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6" s="13">
        <f>SUM(INDEX(RegisterTable[Net],1):RegisterTable[[#This Row],[Net]])</f>
        <v>9645.07</v>
      </c>
      <c r="J16" s="1"/>
    </row>
    <row r="17" spans="1:10" x14ac:dyDescent="0.35">
      <c r="A17" s="9"/>
      <c r="B17" s="9">
        <v>44896</v>
      </c>
      <c r="C17" s="4">
        <v>256</v>
      </c>
      <c r="D17" s="4"/>
      <c r="E17" t="s">
        <v>49</v>
      </c>
      <c r="F17" t="s">
        <v>22</v>
      </c>
      <c r="G17"/>
      <c r="H1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7" s="13">
        <f>SUM(INDEX(RegisterTable[Net],1):RegisterTable[[#This Row],[Net]])</f>
        <v>9389.07</v>
      </c>
      <c r="J17" s="1"/>
    </row>
    <row r="18" spans="1:10" x14ac:dyDescent="0.35">
      <c r="A18" s="9"/>
      <c r="B18" s="9">
        <v>44896</v>
      </c>
      <c r="C18" s="4">
        <v>115.6</v>
      </c>
      <c r="D18" s="4"/>
      <c r="E18" t="s">
        <v>46</v>
      </c>
      <c r="F18" t="s">
        <v>20</v>
      </c>
      <c r="G18" t="s">
        <v>59</v>
      </c>
      <c r="H1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8" s="13">
        <f>SUM(INDEX(RegisterTable[Net],1):RegisterTable[[#This Row],[Net]])</f>
        <v>9273.4699999999993</v>
      </c>
      <c r="J18" s="1"/>
    </row>
    <row r="19" spans="1:10" x14ac:dyDescent="0.35">
      <c r="A19" s="9"/>
      <c r="B19" s="9">
        <v>44896</v>
      </c>
      <c r="C19" s="4">
        <v>68.8</v>
      </c>
      <c r="D19" s="4"/>
      <c r="E19" t="s">
        <v>43</v>
      </c>
      <c r="F19" t="s">
        <v>23</v>
      </c>
      <c r="G19"/>
      <c r="H1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19" s="13">
        <f>SUM(INDEX(RegisterTable[Net],1):RegisterTable[[#This Row],[Net]])</f>
        <v>9204.67</v>
      </c>
      <c r="J19" s="1"/>
    </row>
    <row r="20" spans="1:10" x14ac:dyDescent="0.35">
      <c r="A20" s="9"/>
      <c r="B20" s="9">
        <v>44898</v>
      </c>
      <c r="C20" s="4">
        <v>2500</v>
      </c>
      <c r="D20" s="4"/>
      <c r="E20" t="s">
        <v>44</v>
      </c>
      <c r="F20" t="s">
        <v>18</v>
      </c>
      <c r="G20"/>
      <c r="H2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0" s="13">
        <f>SUM(INDEX(RegisterTable[Net],1):RegisterTable[[#This Row],[Net]])</f>
        <v>6704.67</v>
      </c>
      <c r="J20" s="1"/>
    </row>
    <row r="21" spans="1:10" x14ac:dyDescent="0.35">
      <c r="A21" s="9"/>
      <c r="B21" s="9">
        <v>44903</v>
      </c>
      <c r="C21" s="4">
        <v>81.14</v>
      </c>
      <c r="D21" s="4"/>
      <c r="E21" t="s">
        <v>47</v>
      </c>
      <c r="F21" t="s">
        <v>32</v>
      </c>
      <c r="G21"/>
      <c r="H2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1" s="13">
        <f>SUM(INDEX(RegisterTable[Net],1):RegisterTable[[#This Row],[Net]])</f>
        <v>6623.53</v>
      </c>
      <c r="J21" s="1"/>
    </row>
    <row r="22" spans="1:10" x14ac:dyDescent="0.35">
      <c r="A22" s="9"/>
      <c r="B22" s="9">
        <v>44903</v>
      </c>
      <c r="C22" s="4">
        <v>118</v>
      </c>
      <c r="D22" s="4"/>
      <c r="E22" t="s">
        <v>51</v>
      </c>
      <c r="F22" t="s">
        <v>21</v>
      </c>
      <c r="G22" t="s">
        <v>58</v>
      </c>
      <c r="H2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2" s="13">
        <f>SUM(INDEX(RegisterTable[Net],1):RegisterTable[[#This Row],[Net]])</f>
        <v>6505.53</v>
      </c>
      <c r="J22" s="1"/>
    </row>
    <row r="23" spans="1:10" x14ac:dyDescent="0.35">
      <c r="A23" s="9"/>
      <c r="B23" s="9">
        <v>44904</v>
      </c>
      <c r="C23" s="4">
        <v>65.06</v>
      </c>
      <c r="D23" s="4"/>
      <c r="E23" t="s">
        <v>43</v>
      </c>
      <c r="F23" t="s">
        <v>23</v>
      </c>
      <c r="G23"/>
      <c r="H2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3" s="13">
        <f>SUM(INDEX(RegisterTable[Net],1):RegisterTable[[#This Row],[Net]])</f>
        <v>6440.4699999999993</v>
      </c>
      <c r="J23" s="1"/>
    </row>
    <row r="24" spans="1:10" x14ac:dyDescent="0.35">
      <c r="A24" s="9"/>
      <c r="B24" s="9">
        <v>44910</v>
      </c>
      <c r="C24" s="4">
        <v>231.09</v>
      </c>
      <c r="D24" s="4"/>
      <c r="E24" t="s">
        <v>45</v>
      </c>
      <c r="F24" t="s">
        <v>19</v>
      </c>
      <c r="G24"/>
      <c r="H2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4" s="13">
        <f>SUM(INDEX(RegisterTable[Net],1):RegisterTable[[#This Row],[Net]])</f>
        <v>6209.3799999999992</v>
      </c>
      <c r="J24" s="1"/>
    </row>
    <row r="25" spans="1:10" x14ac:dyDescent="0.35">
      <c r="A25" s="9"/>
      <c r="B25" s="9">
        <v>44912</v>
      </c>
      <c r="C25" s="4">
        <v>14.9</v>
      </c>
      <c r="D25" s="4"/>
      <c r="E25" t="s">
        <v>47</v>
      </c>
      <c r="F25" t="s">
        <v>32</v>
      </c>
      <c r="G25"/>
      <c r="H2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5" s="13">
        <f>SUM(INDEX(RegisterTable[Net],1):RegisterTable[[#This Row],[Net]])</f>
        <v>6194.48</v>
      </c>
      <c r="J25" s="1"/>
    </row>
    <row r="26" spans="1:10" x14ac:dyDescent="0.35">
      <c r="A26" s="9"/>
      <c r="B26" s="9">
        <v>44912</v>
      </c>
      <c r="C26" s="4">
        <v>57.14</v>
      </c>
      <c r="D26" s="4"/>
      <c r="E26" t="s">
        <v>43</v>
      </c>
      <c r="F26" t="s">
        <v>23</v>
      </c>
      <c r="G26"/>
      <c r="H2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6" s="13">
        <f>SUM(INDEX(RegisterTable[Net],1):RegisterTable[[#This Row],[Net]])</f>
        <v>6137.3399999999992</v>
      </c>
      <c r="J26" s="1"/>
    </row>
    <row r="27" spans="1:10" x14ac:dyDescent="0.35">
      <c r="A27" s="9"/>
      <c r="B27" s="9">
        <v>44916</v>
      </c>
      <c r="C27" s="4">
        <v>65.33</v>
      </c>
      <c r="D27" s="4"/>
      <c r="E27" t="s">
        <v>47</v>
      </c>
      <c r="F27" t="s">
        <v>32</v>
      </c>
      <c r="G27"/>
      <c r="H2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7" s="13">
        <f>SUM(INDEX(RegisterTable[Net],1):RegisterTable[[#This Row],[Net]])</f>
        <v>6072.0099999999993</v>
      </c>
      <c r="J27" s="1"/>
    </row>
    <row r="28" spans="1:10" x14ac:dyDescent="0.35">
      <c r="A28" s="9"/>
      <c r="B28" s="9">
        <v>44917</v>
      </c>
      <c r="C28" s="4">
        <v>111.45</v>
      </c>
      <c r="D28" s="4"/>
      <c r="E28" t="s">
        <v>52</v>
      </c>
      <c r="F28" t="s">
        <v>41</v>
      </c>
      <c r="G28" t="s">
        <v>61</v>
      </c>
      <c r="H2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8" s="13">
        <f>SUM(INDEX(RegisterTable[Net],1):RegisterTable[[#This Row],[Net]])</f>
        <v>5960.5599999999995</v>
      </c>
      <c r="J28" s="1"/>
    </row>
    <row r="29" spans="1:10" x14ac:dyDescent="0.35">
      <c r="A29" s="9"/>
      <c r="B29" s="9">
        <v>44917</v>
      </c>
      <c r="C29" s="4">
        <v>103</v>
      </c>
      <c r="D29" s="4"/>
      <c r="E29" t="s">
        <v>53</v>
      </c>
      <c r="F29" t="s">
        <v>36</v>
      </c>
      <c r="G29"/>
      <c r="H2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29" s="13">
        <f>SUM(INDEX(RegisterTable[Net],1):RegisterTable[[#This Row],[Net]])</f>
        <v>5857.5599999999995</v>
      </c>
      <c r="J29" s="1"/>
    </row>
    <row r="30" spans="1:10" x14ac:dyDescent="0.35">
      <c r="A30" s="9"/>
      <c r="B30" s="9">
        <v>44919</v>
      </c>
      <c r="C30" s="4">
        <v>60.27</v>
      </c>
      <c r="D30" s="4"/>
      <c r="E30" t="s">
        <v>43</v>
      </c>
      <c r="F30" t="s">
        <v>23</v>
      </c>
      <c r="G30"/>
      <c r="H3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0" s="13">
        <f>SUM(INDEX(RegisterTable[Net],1):RegisterTable[[#This Row],[Net]])</f>
        <v>5797.2899999999991</v>
      </c>
      <c r="J30" s="1"/>
    </row>
    <row r="31" spans="1:10" x14ac:dyDescent="0.35">
      <c r="A31" s="9"/>
      <c r="B31" s="9">
        <v>44922</v>
      </c>
      <c r="C31" s="4"/>
      <c r="D31" s="4">
        <v>5000</v>
      </c>
      <c r="E31" t="s">
        <v>48</v>
      </c>
      <c r="F31" t="s">
        <v>42</v>
      </c>
      <c r="G31"/>
      <c r="H3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1" s="13">
        <f>SUM(INDEX(RegisterTable[Net],1):RegisterTable[[#This Row],[Net]])</f>
        <v>10797.289999999999</v>
      </c>
      <c r="J31" s="1"/>
    </row>
    <row r="32" spans="1:10" x14ac:dyDescent="0.35">
      <c r="A32" s="9"/>
      <c r="B32" s="9">
        <v>44923</v>
      </c>
      <c r="C32" s="4">
        <v>116.51</v>
      </c>
      <c r="D32" s="4"/>
      <c r="E32" t="s">
        <v>47</v>
      </c>
      <c r="F32" t="s">
        <v>32</v>
      </c>
      <c r="G32"/>
      <c r="H3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2" s="13">
        <f>SUM(INDEX(RegisterTable[Net],1):RegisterTable[[#This Row],[Net]])</f>
        <v>10680.779999999999</v>
      </c>
      <c r="J32" s="1"/>
    </row>
    <row r="33" spans="1:10" x14ac:dyDescent="0.35">
      <c r="A33" s="9"/>
      <c r="B33" s="9">
        <v>44924</v>
      </c>
      <c r="C33" s="4">
        <v>499</v>
      </c>
      <c r="D33" s="4"/>
      <c r="E33" t="s">
        <v>50</v>
      </c>
      <c r="F33" t="s">
        <v>21</v>
      </c>
      <c r="G33" t="s">
        <v>56</v>
      </c>
      <c r="H3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3" s="13">
        <f>SUM(INDEX(RegisterTable[Net],1):RegisterTable[[#This Row],[Net]])</f>
        <v>10181.779999999999</v>
      </c>
      <c r="J33" s="1"/>
    </row>
    <row r="34" spans="1:10" x14ac:dyDescent="0.35">
      <c r="A34" s="9"/>
      <c r="B34" s="9">
        <v>44924</v>
      </c>
      <c r="C34" s="4">
        <v>1091</v>
      </c>
      <c r="D34" s="4"/>
      <c r="E34" t="s">
        <v>46</v>
      </c>
      <c r="F34" t="s">
        <v>20</v>
      </c>
      <c r="G34"/>
      <c r="H3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4" s="13">
        <f>SUM(INDEX(RegisterTable[Net],1):RegisterTable[[#This Row],[Net]])</f>
        <v>9090.7799999999988</v>
      </c>
      <c r="J34" s="1"/>
    </row>
    <row r="35" spans="1:10" x14ac:dyDescent="0.35">
      <c r="A35" s="9"/>
      <c r="B35" s="9">
        <v>44926</v>
      </c>
      <c r="C35" s="4"/>
      <c r="D35" s="4">
        <v>0.37</v>
      </c>
      <c r="E35" t="s">
        <v>34</v>
      </c>
      <c r="F35" t="s">
        <v>24</v>
      </c>
      <c r="G35"/>
      <c r="H3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5" s="13">
        <f>SUM(INDEX(RegisterTable[Net],1):RegisterTable[[#This Row],[Net]])</f>
        <v>9091.15</v>
      </c>
      <c r="J35" s="1"/>
    </row>
    <row r="36" spans="1:10" x14ac:dyDescent="0.35">
      <c r="A36" s="9"/>
      <c r="B36" s="9">
        <v>44926</v>
      </c>
      <c r="C36" s="4">
        <v>63.13</v>
      </c>
      <c r="D36" s="4"/>
      <c r="E36" t="s">
        <v>43</v>
      </c>
      <c r="F36" t="s">
        <v>23</v>
      </c>
      <c r="G36"/>
      <c r="H3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6" s="13">
        <f>SUM(INDEX(RegisterTable[Net],1):RegisterTable[[#This Row],[Net]])</f>
        <v>9028.02</v>
      </c>
      <c r="J36" s="1"/>
    </row>
    <row r="37" spans="1:10" x14ac:dyDescent="0.35">
      <c r="A37" s="9"/>
      <c r="B37" s="9">
        <v>44926</v>
      </c>
      <c r="C37" s="4">
        <v>106.23</v>
      </c>
      <c r="D37" s="4"/>
      <c r="E37" t="s">
        <v>53</v>
      </c>
      <c r="F37" t="s">
        <v>36</v>
      </c>
      <c r="G37" t="s">
        <v>60</v>
      </c>
      <c r="H3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7" s="13">
        <f>SUM(INDEX(RegisterTable[Net],1):RegisterTable[[#This Row],[Net]])</f>
        <v>8921.7900000000009</v>
      </c>
    </row>
    <row r="38" spans="1:10" x14ac:dyDescent="0.35">
      <c r="A38" s="9"/>
      <c r="B38" s="9">
        <v>44927</v>
      </c>
      <c r="C38" s="4">
        <v>66</v>
      </c>
      <c r="D38" s="4"/>
      <c r="E38" t="s">
        <v>63</v>
      </c>
      <c r="F38" t="s">
        <v>16</v>
      </c>
      <c r="G38" t="s">
        <v>66</v>
      </c>
      <c r="H3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8" s="13">
        <f>SUM(INDEX(RegisterTable[Net],1):RegisterTable[[#This Row],[Net]])</f>
        <v>8855.7900000000009</v>
      </c>
    </row>
    <row r="39" spans="1:10" x14ac:dyDescent="0.35">
      <c r="A39" s="9"/>
      <c r="B39" s="9">
        <v>44929</v>
      </c>
      <c r="C39" s="4">
        <v>2592.86</v>
      </c>
      <c r="D39" s="4"/>
      <c r="E39" t="s">
        <v>44</v>
      </c>
      <c r="F39" t="s">
        <v>18</v>
      </c>
      <c r="G39"/>
      <c r="H3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39" s="13">
        <f>SUM(INDEX(RegisterTable[Net],1):RegisterTable[[#This Row],[Net]])</f>
        <v>6262.93</v>
      </c>
    </row>
    <row r="40" spans="1:10" x14ac:dyDescent="0.35">
      <c r="A40" s="9"/>
      <c r="B40" s="9">
        <v>44929</v>
      </c>
      <c r="C40" s="4">
        <v>528.07000000000005</v>
      </c>
      <c r="D40" s="4"/>
      <c r="E40" s="6" t="s">
        <v>54</v>
      </c>
      <c r="F40" t="s">
        <v>33</v>
      </c>
      <c r="G40" t="s">
        <v>57</v>
      </c>
      <c r="H4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0" s="13">
        <f>SUM(INDEX(RegisterTable[Net],1):RegisterTable[[#This Row],[Net]])</f>
        <v>5734.8600000000006</v>
      </c>
    </row>
    <row r="41" spans="1:10" x14ac:dyDescent="0.35">
      <c r="A41" s="9"/>
      <c r="B41" s="9">
        <v>44930</v>
      </c>
      <c r="C41" s="4"/>
      <c r="D41" s="4">
        <v>132</v>
      </c>
      <c r="E41" s="6" t="s">
        <v>63</v>
      </c>
      <c r="F41" t="s">
        <v>15</v>
      </c>
      <c r="G41" t="s">
        <v>62</v>
      </c>
      <c r="H4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1" s="13">
        <f>SUM(INDEX(RegisterTable[Net],1):RegisterTable[[#This Row],[Net]])</f>
        <v>5866.8600000000006</v>
      </c>
    </row>
    <row r="42" spans="1:10" x14ac:dyDescent="0.35">
      <c r="A42" s="9"/>
      <c r="B42" s="9">
        <v>44931</v>
      </c>
      <c r="C42" s="4">
        <v>7.98</v>
      </c>
      <c r="D42" s="4"/>
      <c r="E42" s="6" t="s">
        <v>64</v>
      </c>
      <c r="F42" t="s">
        <v>65</v>
      </c>
      <c r="G42"/>
      <c r="H4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2" s="13">
        <f>SUM(INDEX(RegisterTable[Net],1):RegisterTable[[#This Row],[Net]])</f>
        <v>5858.880000000001</v>
      </c>
    </row>
    <row r="43" spans="1:10" x14ac:dyDescent="0.35">
      <c r="A43" s="9"/>
      <c r="B43" s="9"/>
      <c r="C43" s="4"/>
      <c r="D43" s="4"/>
      <c r="E43" s="6"/>
      <c r="G43"/>
      <c r="H4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3" s="13">
        <f>SUM(INDEX(RegisterTable[Net],1):RegisterTable[[#This Row],[Net]])</f>
        <v>5858.880000000001</v>
      </c>
    </row>
    <row r="44" spans="1:10" x14ac:dyDescent="0.35">
      <c r="A44" s="9"/>
      <c r="B44" s="9"/>
      <c r="C44" s="4"/>
      <c r="D44" s="4"/>
      <c r="E44" s="6"/>
      <c r="G44"/>
      <c r="H4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3">
        <f>SUM(INDEX(RegisterTable[Net],1):RegisterTable[[#This Row],[Net]])</f>
        <v>5858.880000000001</v>
      </c>
    </row>
    <row r="45" spans="1:10" x14ac:dyDescent="0.35">
      <c r="A45" s="9"/>
      <c r="B45" s="9"/>
      <c r="C45" s="4"/>
      <c r="D45" s="4"/>
      <c r="E45" s="6"/>
      <c r="G45"/>
      <c r="H4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3">
        <f>SUM(INDEX(RegisterTable[Net],1):RegisterTable[[#This Row],[Net]])</f>
        <v>5858.880000000001</v>
      </c>
    </row>
    <row r="46" spans="1:10" x14ac:dyDescent="0.35">
      <c r="A46" s="9"/>
      <c r="B46" s="9"/>
      <c r="C46" s="4"/>
      <c r="D46" s="4"/>
      <c r="E46" s="6"/>
      <c r="G46"/>
      <c r="H4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3">
        <f>SUM(INDEX(RegisterTable[Net],1):RegisterTable[[#This Row],[Net]])</f>
        <v>5858.880000000001</v>
      </c>
    </row>
    <row r="47" spans="1:10" x14ac:dyDescent="0.35">
      <c r="A47" s="9"/>
      <c r="B47" s="9"/>
      <c r="C47" s="4"/>
      <c r="D47" s="4"/>
      <c r="E47" s="6"/>
      <c r="G47"/>
      <c r="H4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3">
        <f>SUM(INDEX(RegisterTable[Net],1):RegisterTable[[#This Row],[Net]])</f>
        <v>5858.880000000001</v>
      </c>
    </row>
    <row r="48" spans="1:10" x14ac:dyDescent="0.35">
      <c r="A48" s="9"/>
      <c r="B48" s="9"/>
      <c r="C48" s="4"/>
      <c r="D48" s="4"/>
      <c r="E48" s="6"/>
      <c r="G48"/>
      <c r="H4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3">
        <f>SUM(INDEX(RegisterTable[Net],1):RegisterTable[[#This Row],[Net]])</f>
        <v>5858.880000000001</v>
      </c>
    </row>
    <row r="49" spans="1:9" x14ac:dyDescent="0.35">
      <c r="A49" s="9"/>
      <c r="B49" s="9"/>
      <c r="C49" s="4"/>
      <c r="D49" s="4"/>
      <c r="E49" s="6"/>
      <c r="G49"/>
      <c r="H4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3">
        <f>SUM(INDEX(RegisterTable[Net],1):RegisterTable[[#This Row],[Net]])</f>
        <v>5858.880000000001</v>
      </c>
    </row>
    <row r="50" spans="1:9" x14ac:dyDescent="0.35">
      <c r="A50" s="9"/>
      <c r="B50" s="9"/>
      <c r="C50" s="4"/>
      <c r="D50" s="4"/>
      <c r="E50" s="6"/>
      <c r="G50"/>
      <c r="H5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3">
        <f>SUM(INDEX(RegisterTable[Net],1):RegisterTable[[#This Row],[Net]])</f>
        <v>5858.880000000001</v>
      </c>
    </row>
    <row r="51" spans="1:9" x14ac:dyDescent="0.35">
      <c r="A51" s="9"/>
      <c r="B51" s="9"/>
      <c r="C51" s="4"/>
      <c r="D51" s="4"/>
      <c r="E51" s="6"/>
      <c r="G51"/>
      <c r="H5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3">
        <f>SUM(INDEX(RegisterTable[Net],1):RegisterTable[[#This Row],[Net]])</f>
        <v>5858.880000000001</v>
      </c>
    </row>
    <row r="52" spans="1:9" x14ac:dyDescent="0.35">
      <c r="A52" s="9"/>
      <c r="B52" s="9"/>
      <c r="C52" s="4"/>
      <c r="D52" s="4"/>
      <c r="E52" s="6"/>
      <c r="G52"/>
      <c r="H5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3">
        <f>SUM(INDEX(RegisterTable[Net],1):RegisterTable[[#This Row],[Net]])</f>
        <v>5858.880000000001</v>
      </c>
    </row>
    <row r="53" spans="1:9" x14ac:dyDescent="0.35">
      <c r="A53" s="9"/>
      <c r="B53" s="9"/>
      <c r="C53" s="4"/>
      <c r="D53" s="4"/>
      <c r="E53" s="6"/>
      <c r="G53"/>
      <c r="H5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3">
        <f>SUM(INDEX(RegisterTable[Net],1):RegisterTable[[#This Row],[Net]])</f>
        <v>5858.880000000001</v>
      </c>
    </row>
    <row r="54" spans="1:9" x14ac:dyDescent="0.35">
      <c r="A54" s="9"/>
      <c r="B54" s="9"/>
      <c r="C54" s="4"/>
      <c r="D54" s="4"/>
      <c r="E54" s="6"/>
      <c r="G54"/>
      <c r="H5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3">
        <f>SUM(INDEX(RegisterTable[Net],1):RegisterTable[[#This Row],[Net]])</f>
        <v>5858.880000000001</v>
      </c>
    </row>
    <row r="55" spans="1:9" x14ac:dyDescent="0.35">
      <c r="A55" s="9"/>
      <c r="B55" s="9"/>
      <c r="C55" s="4"/>
      <c r="D55" s="4"/>
      <c r="E55" s="6"/>
      <c r="G55"/>
      <c r="H5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3">
        <f>SUM(INDEX(RegisterTable[Net],1):RegisterTable[[#This Row],[Net]])</f>
        <v>5858.880000000001</v>
      </c>
    </row>
    <row r="56" spans="1:9" x14ac:dyDescent="0.35">
      <c r="A56" s="9"/>
      <c r="B56" s="9"/>
      <c r="C56" s="14"/>
      <c r="D56" s="14"/>
      <c r="E56" s="6"/>
      <c r="F56" s="10"/>
      <c r="G56"/>
      <c r="H5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3">
        <f>SUM(INDEX(RegisterTable[Net],1):RegisterTable[[#This Row],[Net]])</f>
        <v>5858.880000000001</v>
      </c>
    </row>
    <row r="57" spans="1:9" x14ac:dyDescent="0.35">
      <c r="A57" s="9"/>
      <c r="B57" s="9"/>
      <c r="C57" s="14"/>
      <c r="D57" s="14"/>
      <c r="E57" s="6"/>
      <c r="F57" s="10"/>
      <c r="G57"/>
      <c r="H5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3">
        <f>SUM(INDEX(RegisterTable[Net],1):RegisterTable[[#This Row],[Net]])</f>
        <v>5858.880000000001</v>
      </c>
    </row>
    <row r="58" spans="1:9" x14ac:dyDescent="0.35">
      <c r="A58" s="9"/>
      <c r="B58" s="9"/>
      <c r="C58" s="14"/>
      <c r="D58" s="14"/>
      <c r="E58" s="6"/>
      <c r="F58" s="10"/>
      <c r="G58"/>
      <c r="H5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3">
        <f>SUM(INDEX(RegisterTable[Net],1):RegisterTable[[#This Row],[Net]])</f>
        <v>5858.880000000001</v>
      </c>
    </row>
    <row r="59" spans="1:9" x14ac:dyDescent="0.35">
      <c r="A59" s="9"/>
      <c r="B59" s="9"/>
      <c r="C59" s="14"/>
      <c r="D59" s="14"/>
      <c r="E59" s="6"/>
      <c r="F59" s="10"/>
      <c r="G59"/>
      <c r="H5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3">
        <f>SUM(INDEX(RegisterTable[Net],1):RegisterTable[[#This Row],[Net]])</f>
        <v>5858.880000000001</v>
      </c>
    </row>
    <row r="60" spans="1:9" x14ac:dyDescent="0.35">
      <c r="A60" s="9"/>
      <c r="B60" s="9"/>
      <c r="C60" s="14"/>
      <c r="D60" s="14"/>
      <c r="E60" s="6"/>
      <c r="F60" s="10"/>
      <c r="G60"/>
      <c r="H6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3">
        <f>SUM(INDEX(RegisterTable[Net],1):RegisterTable[[#This Row],[Net]])</f>
        <v>5858.880000000001</v>
      </c>
    </row>
    <row r="61" spans="1:9" x14ac:dyDescent="0.35">
      <c r="A61" s="9"/>
      <c r="B61" s="9"/>
      <c r="C61" s="14"/>
      <c r="D61" s="14"/>
      <c r="E61" s="6"/>
      <c r="F61" s="10"/>
      <c r="G61"/>
      <c r="H6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3">
        <f>SUM(INDEX(RegisterTable[Net],1):RegisterTable[[#This Row],[Net]])</f>
        <v>5858.880000000001</v>
      </c>
    </row>
    <row r="62" spans="1:9" x14ac:dyDescent="0.35">
      <c r="A62" s="9"/>
      <c r="B62" s="9"/>
      <c r="C62" s="14"/>
      <c r="D62" s="14"/>
      <c r="E62" s="6"/>
      <c r="F62" s="10"/>
      <c r="G62"/>
      <c r="H6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3">
        <f>SUM(INDEX(RegisterTable[Net],1):RegisterTable[[#This Row],[Net]])</f>
        <v>5858.880000000001</v>
      </c>
    </row>
    <row r="63" spans="1:9" x14ac:dyDescent="0.35">
      <c r="A63" s="9"/>
      <c r="B63" s="9"/>
      <c r="C63" s="14"/>
      <c r="D63" s="14"/>
      <c r="E63" s="6"/>
      <c r="F63" s="10"/>
      <c r="G63"/>
      <c r="H6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3">
        <f>SUM(INDEX(RegisterTable[Net],1):RegisterTable[[#This Row],[Net]])</f>
        <v>5858.880000000001</v>
      </c>
    </row>
    <row r="64" spans="1:9" x14ac:dyDescent="0.35">
      <c r="A64" s="9"/>
      <c r="B64" s="9"/>
      <c r="C64" s="14"/>
      <c r="D64" s="14"/>
      <c r="E64" s="6"/>
      <c r="F64" s="10"/>
      <c r="G64"/>
      <c r="H6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3">
        <f>SUM(INDEX(RegisterTable[Net],1):RegisterTable[[#This Row],[Net]])</f>
        <v>5858.880000000001</v>
      </c>
    </row>
    <row r="65" spans="1:9" x14ac:dyDescent="0.35">
      <c r="A65" s="9"/>
      <c r="B65" s="9"/>
      <c r="C65" s="14"/>
      <c r="D65" s="14"/>
      <c r="E65" s="6"/>
      <c r="F65" s="10"/>
      <c r="G65"/>
      <c r="H6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3">
        <f>SUM(INDEX(RegisterTable[Net],1):RegisterTable[[#This Row],[Net]])</f>
        <v>5858.880000000001</v>
      </c>
    </row>
    <row r="66" spans="1:9" x14ac:dyDescent="0.35">
      <c r="A66" s="9"/>
      <c r="B66" s="9"/>
      <c r="C66" s="14"/>
      <c r="D66" s="14"/>
      <c r="E66" s="6"/>
      <c r="F66" s="10"/>
      <c r="G66"/>
      <c r="H6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3">
        <f>SUM(INDEX(RegisterTable[Net],1):RegisterTable[[#This Row],[Net]])</f>
        <v>5858.880000000001</v>
      </c>
    </row>
    <row r="67" spans="1:9" x14ac:dyDescent="0.35">
      <c r="A67" s="9"/>
      <c r="B67" s="9"/>
      <c r="C67" s="14"/>
      <c r="D67" s="14"/>
      <c r="E67" s="6"/>
      <c r="F67" s="10"/>
      <c r="G67"/>
      <c r="H6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3">
        <f>SUM(INDEX(RegisterTable[Net],1):RegisterTable[[#This Row],[Net]])</f>
        <v>5858.880000000001</v>
      </c>
    </row>
    <row r="68" spans="1:9" x14ac:dyDescent="0.35">
      <c r="A68" s="9"/>
      <c r="B68" s="9"/>
      <c r="C68" s="14"/>
      <c r="D68" s="14"/>
      <c r="E68" s="6"/>
      <c r="F68" s="10"/>
      <c r="G68"/>
      <c r="H6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3">
        <f>SUM(INDEX(RegisterTable[Net],1):RegisterTable[[#This Row],[Net]])</f>
        <v>5858.880000000001</v>
      </c>
    </row>
    <row r="69" spans="1:9" x14ac:dyDescent="0.35">
      <c r="A69" s="9"/>
      <c r="B69" s="9"/>
      <c r="C69" s="14"/>
      <c r="D69" s="14"/>
      <c r="E69" s="6"/>
      <c r="F69" s="10"/>
      <c r="G69"/>
      <c r="H6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3">
        <f>SUM(INDEX(RegisterTable[Net],1):RegisterTable[[#This Row],[Net]])</f>
        <v>5858.880000000001</v>
      </c>
    </row>
    <row r="70" spans="1:9" x14ac:dyDescent="0.35">
      <c r="A70" s="9"/>
      <c r="B70" s="9"/>
      <c r="C70" s="14"/>
      <c r="D70" s="14"/>
      <c r="E70" s="6"/>
      <c r="F70" s="10"/>
      <c r="G70"/>
      <c r="H7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3">
        <f>SUM(INDEX(RegisterTable[Net],1):RegisterTable[[#This Row],[Net]])</f>
        <v>5858.880000000001</v>
      </c>
    </row>
    <row r="71" spans="1:9" x14ac:dyDescent="0.35">
      <c r="A71" s="9"/>
      <c r="B71" s="9"/>
      <c r="C71" s="14"/>
      <c r="D71" s="14"/>
      <c r="E71" s="6"/>
      <c r="F71" s="10"/>
      <c r="G71"/>
      <c r="H7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3">
        <f>SUM(INDEX(RegisterTable[Net],1):RegisterTable[[#This Row],[Net]])</f>
        <v>5858.880000000001</v>
      </c>
    </row>
    <row r="72" spans="1:9" x14ac:dyDescent="0.35">
      <c r="A72" s="9"/>
      <c r="B72" s="9"/>
      <c r="C72" s="14"/>
      <c r="D72" s="14"/>
      <c r="E72" s="6"/>
      <c r="F72" s="10"/>
      <c r="G72"/>
      <c r="H7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3">
        <f>SUM(INDEX(RegisterTable[Net],1):RegisterTable[[#This Row],[Net]])</f>
        <v>5858.880000000001</v>
      </c>
    </row>
    <row r="73" spans="1:9" x14ac:dyDescent="0.35">
      <c r="A73" s="9"/>
      <c r="B73" s="9"/>
      <c r="C73" s="14"/>
      <c r="D73" s="14"/>
      <c r="E73" s="6"/>
      <c r="F73" s="10"/>
      <c r="G73"/>
      <c r="H7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3">
        <f>SUM(INDEX(RegisterTable[Net],1):RegisterTable[[#This Row],[Net]])</f>
        <v>5858.880000000001</v>
      </c>
    </row>
    <row r="74" spans="1:9" x14ac:dyDescent="0.35">
      <c r="A74" s="9"/>
      <c r="B74" s="9"/>
      <c r="C74" s="14"/>
      <c r="D74" s="14"/>
      <c r="E74" s="6"/>
      <c r="F74" s="10"/>
      <c r="G74"/>
      <c r="H7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3">
        <f>SUM(INDEX(RegisterTable[Net],1):RegisterTable[[#This Row],[Net]])</f>
        <v>5858.880000000001</v>
      </c>
    </row>
    <row r="75" spans="1:9" x14ac:dyDescent="0.35">
      <c r="A75" s="9"/>
      <c r="B75" s="9"/>
      <c r="C75" s="14"/>
      <c r="D75" s="14"/>
      <c r="E75" s="6"/>
      <c r="F75" s="10"/>
      <c r="G75"/>
      <c r="H7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3">
        <f>SUM(INDEX(RegisterTable[Net],1):RegisterTable[[#This Row],[Net]])</f>
        <v>5858.880000000001</v>
      </c>
    </row>
    <row r="76" spans="1:9" x14ac:dyDescent="0.35">
      <c r="A76" s="9"/>
      <c r="B76" s="9"/>
      <c r="C76" s="14"/>
      <c r="D76" s="14"/>
      <c r="E76" s="6"/>
      <c r="F76" s="10"/>
      <c r="G76"/>
      <c r="H7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3">
        <f>SUM(INDEX(RegisterTable[Net],1):RegisterTable[[#This Row],[Net]])</f>
        <v>5858.880000000001</v>
      </c>
    </row>
    <row r="77" spans="1:9" x14ac:dyDescent="0.35">
      <c r="A77" s="9"/>
      <c r="B77" s="9"/>
      <c r="C77" s="14"/>
      <c r="D77" s="14"/>
      <c r="E77" s="6"/>
      <c r="F77" s="10"/>
      <c r="G77"/>
      <c r="H7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3">
        <f>SUM(INDEX(RegisterTable[Net],1):RegisterTable[[#This Row],[Net]])</f>
        <v>5858.880000000001</v>
      </c>
    </row>
    <row r="78" spans="1:9" x14ac:dyDescent="0.35">
      <c r="A78" s="9"/>
      <c r="B78" s="9"/>
      <c r="C78" s="14"/>
      <c r="D78" s="14"/>
      <c r="E78" s="6"/>
      <c r="F78" s="10"/>
      <c r="G78"/>
      <c r="H7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3">
        <f>SUM(INDEX(RegisterTable[Net],1):RegisterTable[[#This Row],[Net]])</f>
        <v>5858.880000000001</v>
      </c>
    </row>
    <row r="79" spans="1:9" x14ac:dyDescent="0.35">
      <c r="A79" s="9"/>
      <c r="B79" s="9"/>
      <c r="C79" s="14"/>
      <c r="D79" s="14"/>
      <c r="E79" s="6"/>
      <c r="F79" s="10"/>
      <c r="G79"/>
      <c r="H7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3">
        <f>SUM(INDEX(RegisterTable[Net],1):RegisterTable[[#This Row],[Net]])</f>
        <v>5858.880000000001</v>
      </c>
    </row>
    <row r="80" spans="1:9" x14ac:dyDescent="0.35">
      <c r="A80" s="9"/>
      <c r="B80" s="9"/>
      <c r="C80" s="14"/>
      <c r="D80" s="14"/>
      <c r="E80" s="6"/>
      <c r="F80" s="10"/>
      <c r="G80"/>
      <c r="H8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3">
        <f>SUM(INDEX(RegisterTable[Net],1):RegisterTable[[#This Row],[Net]])</f>
        <v>5858.880000000001</v>
      </c>
    </row>
    <row r="81" spans="1:9" x14ac:dyDescent="0.35">
      <c r="A81" s="9"/>
      <c r="B81" s="9"/>
      <c r="C81" s="14"/>
      <c r="D81" s="14"/>
      <c r="E81" s="6"/>
      <c r="F81" s="10"/>
      <c r="G81"/>
      <c r="H8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3">
        <f>SUM(INDEX(RegisterTable[Net],1):RegisterTable[[#This Row],[Net]])</f>
        <v>5858.880000000001</v>
      </c>
    </row>
    <row r="82" spans="1:9" x14ac:dyDescent="0.35">
      <c r="A82" s="9"/>
      <c r="B82" s="9"/>
      <c r="C82" s="14"/>
      <c r="D82" s="14"/>
      <c r="E82" s="6"/>
      <c r="F82" s="10"/>
      <c r="G82"/>
      <c r="H8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3">
        <f>SUM(INDEX(RegisterTable[Net],1):RegisterTable[[#This Row],[Net]])</f>
        <v>5858.880000000001</v>
      </c>
    </row>
    <row r="83" spans="1:9" x14ac:dyDescent="0.35">
      <c r="A83" s="9"/>
      <c r="B83" s="9"/>
      <c r="C83" s="14"/>
      <c r="D83" s="14"/>
      <c r="E83" s="6"/>
      <c r="F83" s="10"/>
      <c r="G83"/>
      <c r="H8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3">
        <f>SUM(INDEX(RegisterTable[Net],1):RegisterTable[[#This Row],[Net]])</f>
        <v>5858.880000000001</v>
      </c>
    </row>
    <row r="84" spans="1:9" x14ac:dyDescent="0.35">
      <c r="A84" s="9"/>
      <c r="B84" s="9"/>
      <c r="C84" s="14"/>
      <c r="D84" s="14"/>
      <c r="E84" s="6"/>
      <c r="F84" s="10"/>
      <c r="G84"/>
      <c r="H8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3">
        <f>SUM(INDEX(RegisterTable[Net],1):RegisterTable[[#This Row],[Net]])</f>
        <v>5858.880000000001</v>
      </c>
    </row>
    <row r="85" spans="1:9" x14ac:dyDescent="0.35">
      <c r="A85" s="9"/>
      <c r="B85" s="9"/>
      <c r="C85" s="14"/>
      <c r="D85" s="14"/>
      <c r="E85" s="6"/>
      <c r="F85" s="10"/>
      <c r="G85"/>
      <c r="H8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3">
        <f>SUM(INDEX(RegisterTable[Net],1):RegisterTable[[#This Row],[Net]])</f>
        <v>5858.880000000001</v>
      </c>
    </row>
    <row r="86" spans="1:9" x14ac:dyDescent="0.35">
      <c r="A86" s="9"/>
      <c r="B86" s="9"/>
      <c r="C86" s="14"/>
      <c r="D86" s="14"/>
      <c r="E86" s="6"/>
      <c r="F86" s="10"/>
      <c r="G86"/>
      <c r="H8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3">
        <f>SUM(INDEX(RegisterTable[Net],1):RegisterTable[[#This Row],[Net]])</f>
        <v>5858.880000000001</v>
      </c>
    </row>
    <row r="87" spans="1:9" x14ac:dyDescent="0.35">
      <c r="A87" s="9"/>
      <c r="B87" s="9"/>
      <c r="C87" s="14"/>
      <c r="D87" s="14"/>
      <c r="E87" s="6"/>
      <c r="F87" s="10"/>
      <c r="G87"/>
      <c r="H8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3">
        <f>SUM(INDEX(RegisterTable[Net],1):RegisterTable[[#This Row],[Net]])</f>
        <v>5858.880000000001</v>
      </c>
    </row>
    <row r="88" spans="1:9" x14ac:dyDescent="0.35">
      <c r="A88" s="9"/>
      <c r="B88" s="9"/>
      <c r="C88" s="14"/>
      <c r="D88" s="14"/>
      <c r="E88" s="6"/>
      <c r="F88" s="10"/>
      <c r="G88"/>
      <c r="H8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3">
        <f>SUM(INDEX(RegisterTable[Net],1):RegisterTable[[#This Row],[Net]])</f>
        <v>5858.880000000001</v>
      </c>
    </row>
    <row r="89" spans="1:9" x14ac:dyDescent="0.35">
      <c r="A89" s="9"/>
      <c r="B89" s="9"/>
      <c r="C89" s="14"/>
      <c r="D89" s="14"/>
      <c r="E89" s="6"/>
      <c r="F89" s="10"/>
      <c r="G89"/>
      <c r="H8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3">
        <f>SUM(INDEX(RegisterTable[Net],1):RegisterTable[[#This Row],[Net]])</f>
        <v>5858.880000000001</v>
      </c>
    </row>
    <row r="90" spans="1:9" x14ac:dyDescent="0.35">
      <c r="A90" s="9"/>
      <c r="B90" s="9"/>
      <c r="C90" s="14"/>
      <c r="D90" s="14"/>
      <c r="E90" s="6"/>
      <c r="F90" s="10"/>
      <c r="G90"/>
      <c r="H9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3">
        <f>SUM(INDEX(RegisterTable[Net],1):RegisterTable[[#This Row],[Net]])</f>
        <v>5858.880000000001</v>
      </c>
    </row>
    <row r="91" spans="1:9" x14ac:dyDescent="0.35">
      <c r="A91" s="9"/>
      <c r="B91" s="9"/>
      <c r="C91" s="14"/>
      <c r="D91" s="14"/>
      <c r="E91" s="6"/>
      <c r="F91" s="10"/>
      <c r="G91"/>
      <c r="H9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3">
        <f>SUM(INDEX(RegisterTable[Net],1):RegisterTable[[#This Row],[Net]])</f>
        <v>5858.880000000001</v>
      </c>
    </row>
  </sheetData>
  <phoneticPr fontId="3" type="noConversion"/>
  <conditionalFormatting sqref="G5:G91 C5:E91">
    <cfRule type="cellIs" dxfId="19" priority="10" operator="equal">
      <formula>0</formula>
    </cfRule>
  </conditionalFormatting>
  <conditionalFormatting sqref="I4:I6">
    <cfRule type="cellIs" dxfId="18" priority="7" operator="equal">
      <formula>0</formula>
    </cfRule>
  </conditionalFormatting>
  <conditionalFormatting sqref="A5:I91">
    <cfRule type="expression" dxfId="17" priority="4">
      <formula>$A5="Rec"</formula>
    </cfRule>
  </conditionalFormatting>
  <dataValidations count="2">
    <dataValidation type="list" allowBlank="1" showInputMessage="1" showErrorMessage="1" sqref="F5:F91" xr:uid="{FACAB7E6-8EDD-409D-8433-6D338E1DB06D}">
      <formula1>CategoriesList</formula1>
    </dataValidation>
    <dataValidation type="list" allowBlank="1" showInputMessage="1" showErrorMessage="1" sqref="A5:A91" xr:uid="{64AC772F-6EAE-43F2-9693-0D3DC8D52BFE}">
      <formula1>"Rec,"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6"/>
  <sheetViews>
    <sheetView zoomScale="90" zoomScaleNormal="90" workbookViewId="0">
      <pane xSplit="1" topLeftCell="B1" activePane="topRight" state="frozen"/>
      <selection activeCell="A21" sqref="A21"/>
      <selection pane="topRight" activeCell="B1" sqref="B1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35">
      <c r="A4" s="11" t="s">
        <v>28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1" t="s">
        <v>10</v>
      </c>
      <c r="K4" s="11" t="s">
        <v>1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17</v>
      </c>
    </row>
    <row r="5" spans="1:17" x14ac:dyDescent="0.35">
      <c r="A5" s="18" t="s">
        <v>42</v>
      </c>
      <c r="B5" s="21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1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1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1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1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1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1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1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1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1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1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1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1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1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1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6" spans="1:17" x14ac:dyDescent="0.35">
      <c r="A6" s="18" t="s">
        <v>24</v>
      </c>
      <c r="B6" s="21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0.53</v>
      </c>
      <c r="C6" s="21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1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1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1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1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1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1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1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1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1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1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1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1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1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7" spans="1:17" x14ac:dyDescent="0.35">
      <c r="A7" s="18" t="s">
        <v>15</v>
      </c>
      <c r="B7" s="21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1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1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1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1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1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1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1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1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1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1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1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1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1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1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8" spans="1:17" x14ac:dyDescent="0.35">
      <c r="A8" s="18" t="s">
        <v>18</v>
      </c>
      <c r="B8" s="21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1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1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1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1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1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1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1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1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1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1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1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1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1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1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9" spans="1:17" x14ac:dyDescent="0.35">
      <c r="A9" s="18" t="s">
        <v>19</v>
      </c>
      <c r="B9" s="21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1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1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1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1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1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1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1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1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1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1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1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1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1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1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0" spans="1:17" x14ac:dyDescent="0.35">
      <c r="A10" s="18" t="s">
        <v>32</v>
      </c>
      <c r="B10" s="22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2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2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2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2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2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2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2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2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2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2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2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2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2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2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1" spans="1:17" x14ac:dyDescent="0.35">
      <c r="A11" s="18" t="s">
        <v>36</v>
      </c>
      <c r="B11" s="21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1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1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1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1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1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1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1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1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1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1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1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1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1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1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2" spans="1:17" x14ac:dyDescent="0.35">
      <c r="A12" s="18" t="s">
        <v>65</v>
      </c>
      <c r="B12" s="21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1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1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1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1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1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1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1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1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1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1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1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1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1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1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3" spans="1:17" x14ac:dyDescent="0.35">
      <c r="A13" s="18" t="s">
        <v>22</v>
      </c>
      <c r="B13" s="21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1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1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1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1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1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1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1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1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1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1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1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1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1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1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4" spans="1:17" x14ac:dyDescent="0.35">
      <c r="A14" s="18" t="s">
        <v>23</v>
      </c>
      <c r="B14" s="21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1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1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1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1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1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1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1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1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1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1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1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1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1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1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5" spans="1:17" x14ac:dyDescent="0.35">
      <c r="A15" s="19" t="s">
        <v>21</v>
      </c>
      <c r="B15" s="21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1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1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1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1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1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1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1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1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1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1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1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1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1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1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6" spans="1:17" x14ac:dyDescent="0.35">
      <c r="A16" s="19" t="s">
        <v>20</v>
      </c>
      <c r="B16" s="21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1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1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1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1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1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1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1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1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1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1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1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1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1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1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7" spans="1:17" x14ac:dyDescent="0.35">
      <c r="A17" s="18" t="s">
        <v>41</v>
      </c>
      <c r="B17" s="21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1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1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1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1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1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1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1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1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1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1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1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1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1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1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8" spans="1:17" x14ac:dyDescent="0.35">
      <c r="A18" s="18" t="s">
        <v>33</v>
      </c>
      <c r="B18" s="21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1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1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1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1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1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1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1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1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1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1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1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1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1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1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19" spans="1:17" x14ac:dyDescent="0.35">
      <c r="A19" s="25" t="s">
        <v>71</v>
      </c>
      <c r="B19" s="26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6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6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9" s="26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6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6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6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6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6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6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6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6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6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6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6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0" spans="1:17" x14ac:dyDescent="0.35">
      <c r="A20" s="18" t="s">
        <v>16</v>
      </c>
      <c r="B20" s="21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1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1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20" s="21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1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1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1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1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1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1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1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1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1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1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1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1" spans="1:17" x14ac:dyDescent="0.35">
      <c r="A21" s="18" t="s">
        <v>0</v>
      </c>
      <c r="B21" s="21" cm="1">
        <f t="array" ref="B2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1" s="21" cm="1">
        <f t="array" ref="C2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1" s="21" cm="1">
        <f t="array" ref="D2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1" s="21" cm="1">
        <f t="array" ref="E2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1" s="21" cm="1">
        <f t="array" ref="F2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1" s="21" cm="1">
        <f t="array" ref="G2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1" s="21" cm="1">
        <f t="array" ref="H2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1" s="21" cm="1">
        <f t="array" ref="I2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1" s="21" cm="1">
        <f t="array" ref="J2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1" s="21" cm="1">
        <f t="array" ref="K2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1" s="21" cm="1">
        <f t="array" ref="L2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1" s="21" cm="1">
        <f t="array" ref="M2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1" s="21" cm="1">
        <f t="array" ref="N2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1" s="21" cm="1">
        <f t="array" ref="O2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1" s="21" cm="1">
        <f t="array" ref="P2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</row>
    <row r="22" spans="1:17" ht="15" thickBot="1" x14ac:dyDescent="0.4">
      <c r="A22" s="20" t="s">
        <v>67</v>
      </c>
      <c r="B22" s="21">
        <f>SUBTOTAL(109,ActualTable[Nov 2022])</f>
        <v>1165.8099999999997</v>
      </c>
      <c r="C22" s="21">
        <f>SUBTOTAL(109,ActualTable[Dec 2022])</f>
        <v>-723.28000000000043</v>
      </c>
      <c r="D22" s="21">
        <f>SUBTOTAL(109,ActualTable[Jan 2023])</f>
        <v>-3062.9100000000003</v>
      </c>
      <c r="E22" s="21">
        <f>SUBTOTAL(109,ActualTable[Feb 2023])</f>
        <v>0</v>
      </c>
      <c r="F22" s="21">
        <f>SUBTOTAL(109,ActualTable[Mar 2023])</f>
        <v>0</v>
      </c>
      <c r="G22" s="21">
        <f>SUBTOTAL(109,ActualTable[Apr 2023])</f>
        <v>0</v>
      </c>
      <c r="H22" s="21">
        <f>SUBTOTAL(109,ActualTable[May 2023])</f>
        <v>0</v>
      </c>
      <c r="I22" s="21">
        <f>SUBTOTAL(109,ActualTable[Jun 2023])</f>
        <v>0</v>
      </c>
      <c r="J22" s="21">
        <f>SUBTOTAL(109,ActualTable[Jul 2023])</f>
        <v>0</v>
      </c>
      <c r="K22" s="21">
        <f>SUBTOTAL(109,ActualTable[Aug 2023])</f>
        <v>0</v>
      </c>
      <c r="L22" s="21">
        <f>SUBTOTAL(109,ActualTable[Sep 2023])</f>
        <v>0</v>
      </c>
      <c r="M22" s="21">
        <f>SUBTOTAL(109,ActualTable[Oct 2023])</f>
        <v>0</v>
      </c>
      <c r="N22" s="21">
        <f>SUBTOTAL(109,ActualTable[Nov 2023])</f>
        <v>0</v>
      </c>
      <c r="O22" s="21">
        <f>SUBTOTAL(109,ActualTable[Dec 2023])</f>
        <v>0</v>
      </c>
      <c r="P22" s="21">
        <f>SUBTOTAL(109,ActualTable[Jan 2024])</f>
        <v>0</v>
      </c>
    </row>
    <row r="23" spans="1:17" ht="15" thickTop="1" x14ac:dyDescent="0.35">
      <c r="A23" s="24" t="s">
        <v>68</v>
      </c>
      <c r="B23" s="23">
        <f>SUM(INDEX(ActualTable[#Totals],1,2):ActualTable[[#Totals],[Nov 2022]], INDEX(RegisterTable[[Balance]:[Balance]],1))</f>
        <v>9645.07</v>
      </c>
      <c r="C23" s="23">
        <f>SUM(INDEX(ActualTable[#Totals],1,2):ActualTable[[#Totals],[Dec 2022]], INDEX(RegisterTable[[Balance]:[Balance]],1))</f>
        <v>8921.7899999999991</v>
      </c>
      <c r="D23" s="23">
        <f>SUM(INDEX(ActualTable[#Totals],1,2):ActualTable[[#Totals],[Jan 2023]], INDEX(RegisterTable[[Balance]:[Balance]],1))</f>
        <v>5858.8799999999992</v>
      </c>
      <c r="E23" s="23">
        <f>SUM(INDEX(ActualTable[#Totals],1,2):ActualTable[[#Totals],[Feb 2023]], INDEX(RegisterTable[[Balance]:[Balance]],1))</f>
        <v>5858.8799999999992</v>
      </c>
      <c r="F23" s="23">
        <f>SUM(INDEX(ActualTable[#Totals],1,2):ActualTable[[#Totals],[Mar 2023]], INDEX(RegisterTable[[Balance]:[Balance]],1))</f>
        <v>5858.8799999999992</v>
      </c>
      <c r="G23" s="23">
        <f>SUM(INDEX(ActualTable[#Totals],1,2):ActualTable[[#Totals],[Apr 2023]], INDEX(RegisterTable[[Balance]:[Balance]],1))</f>
        <v>5858.8799999999992</v>
      </c>
      <c r="H23" s="23">
        <f>SUM(INDEX(ActualTable[#Totals],1,2):ActualTable[[#Totals],[May 2023]], INDEX(RegisterTable[[Balance]:[Balance]],1))</f>
        <v>5858.8799999999992</v>
      </c>
      <c r="I23" s="23">
        <f>SUM(INDEX(ActualTable[#Totals],1,2):ActualTable[[#Totals],[Jun 2023]], INDEX(RegisterTable[[Balance]:[Balance]],1))</f>
        <v>5858.8799999999992</v>
      </c>
      <c r="J23" s="23">
        <f>SUM(INDEX(ActualTable[#Totals],1,2):ActualTable[[#Totals],[Jul 2023]], INDEX(RegisterTable[[Balance]:[Balance]],1))</f>
        <v>5858.8799999999992</v>
      </c>
      <c r="K23" s="23">
        <f>SUM(INDEX(ActualTable[#Totals],1,2):ActualTable[[#Totals],[Aug 2023]], INDEX(RegisterTable[[Balance]:[Balance]],1))</f>
        <v>5858.8799999999992</v>
      </c>
      <c r="L23" s="23">
        <f>SUM(INDEX(ActualTable[#Totals],1,2):ActualTable[[#Totals],[Sep 2023]], INDEX(RegisterTable[[Balance]:[Balance]],1))</f>
        <v>5858.8799999999992</v>
      </c>
      <c r="M23" s="23">
        <f>SUM(INDEX(ActualTable[#Totals],1,2):ActualTable[[#Totals],[Oct 2023]], INDEX(RegisterTable[[Balance]:[Balance]],1))</f>
        <v>5858.8799999999992</v>
      </c>
      <c r="N23" s="23">
        <f>SUM(INDEX(ActualTable[#Totals],1,2):ActualTable[[#Totals],[Nov 2023]], INDEX(RegisterTable[[Balance]:[Balance]],1))</f>
        <v>5858.8799999999992</v>
      </c>
      <c r="O23" s="23">
        <f>SUM(INDEX(ActualTable[#Totals],1,2):ActualTable[[#Totals],[Dec 2023]], INDEX(RegisterTable[[Balance]:[Balance]],1))</f>
        <v>5858.8799999999992</v>
      </c>
      <c r="P23" s="23">
        <f>SUM(INDEX(ActualTable[#Totals],1,2):ActualTable[[#Totals],[Jan 2024]], INDEX(RegisterTable[[Balance]:[Balance]],1))</f>
        <v>5858.8799999999992</v>
      </c>
    </row>
    <row r="25" spans="1:17" ht="17.5" thickBot="1" x14ac:dyDescent="0.45">
      <c r="A25" s="5" t="s">
        <v>29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5" thickTop="1" x14ac:dyDescent="0.35"/>
    <row r="27" spans="1:17" x14ac:dyDescent="0.35">
      <c r="A27" s="11" t="s">
        <v>28</v>
      </c>
      <c r="B27" s="12" t="s">
        <v>2</v>
      </c>
      <c r="C27" s="12" t="s">
        <v>3</v>
      </c>
      <c r="D27" s="12" t="s">
        <v>4</v>
      </c>
      <c r="E27" s="12" t="s">
        <v>5</v>
      </c>
      <c r="F27" s="12" t="s">
        <v>6</v>
      </c>
      <c r="G27" s="12" t="s">
        <v>7</v>
      </c>
      <c r="H27" s="12" t="s">
        <v>8</v>
      </c>
      <c r="I27" s="12" t="s">
        <v>9</v>
      </c>
      <c r="J27" s="11" t="s">
        <v>10</v>
      </c>
      <c r="K27" s="11" t="s">
        <v>1</v>
      </c>
      <c r="L27" s="11" t="s">
        <v>11</v>
      </c>
      <c r="M27" s="11" t="s">
        <v>12</v>
      </c>
      <c r="N27" s="11" t="s">
        <v>13</v>
      </c>
      <c r="O27" s="11" t="s">
        <v>14</v>
      </c>
      <c r="P27" s="11" t="s">
        <v>17</v>
      </c>
    </row>
    <row r="28" spans="1:17" x14ac:dyDescent="0.35">
      <c r="A28" s="18" t="s">
        <v>42</v>
      </c>
      <c r="B28" s="4">
        <v>5000</v>
      </c>
      <c r="C28" s="4">
        <v>5000</v>
      </c>
      <c r="D28" s="4">
        <v>5250</v>
      </c>
      <c r="E28" s="4">
        <v>5250</v>
      </c>
      <c r="F28" s="4">
        <v>5250</v>
      </c>
      <c r="G28" s="4">
        <v>5250</v>
      </c>
      <c r="H28" s="4">
        <v>5250</v>
      </c>
      <c r="I28" s="4">
        <v>5250</v>
      </c>
      <c r="J28" s="4">
        <v>5250</v>
      </c>
      <c r="K28" s="4">
        <v>5250</v>
      </c>
      <c r="L28" s="4">
        <v>5250</v>
      </c>
      <c r="M28" s="4">
        <v>5250</v>
      </c>
      <c r="N28" s="4">
        <v>5250</v>
      </c>
      <c r="O28" s="4">
        <v>5250</v>
      </c>
      <c r="P28" s="4">
        <v>5250</v>
      </c>
    </row>
    <row r="29" spans="1:17" x14ac:dyDescent="0.35">
      <c r="A29" s="18" t="s">
        <v>24</v>
      </c>
      <c r="B29" s="1">
        <v>0.7</v>
      </c>
      <c r="C29" s="1">
        <v>0.37</v>
      </c>
      <c r="D29" s="1">
        <v>0.5</v>
      </c>
      <c r="E29" s="1">
        <v>0.5</v>
      </c>
      <c r="F29" s="1">
        <v>0.5</v>
      </c>
      <c r="G29" s="1">
        <v>0.5</v>
      </c>
      <c r="H29" s="1">
        <v>0.5</v>
      </c>
      <c r="I29" s="1">
        <v>0.5</v>
      </c>
      <c r="J29" s="1">
        <v>0.5</v>
      </c>
      <c r="K29" s="1">
        <v>0.5</v>
      </c>
      <c r="L29" s="1">
        <v>0.5</v>
      </c>
      <c r="M29" s="1">
        <v>0.5</v>
      </c>
      <c r="N29" s="1">
        <v>0.5</v>
      </c>
      <c r="O29" s="1">
        <v>0.5</v>
      </c>
      <c r="P29" s="1">
        <v>0.5</v>
      </c>
    </row>
    <row r="30" spans="1:17" x14ac:dyDescent="0.35">
      <c r="A30" s="18" t="s">
        <v>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7" x14ac:dyDescent="0.35">
      <c r="A31" s="18" t="s">
        <v>18</v>
      </c>
      <c r="B31" s="4">
        <v>-2500</v>
      </c>
      <c r="C31" s="1">
        <v>-2500</v>
      </c>
      <c r="D31" s="1">
        <v>-2592.86</v>
      </c>
      <c r="E31" s="1">
        <v>-2592.86</v>
      </c>
      <c r="F31" s="1">
        <v>-2592.86</v>
      </c>
      <c r="G31" s="1">
        <v>-2592.86</v>
      </c>
      <c r="H31" s="1">
        <v>-2592.86</v>
      </c>
      <c r="I31" s="1">
        <v>-2592.86</v>
      </c>
      <c r="J31" s="1">
        <v>-2592.86</v>
      </c>
      <c r="K31" s="1">
        <v>-2592.86</v>
      </c>
      <c r="L31" s="1">
        <v>-2592.86</v>
      </c>
      <c r="M31" s="1">
        <v>-2592.86</v>
      </c>
      <c r="N31" s="1">
        <v>-2592.86</v>
      </c>
      <c r="O31" s="1">
        <v>-2592.86</v>
      </c>
      <c r="P31" s="1">
        <v>-2592.86</v>
      </c>
    </row>
    <row r="32" spans="1:17" x14ac:dyDescent="0.35">
      <c r="A32" s="18" t="s">
        <v>19</v>
      </c>
      <c r="B32" s="1">
        <v>-164.55</v>
      </c>
      <c r="C32" s="1">
        <v>-231.09</v>
      </c>
      <c r="D32" s="1">
        <v>-200</v>
      </c>
      <c r="E32" s="1">
        <v>-200</v>
      </c>
      <c r="F32" s="1">
        <v>-200</v>
      </c>
      <c r="G32" s="1">
        <v>-200</v>
      </c>
      <c r="H32" s="1">
        <v>-200</v>
      </c>
      <c r="I32" s="1">
        <v>-200</v>
      </c>
      <c r="J32" s="1">
        <v>-200</v>
      </c>
      <c r="K32" s="1">
        <v>-200</v>
      </c>
      <c r="L32" s="1">
        <v>-200</v>
      </c>
      <c r="M32" s="1">
        <v>-200</v>
      </c>
      <c r="N32" s="1">
        <v>-200</v>
      </c>
      <c r="O32" s="1">
        <v>-200</v>
      </c>
      <c r="P32" s="1">
        <v>-200</v>
      </c>
    </row>
    <row r="33" spans="1:16" x14ac:dyDescent="0.35">
      <c r="A33" s="18" t="s">
        <v>32</v>
      </c>
      <c r="B33" s="1">
        <v>-121.93</v>
      </c>
      <c r="C33" s="1">
        <v>-277.88</v>
      </c>
      <c r="D33" s="1">
        <v>-250</v>
      </c>
      <c r="E33" s="1">
        <v>-250</v>
      </c>
      <c r="F33" s="1">
        <v>-250</v>
      </c>
      <c r="G33" s="1">
        <v>-250</v>
      </c>
      <c r="H33" s="1">
        <v>-250</v>
      </c>
      <c r="I33" s="1">
        <v>-250</v>
      </c>
      <c r="J33" s="1">
        <v>-250</v>
      </c>
      <c r="K33" s="1">
        <v>-250</v>
      </c>
      <c r="L33" s="1">
        <v>-250</v>
      </c>
      <c r="M33" s="1">
        <v>-250</v>
      </c>
      <c r="N33" s="1">
        <v>-250</v>
      </c>
      <c r="O33" s="1">
        <v>-250</v>
      </c>
      <c r="P33" s="1">
        <v>-250</v>
      </c>
    </row>
    <row r="34" spans="1:16" x14ac:dyDescent="0.35">
      <c r="A34" s="18" t="s">
        <v>36</v>
      </c>
      <c r="B34" s="1">
        <v>-106.23</v>
      </c>
      <c r="C34" s="1">
        <v>-209.23000000000002</v>
      </c>
      <c r="D34" s="1">
        <v>-110</v>
      </c>
      <c r="E34" s="1">
        <v>-110</v>
      </c>
      <c r="F34" s="1">
        <v>-110</v>
      </c>
      <c r="G34" s="1">
        <v>-110</v>
      </c>
      <c r="H34" s="1">
        <v>-110</v>
      </c>
      <c r="I34" s="1">
        <v>-110</v>
      </c>
      <c r="J34" s="1">
        <v>-110</v>
      </c>
      <c r="K34" s="1">
        <v>-110</v>
      </c>
      <c r="L34" s="1">
        <v>-110</v>
      </c>
      <c r="M34" s="1">
        <v>-110</v>
      </c>
      <c r="N34" s="1">
        <v>-110</v>
      </c>
      <c r="O34" s="1">
        <v>-110</v>
      </c>
      <c r="P34" s="1">
        <v>-110</v>
      </c>
    </row>
    <row r="35" spans="1:16" x14ac:dyDescent="0.35">
      <c r="A35" s="18" t="s">
        <v>65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5">
      <c r="A36" s="18" t="s">
        <v>22</v>
      </c>
      <c r="B36" s="1">
        <v>-256</v>
      </c>
      <c r="C36" s="1">
        <v>-256</v>
      </c>
      <c r="D36" s="1">
        <v>-256</v>
      </c>
      <c r="E36" s="1">
        <v>-256</v>
      </c>
      <c r="F36" s="1">
        <v>-256</v>
      </c>
      <c r="G36" s="1">
        <v>-256</v>
      </c>
      <c r="H36" s="1">
        <v>-256</v>
      </c>
      <c r="I36" s="1">
        <v>-256</v>
      </c>
      <c r="J36" s="1">
        <v>-256</v>
      </c>
      <c r="K36" s="1">
        <v>-256</v>
      </c>
      <c r="L36" s="1">
        <v>-256</v>
      </c>
      <c r="M36" s="1">
        <v>-256</v>
      </c>
      <c r="N36" s="1">
        <v>-256</v>
      </c>
      <c r="O36" s="1">
        <v>-256</v>
      </c>
      <c r="P36" s="1">
        <v>-256</v>
      </c>
    </row>
    <row r="37" spans="1:16" x14ac:dyDescent="0.35">
      <c r="A37" s="18" t="s">
        <v>23</v>
      </c>
      <c r="B37" s="1">
        <v>-193.24</v>
      </c>
      <c r="C37" s="1">
        <v>-314.40000000000003</v>
      </c>
      <c r="D37" s="1">
        <v>-300</v>
      </c>
      <c r="E37" s="1">
        <v>-300</v>
      </c>
      <c r="F37" s="1">
        <v>-300</v>
      </c>
      <c r="G37" s="1">
        <v>-300</v>
      </c>
      <c r="H37" s="1">
        <v>-300</v>
      </c>
      <c r="I37" s="1">
        <v>-300</v>
      </c>
      <c r="J37" s="1">
        <v>-300</v>
      </c>
      <c r="K37" s="1">
        <v>-300</v>
      </c>
      <c r="L37" s="1">
        <v>-300</v>
      </c>
      <c r="M37" s="1">
        <v>-300</v>
      </c>
      <c r="N37" s="1">
        <v>-300</v>
      </c>
      <c r="O37" s="1">
        <v>-300</v>
      </c>
      <c r="P37" s="1">
        <v>-300</v>
      </c>
    </row>
    <row r="38" spans="1:16" x14ac:dyDescent="0.35">
      <c r="A38" s="19" t="s">
        <v>21</v>
      </c>
      <c r="B38" s="1">
        <v>0</v>
      </c>
      <c r="C38" s="1">
        <v>-617</v>
      </c>
      <c r="D38" s="1">
        <v>-850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9" t="s">
        <v>20</v>
      </c>
      <c r="B39" s="1">
        <v>-599</v>
      </c>
      <c r="C39" s="1">
        <v>-1206.5999999999999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8" t="s">
        <v>41</v>
      </c>
      <c r="B40" s="4">
        <v>0</v>
      </c>
      <c r="C40" s="4">
        <v>-111.45</v>
      </c>
      <c r="D40" s="4">
        <v>-90</v>
      </c>
      <c r="E40" s="4">
        <v>-90</v>
      </c>
      <c r="F40" s="4">
        <v>-90</v>
      </c>
      <c r="G40" s="4">
        <v>-90</v>
      </c>
      <c r="H40" s="4">
        <v>-90</v>
      </c>
      <c r="I40" s="4">
        <v>-90</v>
      </c>
      <c r="J40" s="4">
        <v>-90</v>
      </c>
      <c r="K40" s="4">
        <v>-90</v>
      </c>
      <c r="L40" s="4">
        <v>-90</v>
      </c>
      <c r="M40" s="4">
        <v>-90</v>
      </c>
      <c r="N40" s="4">
        <v>-90</v>
      </c>
      <c r="O40" s="4">
        <v>-90</v>
      </c>
      <c r="P40" s="4">
        <v>-90</v>
      </c>
    </row>
    <row r="41" spans="1:16" x14ac:dyDescent="0.35">
      <c r="A41" s="18" t="s">
        <v>33</v>
      </c>
      <c r="B41" s="1">
        <v>0</v>
      </c>
      <c r="C41" s="1">
        <v>0</v>
      </c>
      <c r="D41" s="1">
        <v>-528.07000000000005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5">
      <c r="A42" s="25" t="s">
        <v>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-1500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-2000</v>
      </c>
      <c r="P42" s="1">
        <v>0</v>
      </c>
    </row>
    <row r="43" spans="1:16" x14ac:dyDescent="0.35">
      <c r="A43" s="18" t="s">
        <v>16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5">
      <c r="A44" s="18" t="s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5" thickBot="1" x14ac:dyDescent="0.4">
      <c r="A45" s="20" t="s">
        <v>69</v>
      </c>
      <c r="B45" s="21">
        <f>SUBTOTAL(109,BudgetTable[Nov 2022])</f>
        <v>1059.7499999999998</v>
      </c>
      <c r="C45" s="21">
        <f>SUBTOTAL(109,BudgetTable[Dec 2022])</f>
        <v>-723.28000000000043</v>
      </c>
      <c r="D45" s="21">
        <f>SUBTOTAL(109,BudgetTable[Jan 2023])</f>
        <v>73.569999999999823</v>
      </c>
      <c r="E45" s="21">
        <f>SUBTOTAL(109,BudgetTable[Feb 2023])</f>
        <v>1451.6399999999999</v>
      </c>
      <c r="F45" s="21">
        <f>SUBTOTAL(109,BudgetTable[Mar 2023])</f>
        <v>1451.6399999999999</v>
      </c>
      <c r="G45" s="21">
        <f>SUBTOTAL(109,BudgetTable[Apr 2023])</f>
        <v>1451.6399999999999</v>
      </c>
      <c r="H45" s="21">
        <f>SUBTOTAL(109,BudgetTable[May 2023])</f>
        <v>1451.6399999999999</v>
      </c>
      <c r="I45" s="21">
        <f>SUBTOTAL(109,BudgetTable[Jun 2023])</f>
        <v>-48.360000000000127</v>
      </c>
      <c r="J45" s="21">
        <f>SUBTOTAL(109,BudgetTable[Jul 2023])</f>
        <v>1451.6399999999999</v>
      </c>
      <c r="K45" s="21">
        <f>SUBTOTAL(109,BudgetTable[Aug 2023])</f>
        <v>1451.6399999999999</v>
      </c>
      <c r="L45" s="21">
        <f>SUBTOTAL(109,BudgetTable[Sep 2023])</f>
        <v>1451.6399999999999</v>
      </c>
      <c r="M45" s="21">
        <f>SUBTOTAL(109,BudgetTable[Oct 2023])</f>
        <v>1451.6399999999999</v>
      </c>
      <c r="N45" s="21">
        <f>SUBTOTAL(109,BudgetTable[Nov 2023])</f>
        <v>1451.6399999999999</v>
      </c>
      <c r="O45" s="21">
        <f>SUBTOTAL(109,BudgetTable[Dec 2023])</f>
        <v>-548.36000000000013</v>
      </c>
      <c r="P45" s="21">
        <f>SUBTOTAL(109,BudgetTable[Jan 2024])</f>
        <v>1451.6399999999999</v>
      </c>
    </row>
    <row r="46" spans="1:16" ht="15" thickTop="1" x14ac:dyDescent="0.35">
      <c r="A46" s="24" t="s">
        <v>68</v>
      </c>
      <c r="B46" s="23">
        <f>SUM(INDEX(BudgetTable[#Totals],1,2):BudgetTable[[#Totals],[Nov 2022]], INDEX(RegisterTable[[Balance]:[Balance]],1))</f>
        <v>9539.01</v>
      </c>
      <c r="C46" s="23">
        <f>SUM(INDEX(BudgetTable[#Totals],1,2):BudgetTable[[#Totals],[Dec 2022]], INDEX(RegisterTable[[Balance]:[Balance]],1))</f>
        <v>8815.73</v>
      </c>
      <c r="D46" s="23">
        <f>SUM(INDEX(BudgetTable[#Totals],1,2):BudgetTable[[#Totals],[Jan 2023]], INDEX(RegisterTable[[Balance]:[Balance]],1))</f>
        <v>8889.2999999999993</v>
      </c>
      <c r="E46" s="23">
        <f>SUM(INDEX(BudgetTable[#Totals],1,2):BudgetTable[[#Totals],[Feb 2023]], INDEX(RegisterTable[[Balance]:[Balance]],1))</f>
        <v>10340.939999999999</v>
      </c>
      <c r="F46" s="23">
        <f>SUM(INDEX(BudgetTable[#Totals],1,2):BudgetTable[[#Totals],[Mar 2023]], INDEX(RegisterTable[[Balance]:[Balance]],1))</f>
        <v>11792.579999999998</v>
      </c>
      <c r="G46" s="23">
        <f>SUM(INDEX(BudgetTable[#Totals],1,2):BudgetTable[[#Totals],[Apr 2023]], INDEX(RegisterTable[[Balance]:[Balance]],1))</f>
        <v>13244.22</v>
      </c>
      <c r="H46" s="23">
        <f>SUM(INDEX(BudgetTable[#Totals],1,2):BudgetTable[[#Totals],[May 2023]], INDEX(RegisterTable[[Balance]:[Balance]],1))</f>
        <v>14695.859999999999</v>
      </c>
      <c r="I46" s="23">
        <f>SUM(INDEX(BudgetTable[#Totals],1,2):BudgetTable[[#Totals],[Jun 2023]], INDEX(RegisterTable[[Balance]:[Balance]],1))</f>
        <v>14647.499999999998</v>
      </c>
      <c r="J46" s="23">
        <f>SUM(INDEX(BudgetTable[#Totals],1,2):BudgetTable[[#Totals],[Jul 2023]], INDEX(RegisterTable[[Balance]:[Balance]],1))</f>
        <v>16099.139999999998</v>
      </c>
      <c r="K46" s="23">
        <f>SUM(INDEX(BudgetTable[#Totals],1,2):BudgetTable[[#Totals],[Aug 2023]], INDEX(RegisterTable[[Balance]:[Balance]],1))</f>
        <v>17550.78</v>
      </c>
      <c r="L46" s="23">
        <f>SUM(INDEX(BudgetTable[#Totals],1,2):BudgetTable[[#Totals],[Sep 2023]], INDEX(RegisterTable[[Balance]:[Balance]],1))</f>
        <v>19002.419999999998</v>
      </c>
      <c r="M46" s="23">
        <f>SUM(INDEX(BudgetTable[#Totals],1,2):BudgetTable[[#Totals],[Oct 2023]], INDEX(RegisterTable[[Balance]:[Balance]],1))</f>
        <v>20454.059999999998</v>
      </c>
      <c r="N46" s="23">
        <f>SUM(INDEX(BudgetTable[#Totals],1,2):BudgetTable[[#Totals],[Nov 2023]], INDEX(RegisterTable[[Balance]:[Balance]],1))</f>
        <v>21905.699999999997</v>
      </c>
      <c r="O46" s="23">
        <f>SUM(INDEX(BudgetTable[#Totals],1,2):BudgetTable[[#Totals],[Dec 2023]], INDEX(RegisterTable[[Balance]:[Balance]],1))</f>
        <v>21357.339999999997</v>
      </c>
      <c r="P46" s="23">
        <f>SUM(INDEX(BudgetTable[#Totals],1,2):BudgetTable[[#Totals],[Jan 2024]], INDEX(RegisterTable[[Balance]:[Balance]],1))</f>
        <v>22808.979999999996</v>
      </c>
    </row>
  </sheetData>
  <dataConsolidate/>
  <phoneticPr fontId="3" type="noConversion"/>
  <conditionalFormatting sqref="A5:P21 A28:P44">
    <cfRule type="cellIs" dxfId="16" priority="3" operator="equal">
      <formula>0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</vt:lpstr>
      <vt:lpstr>Budget</vt:lpstr>
      <vt:lpstr>CategoriesList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2023-01-11T07:04:27Z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